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pbr/Documents/Sync/AllDevices/Education/Semester III/DT Seminar/Data/"/>
    </mc:Choice>
  </mc:AlternateContent>
  <bookViews>
    <workbookView xWindow="0" yWindow="440" windowWidth="33600" windowHeight="19740" tabRatio="500" activeTab="1"/>
  </bookViews>
  <sheets>
    <sheet name="DB Stats" sheetId="14" r:id="rId1"/>
    <sheet name="Chi" sheetId="11" r:id="rId2"/>
    <sheet name="significants" sheetId="13" r:id="rId3"/>
    <sheet name="Sheet2" sheetId="12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1" l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G105" i="11"/>
  <c r="C10" i="14"/>
  <c r="F105" i="11"/>
  <c r="C9" i="14"/>
  <c r="C7" i="14"/>
  <c r="C105" i="11"/>
  <c r="E105" i="11"/>
  <c r="H105" i="11"/>
  <c r="B105" i="11"/>
  <c r="O2" i="11"/>
  <c r="S2" i="11"/>
  <c r="P2" i="11"/>
  <c r="T2" i="11"/>
  <c r="Q2" i="11"/>
  <c r="U2" i="11"/>
  <c r="R2" i="11"/>
  <c r="V2" i="11"/>
  <c r="W2" i="11"/>
  <c r="AF2" i="11"/>
  <c r="O3" i="11"/>
  <c r="S3" i="11"/>
  <c r="P3" i="11"/>
  <c r="T3" i="11"/>
  <c r="Q3" i="11"/>
  <c r="U3" i="11"/>
  <c r="R3" i="11"/>
  <c r="V3" i="11"/>
  <c r="W3" i="11"/>
  <c r="AF3" i="11"/>
  <c r="O4" i="11"/>
  <c r="S4" i="11"/>
  <c r="P4" i="11"/>
  <c r="T4" i="11"/>
  <c r="Q4" i="11"/>
  <c r="U4" i="11"/>
  <c r="R4" i="11"/>
  <c r="V4" i="11"/>
  <c r="W4" i="11"/>
  <c r="AF4" i="11"/>
  <c r="O5" i="11"/>
  <c r="S5" i="11"/>
  <c r="P5" i="11"/>
  <c r="T5" i="11"/>
  <c r="Q5" i="11"/>
  <c r="U5" i="11"/>
  <c r="R5" i="11"/>
  <c r="V5" i="11"/>
  <c r="W5" i="11"/>
  <c r="AF5" i="11"/>
  <c r="O6" i="11"/>
  <c r="S6" i="11"/>
  <c r="P6" i="11"/>
  <c r="T6" i="11"/>
  <c r="Q6" i="11"/>
  <c r="U6" i="11"/>
  <c r="R6" i="11"/>
  <c r="V6" i="11"/>
  <c r="W6" i="11"/>
  <c r="AF6" i="11"/>
  <c r="O7" i="11"/>
  <c r="S7" i="11"/>
  <c r="P7" i="11"/>
  <c r="T7" i="11"/>
  <c r="Q7" i="11"/>
  <c r="U7" i="11"/>
  <c r="R7" i="11"/>
  <c r="V7" i="11"/>
  <c r="W7" i="11"/>
  <c r="AF7" i="11"/>
  <c r="O8" i="11"/>
  <c r="S8" i="11"/>
  <c r="P8" i="11"/>
  <c r="T8" i="11"/>
  <c r="Q8" i="11"/>
  <c r="U8" i="11"/>
  <c r="R8" i="11"/>
  <c r="V8" i="11"/>
  <c r="W8" i="11"/>
  <c r="AF8" i="11"/>
  <c r="O9" i="11"/>
  <c r="S9" i="11"/>
  <c r="P9" i="11"/>
  <c r="T9" i="11"/>
  <c r="Q9" i="11"/>
  <c r="U9" i="11"/>
  <c r="R9" i="11"/>
  <c r="V9" i="11"/>
  <c r="W9" i="11"/>
  <c r="AF9" i="11"/>
  <c r="O10" i="11"/>
  <c r="S10" i="11"/>
  <c r="P10" i="11"/>
  <c r="T10" i="11"/>
  <c r="Q10" i="11"/>
  <c r="U10" i="11"/>
  <c r="R10" i="11"/>
  <c r="V10" i="11"/>
  <c r="W10" i="11"/>
  <c r="AF10" i="11"/>
  <c r="O11" i="11"/>
  <c r="S11" i="11"/>
  <c r="P11" i="11"/>
  <c r="T11" i="11"/>
  <c r="Q11" i="11"/>
  <c r="U11" i="11"/>
  <c r="R11" i="11"/>
  <c r="V11" i="11"/>
  <c r="W11" i="11"/>
  <c r="AF11" i="11"/>
  <c r="O12" i="11"/>
  <c r="S12" i="11"/>
  <c r="P12" i="11"/>
  <c r="T12" i="11"/>
  <c r="Q12" i="11"/>
  <c r="U12" i="11"/>
  <c r="R12" i="11"/>
  <c r="V12" i="11"/>
  <c r="W12" i="11"/>
  <c r="AF12" i="11"/>
  <c r="O13" i="11"/>
  <c r="S13" i="11"/>
  <c r="P13" i="11"/>
  <c r="T13" i="11"/>
  <c r="Q13" i="11"/>
  <c r="U13" i="11"/>
  <c r="R13" i="11"/>
  <c r="V13" i="11"/>
  <c r="W13" i="11"/>
  <c r="AF13" i="11"/>
  <c r="O14" i="11"/>
  <c r="S14" i="11"/>
  <c r="P14" i="11"/>
  <c r="T14" i="11"/>
  <c r="Q14" i="11"/>
  <c r="U14" i="11"/>
  <c r="R14" i="11"/>
  <c r="V14" i="11"/>
  <c r="W14" i="11"/>
  <c r="AF14" i="11"/>
  <c r="O15" i="11"/>
  <c r="S15" i="11"/>
  <c r="P15" i="11"/>
  <c r="T15" i="11"/>
  <c r="Q15" i="11"/>
  <c r="U15" i="11"/>
  <c r="R15" i="11"/>
  <c r="V15" i="11"/>
  <c r="W15" i="11"/>
  <c r="AF15" i="11"/>
  <c r="O16" i="11"/>
  <c r="S16" i="11"/>
  <c r="P16" i="11"/>
  <c r="T16" i="11"/>
  <c r="Q16" i="11"/>
  <c r="U16" i="11"/>
  <c r="R16" i="11"/>
  <c r="V16" i="11"/>
  <c r="W16" i="11"/>
  <c r="AF16" i="11"/>
  <c r="O17" i="11"/>
  <c r="S17" i="11"/>
  <c r="P17" i="11"/>
  <c r="T17" i="11"/>
  <c r="Q17" i="11"/>
  <c r="U17" i="11"/>
  <c r="R17" i="11"/>
  <c r="V17" i="11"/>
  <c r="W17" i="11"/>
  <c r="AF17" i="11"/>
  <c r="O18" i="11"/>
  <c r="S18" i="11"/>
  <c r="P18" i="11"/>
  <c r="T18" i="11"/>
  <c r="Q18" i="11"/>
  <c r="U18" i="11"/>
  <c r="R18" i="11"/>
  <c r="V18" i="11"/>
  <c r="W18" i="11"/>
  <c r="AF18" i="11"/>
  <c r="O19" i="11"/>
  <c r="S19" i="11"/>
  <c r="P19" i="11"/>
  <c r="T19" i="11"/>
  <c r="Q19" i="11"/>
  <c r="U19" i="11"/>
  <c r="R19" i="11"/>
  <c r="V19" i="11"/>
  <c r="W19" i="11"/>
  <c r="AF19" i="11"/>
  <c r="O20" i="11"/>
  <c r="S20" i="11"/>
  <c r="P20" i="11"/>
  <c r="T20" i="11"/>
  <c r="Q20" i="11"/>
  <c r="U20" i="11"/>
  <c r="R20" i="11"/>
  <c r="V20" i="11"/>
  <c r="W20" i="11"/>
  <c r="AF20" i="11"/>
  <c r="O21" i="11"/>
  <c r="S21" i="11"/>
  <c r="P21" i="11"/>
  <c r="T21" i="11"/>
  <c r="Q21" i="11"/>
  <c r="U21" i="11"/>
  <c r="R21" i="11"/>
  <c r="V21" i="11"/>
  <c r="W21" i="11"/>
  <c r="AF21" i="11"/>
  <c r="O22" i="11"/>
  <c r="S22" i="11"/>
  <c r="P22" i="11"/>
  <c r="T22" i="11"/>
  <c r="Q22" i="11"/>
  <c r="U22" i="11"/>
  <c r="R22" i="11"/>
  <c r="V22" i="11"/>
  <c r="W22" i="11"/>
  <c r="AF22" i="11"/>
  <c r="O23" i="11"/>
  <c r="S23" i="11"/>
  <c r="P23" i="11"/>
  <c r="T23" i="11"/>
  <c r="Q23" i="11"/>
  <c r="U23" i="11"/>
  <c r="R23" i="11"/>
  <c r="V23" i="11"/>
  <c r="W23" i="11"/>
  <c r="AF23" i="11"/>
  <c r="O24" i="11"/>
  <c r="S24" i="11"/>
  <c r="P24" i="11"/>
  <c r="T24" i="11"/>
  <c r="Q24" i="11"/>
  <c r="U24" i="11"/>
  <c r="R24" i="11"/>
  <c r="V24" i="11"/>
  <c r="W24" i="11"/>
  <c r="AF24" i="11"/>
  <c r="O25" i="11"/>
  <c r="S25" i="11"/>
  <c r="P25" i="11"/>
  <c r="T25" i="11"/>
  <c r="Q25" i="11"/>
  <c r="U25" i="11"/>
  <c r="R25" i="11"/>
  <c r="V25" i="11"/>
  <c r="W25" i="11"/>
  <c r="AF25" i="11"/>
  <c r="O26" i="11"/>
  <c r="S26" i="11"/>
  <c r="P26" i="11"/>
  <c r="T26" i="11"/>
  <c r="Q26" i="11"/>
  <c r="U26" i="11"/>
  <c r="R26" i="11"/>
  <c r="V26" i="11"/>
  <c r="W26" i="11"/>
  <c r="AF26" i="11"/>
  <c r="O27" i="11"/>
  <c r="S27" i="11"/>
  <c r="P27" i="11"/>
  <c r="T27" i="11"/>
  <c r="Q27" i="11"/>
  <c r="U27" i="11"/>
  <c r="R27" i="11"/>
  <c r="V27" i="11"/>
  <c r="W27" i="11"/>
  <c r="AF27" i="11"/>
  <c r="O28" i="11"/>
  <c r="S28" i="11"/>
  <c r="P28" i="11"/>
  <c r="T28" i="11"/>
  <c r="Q28" i="11"/>
  <c r="U28" i="11"/>
  <c r="R28" i="11"/>
  <c r="V28" i="11"/>
  <c r="W28" i="11"/>
  <c r="AF28" i="11"/>
  <c r="O29" i="11"/>
  <c r="S29" i="11"/>
  <c r="P29" i="11"/>
  <c r="T29" i="11"/>
  <c r="Q29" i="11"/>
  <c r="U29" i="11"/>
  <c r="R29" i="11"/>
  <c r="V29" i="11"/>
  <c r="W29" i="11"/>
  <c r="AF29" i="11"/>
  <c r="O30" i="11"/>
  <c r="S30" i="11"/>
  <c r="P30" i="11"/>
  <c r="T30" i="11"/>
  <c r="Q30" i="11"/>
  <c r="U30" i="11"/>
  <c r="R30" i="11"/>
  <c r="V30" i="11"/>
  <c r="W30" i="11"/>
  <c r="AF30" i="11"/>
  <c r="O31" i="11"/>
  <c r="S31" i="11"/>
  <c r="P31" i="11"/>
  <c r="T31" i="11"/>
  <c r="Q31" i="11"/>
  <c r="U31" i="11"/>
  <c r="R31" i="11"/>
  <c r="V31" i="11"/>
  <c r="W31" i="11"/>
  <c r="AF31" i="11"/>
  <c r="O32" i="11"/>
  <c r="S32" i="11"/>
  <c r="P32" i="11"/>
  <c r="T32" i="11"/>
  <c r="Q32" i="11"/>
  <c r="U32" i="11"/>
  <c r="R32" i="11"/>
  <c r="V32" i="11"/>
  <c r="W32" i="11"/>
  <c r="AF32" i="11"/>
  <c r="O33" i="11"/>
  <c r="S33" i="11"/>
  <c r="P33" i="11"/>
  <c r="T33" i="11"/>
  <c r="Q33" i="11"/>
  <c r="U33" i="11"/>
  <c r="R33" i="11"/>
  <c r="V33" i="11"/>
  <c r="W33" i="11"/>
  <c r="AF33" i="11"/>
  <c r="O34" i="11"/>
  <c r="S34" i="11"/>
  <c r="P34" i="11"/>
  <c r="T34" i="11"/>
  <c r="Q34" i="11"/>
  <c r="U34" i="11"/>
  <c r="R34" i="11"/>
  <c r="V34" i="11"/>
  <c r="W34" i="11"/>
  <c r="AF34" i="11"/>
  <c r="O35" i="11"/>
  <c r="S35" i="11"/>
  <c r="P35" i="11"/>
  <c r="T35" i="11"/>
  <c r="Q35" i="11"/>
  <c r="U35" i="11"/>
  <c r="R35" i="11"/>
  <c r="V35" i="11"/>
  <c r="W35" i="11"/>
  <c r="AF35" i="11"/>
  <c r="O36" i="11"/>
  <c r="S36" i="11"/>
  <c r="P36" i="11"/>
  <c r="T36" i="11"/>
  <c r="Q36" i="11"/>
  <c r="U36" i="11"/>
  <c r="R36" i="11"/>
  <c r="V36" i="11"/>
  <c r="W36" i="11"/>
  <c r="AF36" i="11"/>
  <c r="O37" i="11"/>
  <c r="S37" i="11"/>
  <c r="P37" i="11"/>
  <c r="T37" i="11"/>
  <c r="Q37" i="11"/>
  <c r="U37" i="11"/>
  <c r="R37" i="11"/>
  <c r="V37" i="11"/>
  <c r="W37" i="11"/>
  <c r="AF37" i="11"/>
  <c r="O38" i="11"/>
  <c r="S38" i="11"/>
  <c r="P38" i="11"/>
  <c r="T38" i="11"/>
  <c r="Q38" i="11"/>
  <c r="U38" i="11"/>
  <c r="R38" i="11"/>
  <c r="V38" i="11"/>
  <c r="W38" i="11"/>
  <c r="AF38" i="11"/>
  <c r="O39" i="11"/>
  <c r="S39" i="11"/>
  <c r="P39" i="11"/>
  <c r="T39" i="11"/>
  <c r="Q39" i="11"/>
  <c r="U39" i="11"/>
  <c r="R39" i="11"/>
  <c r="V39" i="11"/>
  <c r="W39" i="11"/>
  <c r="AF39" i="11"/>
  <c r="O40" i="11"/>
  <c r="S40" i="11"/>
  <c r="P40" i="11"/>
  <c r="T40" i="11"/>
  <c r="Q40" i="11"/>
  <c r="U40" i="11"/>
  <c r="R40" i="11"/>
  <c r="V40" i="11"/>
  <c r="W40" i="11"/>
  <c r="AF40" i="11"/>
  <c r="O41" i="11"/>
  <c r="S41" i="11"/>
  <c r="P41" i="11"/>
  <c r="T41" i="11"/>
  <c r="Q41" i="11"/>
  <c r="U41" i="11"/>
  <c r="R41" i="11"/>
  <c r="V41" i="11"/>
  <c r="W41" i="11"/>
  <c r="AF41" i="11"/>
  <c r="O42" i="11"/>
  <c r="S42" i="11"/>
  <c r="P42" i="11"/>
  <c r="T42" i="11"/>
  <c r="Q42" i="11"/>
  <c r="U42" i="11"/>
  <c r="R42" i="11"/>
  <c r="V42" i="11"/>
  <c r="W42" i="11"/>
  <c r="AF42" i="11"/>
  <c r="O43" i="11"/>
  <c r="S43" i="11"/>
  <c r="P43" i="11"/>
  <c r="T43" i="11"/>
  <c r="Q43" i="11"/>
  <c r="U43" i="11"/>
  <c r="R43" i="11"/>
  <c r="V43" i="11"/>
  <c r="W43" i="11"/>
  <c r="AF43" i="11"/>
  <c r="O44" i="11"/>
  <c r="S44" i="11"/>
  <c r="P44" i="11"/>
  <c r="T44" i="11"/>
  <c r="Q44" i="11"/>
  <c r="U44" i="11"/>
  <c r="R44" i="11"/>
  <c r="V44" i="11"/>
  <c r="W44" i="11"/>
  <c r="AF44" i="11"/>
  <c r="O45" i="11"/>
  <c r="S45" i="11"/>
  <c r="P45" i="11"/>
  <c r="T45" i="11"/>
  <c r="Q45" i="11"/>
  <c r="U45" i="11"/>
  <c r="R45" i="11"/>
  <c r="V45" i="11"/>
  <c r="W45" i="11"/>
  <c r="AF45" i="11"/>
  <c r="O46" i="11"/>
  <c r="S46" i="11"/>
  <c r="P46" i="11"/>
  <c r="T46" i="11"/>
  <c r="Q46" i="11"/>
  <c r="U46" i="11"/>
  <c r="R46" i="11"/>
  <c r="V46" i="11"/>
  <c r="W46" i="11"/>
  <c r="AF46" i="11"/>
  <c r="O47" i="11"/>
  <c r="S47" i="11"/>
  <c r="P47" i="11"/>
  <c r="T47" i="11"/>
  <c r="Q47" i="11"/>
  <c r="U47" i="11"/>
  <c r="R47" i="11"/>
  <c r="V47" i="11"/>
  <c r="W47" i="11"/>
  <c r="AF47" i="11"/>
  <c r="O48" i="11"/>
  <c r="S48" i="11"/>
  <c r="P48" i="11"/>
  <c r="T48" i="11"/>
  <c r="Q48" i="11"/>
  <c r="U48" i="11"/>
  <c r="R48" i="11"/>
  <c r="V48" i="11"/>
  <c r="W48" i="11"/>
  <c r="AF48" i="11"/>
  <c r="O49" i="11"/>
  <c r="S49" i="11"/>
  <c r="P49" i="11"/>
  <c r="T49" i="11"/>
  <c r="Q49" i="11"/>
  <c r="U49" i="11"/>
  <c r="R49" i="11"/>
  <c r="V49" i="11"/>
  <c r="W49" i="11"/>
  <c r="AF49" i="11"/>
  <c r="O50" i="11"/>
  <c r="S50" i="11"/>
  <c r="P50" i="11"/>
  <c r="T50" i="11"/>
  <c r="Q50" i="11"/>
  <c r="U50" i="11"/>
  <c r="R50" i="11"/>
  <c r="V50" i="11"/>
  <c r="W50" i="11"/>
  <c r="AF50" i="11"/>
  <c r="O51" i="11"/>
  <c r="S51" i="11"/>
  <c r="P51" i="11"/>
  <c r="T51" i="11"/>
  <c r="Q51" i="11"/>
  <c r="U51" i="11"/>
  <c r="R51" i="11"/>
  <c r="V51" i="11"/>
  <c r="W51" i="11"/>
  <c r="AF51" i="11"/>
  <c r="O52" i="11"/>
  <c r="S52" i="11"/>
  <c r="P52" i="11"/>
  <c r="T52" i="11"/>
  <c r="Q52" i="11"/>
  <c r="U52" i="11"/>
  <c r="R52" i="11"/>
  <c r="V52" i="11"/>
  <c r="W52" i="11"/>
  <c r="AF52" i="11"/>
  <c r="O53" i="11"/>
  <c r="S53" i="11"/>
  <c r="P53" i="11"/>
  <c r="T53" i="11"/>
  <c r="Q53" i="11"/>
  <c r="U53" i="11"/>
  <c r="R53" i="11"/>
  <c r="V53" i="11"/>
  <c r="W53" i="11"/>
  <c r="AF53" i="11"/>
  <c r="O54" i="11"/>
  <c r="S54" i="11"/>
  <c r="P54" i="11"/>
  <c r="T54" i="11"/>
  <c r="Q54" i="11"/>
  <c r="U54" i="11"/>
  <c r="R54" i="11"/>
  <c r="V54" i="11"/>
  <c r="W54" i="11"/>
  <c r="AF54" i="11"/>
  <c r="O55" i="11"/>
  <c r="S55" i="11"/>
  <c r="P55" i="11"/>
  <c r="T55" i="11"/>
  <c r="Q55" i="11"/>
  <c r="U55" i="11"/>
  <c r="R55" i="11"/>
  <c r="V55" i="11"/>
  <c r="W55" i="11"/>
  <c r="AF55" i="11"/>
  <c r="O56" i="11"/>
  <c r="S56" i="11"/>
  <c r="P56" i="11"/>
  <c r="T56" i="11"/>
  <c r="Q56" i="11"/>
  <c r="U56" i="11"/>
  <c r="R56" i="11"/>
  <c r="V56" i="11"/>
  <c r="W56" i="11"/>
  <c r="AF56" i="11"/>
  <c r="O57" i="11"/>
  <c r="S57" i="11"/>
  <c r="P57" i="11"/>
  <c r="T57" i="11"/>
  <c r="Q57" i="11"/>
  <c r="U57" i="11"/>
  <c r="R57" i="11"/>
  <c r="V57" i="11"/>
  <c r="W57" i="11"/>
  <c r="AF57" i="11"/>
  <c r="O58" i="11"/>
  <c r="S58" i="11"/>
  <c r="P58" i="11"/>
  <c r="T58" i="11"/>
  <c r="Q58" i="11"/>
  <c r="U58" i="11"/>
  <c r="R58" i="11"/>
  <c r="V58" i="11"/>
  <c r="W58" i="11"/>
  <c r="AF58" i="11"/>
  <c r="O59" i="11"/>
  <c r="S59" i="11"/>
  <c r="P59" i="11"/>
  <c r="T59" i="11"/>
  <c r="Q59" i="11"/>
  <c r="U59" i="11"/>
  <c r="R59" i="11"/>
  <c r="V59" i="11"/>
  <c r="W59" i="11"/>
  <c r="AF59" i="11"/>
  <c r="O60" i="11"/>
  <c r="S60" i="11"/>
  <c r="P60" i="11"/>
  <c r="T60" i="11"/>
  <c r="Q60" i="11"/>
  <c r="U60" i="11"/>
  <c r="R60" i="11"/>
  <c r="V60" i="11"/>
  <c r="W60" i="11"/>
  <c r="AF60" i="11"/>
  <c r="O61" i="11"/>
  <c r="S61" i="11"/>
  <c r="P61" i="11"/>
  <c r="T61" i="11"/>
  <c r="Q61" i="11"/>
  <c r="U61" i="11"/>
  <c r="R61" i="11"/>
  <c r="V61" i="11"/>
  <c r="W61" i="11"/>
  <c r="AF61" i="11"/>
  <c r="O62" i="11"/>
  <c r="S62" i="11"/>
  <c r="P62" i="11"/>
  <c r="T62" i="11"/>
  <c r="Q62" i="11"/>
  <c r="U62" i="11"/>
  <c r="R62" i="11"/>
  <c r="V62" i="11"/>
  <c r="W62" i="11"/>
  <c r="AF62" i="11"/>
  <c r="O63" i="11"/>
  <c r="S63" i="11"/>
  <c r="P63" i="11"/>
  <c r="T63" i="11"/>
  <c r="Q63" i="11"/>
  <c r="U63" i="11"/>
  <c r="R63" i="11"/>
  <c r="V63" i="11"/>
  <c r="W63" i="11"/>
  <c r="AF63" i="11"/>
  <c r="O64" i="11"/>
  <c r="S64" i="11"/>
  <c r="P64" i="11"/>
  <c r="T64" i="11"/>
  <c r="Q64" i="11"/>
  <c r="U64" i="11"/>
  <c r="R64" i="11"/>
  <c r="V64" i="11"/>
  <c r="W64" i="11"/>
  <c r="AF64" i="11"/>
  <c r="O65" i="11"/>
  <c r="S65" i="11"/>
  <c r="P65" i="11"/>
  <c r="T65" i="11"/>
  <c r="Q65" i="11"/>
  <c r="U65" i="11"/>
  <c r="R65" i="11"/>
  <c r="V65" i="11"/>
  <c r="W65" i="11"/>
  <c r="AF65" i="11"/>
  <c r="O66" i="11"/>
  <c r="S66" i="11"/>
  <c r="P66" i="11"/>
  <c r="T66" i="11"/>
  <c r="Q66" i="11"/>
  <c r="U66" i="11"/>
  <c r="R66" i="11"/>
  <c r="V66" i="11"/>
  <c r="W66" i="11"/>
  <c r="AF66" i="11"/>
  <c r="O67" i="11"/>
  <c r="S67" i="11"/>
  <c r="P67" i="11"/>
  <c r="T67" i="11"/>
  <c r="Q67" i="11"/>
  <c r="U67" i="11"/>
  <c r="R67" i="11"/>
  <c r="V67" i="11"/>
  <c r="W67" i="11"/>
  <c r="AF67" i="11"/>
  <c r="O68" i="11"/>
  <c r="S68" i="11"/>
  <c r="P68" i="11"/>
  <c r="T68" i="11"/>
  <c r="Q68" i="11"/>
  <c r="U68" i="11"/>
  <c r="R68" i="11"/>
  <c r="V68" i="11"/>
  <c r="W68" i="11"/>
  <c r="AF68" i="11"/>
  <c r="O69" i="11"/>
  <c r="S69" i="11"/>
  <c r="P69" i="11"/>
  <c r="T69" i="11"/>
  <c r="Q69" i="11"/>
  <c r="U69" i="11"/>
  <c r="R69" i="11"/>
  <c r="V69" i="11"/>
  <c r="W69" i="11"/>
  <c r="AF69" i="11"/>
  <c r="O70" i="11"/>
  <c r="S70" i="11"/>
  <c r="P70" i="11"/>
  <c r="T70" i="11"/>
  <c r="Q70" i="11"/>
  <c r="U70" i="11"/>
  <c r="R70" i="11"/>
  <c r="V70" i="11"/>
  <c r="W70" i="11"/>
  <c r="AF70" i="11"/>
  <c r="O71" i="11"/>
  <c r="S71" i="11"/>
  <c r="P71" i="11"/>
  <c r="T71" i="11"/>
  <c r="Q71" i="11"/>
  <c r="U71" i="11"/>
  <c r="R71" i="11"/>
  <c r="V71" i="11"/>
  <c r="W71" i="11"/>
  <c r="AF71" i="11"/>
  <c r="O72" i="11"/>
  <c r="S72" i="11"/>
  <c r="P72" i="11"/>
  <c r="T72" i="11"/>
  <c r="Q72" i="11"/>
  <c r="U72" i="11"/>
  <c r="R72" i="11"/>
  <c r="V72" i="11"/>
  <c r="W72" i="11"/>
  <c r="AF72" i="11"/>
  <c r="O73" i="11"/>
  <c r="S73" i="11"/>
  <c r="P73" i="11"/>
  <c r="T73" i="11"/>
  <c r="Q73" i="11"/>
  <c r="U73" i="11"/>
  <c r="R73" i="11"/>
  <c r="V73" i="11"/>
  <c r="W73" i="11"/>
  <c r="AF73" i="11"/>
  <c r="O74" i="11"/>
  <c r="S74" i="11"/>
  <c r="P74" i="11"/>
  <c r="T74" i="11"/>
  <c r="Q74" i="11"/>
  <c r="U74" i="11"/>
  <c r="R74" i="11"/>
  <c r="V74" i="11"/>
  <c r="W74" i="11"/>
  <c r="AF74" i="11"/>
  <c r="O75" i="11"/>
  <c r="S75" i="11"/>
  <c r="P75" i="11"/>
  <c r="T75" i="11"/>
  <c r="Q75" i="11"/>
  <c r="U75" i="11"/>
  <c r="R75" i="11"/>
  <c r="V75" i="11"/>
  <c r="W75" i="11"/>
  <c r="AF75" i="11"/>
  <c r="O76" i="11"/>
  <c r="S76" i="11"/>
  <c r="P76" i="11"/>
  <c r="T76" i="11"/>
  <c r="Q76" i="11"/>
  <c r="U76" i="11"/>
  <c r="R76" i="11"/>
  <c r="V76" i="11"/>
  <c r="W76" i="11"/>
  <c r="AF76" i="11"/>
  <c r="O77" i="11"/>
  <c r="S77" i="11"/>
  <c r="P77" i="11"/>
  <c r="T77" i="11"/>
  <c r="Q77" i="11"/>
  <c r="U77" i="11"/>
  <c r="R77" i="11"/>
  <c r="V77" i="11"/>
  <c r="W77" i="11"/>
  <c r="AF77" i="11"/>
  <c r="O78" i="11"/>
  <c r="S78" i="11"/>
  <c r="P78" i="11"/>
  <c r="T78" i="11"/>
  <c r="Q78" i="11"/>
  <c r="U78" i="11"/>
  <c r="R78" i="11"/>
  <c r="V78" i="11"/>
  <c r="W78" i="11"/>
  <c r="AF78" i="11"/>
  <c r="O79" i="11"/>
  <c r="S79" i="11"/>
  <c r="P79" i="11"/>
  <c r="T79" i="11"/>
  <c r="Q79" i="11"/>
  <c r="U79" i="11"/>
  <c r="R79" i="11"/>
  <c r="V79" i="11"/>
  <c r="W79" i="11"/>
  <c r="AF79" i="11"/>
  <c r="O80" i="11"/>
  <c r="S80" i="11"/>
  <c r="P80" i="11"/>
  <c r="T80" i="11"/>
  <c r="Q80" i="11"/>
  <c r="U80" i="11"/>
  <c r="R80" i="11"/>
  <c r="V80" i="11"/>
  <c r="W80" i="11"/>
  <c r="AF80" i="11"/>
  <c r="O81" i="11"/>
  <c r="S81" i="11"/>
  <c r="P81" i="11"/>
  <c r="T81" i="11"/>
  <c r="Q81" i="11"/>
  <c r="U81" i="11"/>
  <c r="R81" i="11"/>
  <c r="V81" i="11"/>
  <c r="W81" i="11"/>
  <c r="AF81" i="11"/>
  <c r="O82" i="11"/>
  <c r="S82" i="11"/>
  <c r="P82" i="11"/>
  <c r="T82" i="11"/>
  <c r="Q82" i="11"/>
  <c r="U82" i="11"/>
  <c r="R82" i="11"/>
  <c r="V82" i="11"/>
  <c r="W82" i="11"/>
  <c r="AF82" i="11"/>
  <c r="O83" i="11"/>
  <c r="S83" i="11"/>
  <c r="P83" i="11"/>
  <c r="T83" i="11"/>
  <c r="Q83" i="11"/>
  <c r="U83" i="11"/>
  <c r="R83" i="11"/>
  <c r="V83" i="11"/>
  <c r="W83" i="11"/>
  <c r="AF83" i="11"/>
  <c r="O84" i="11"/>
  <c r="S84" i="11"/>
  <c r="P84" i="11"/>
  <c r="T84" i="11"/>
  <c r="Q84" i="11"/>
  <c r="U84" i="11"/>
  <c r="R84" i="11"/>
  <c r="V84" i="11"/>
  <c r="W84" i="11"/>
  <c r="AF84" i="11"/>
  <c r="O85" i="11"/>
  <c r="S85" i="11"/>
  <c r="P85" i="11"/>
  <c r="T85" i="11"/>
  <c r="Q85" i="11"/>
  <c r="U85" i="11"/>
  <c r="R85" i="11"/>
  <c r="V85" i="11"/>
  <c r="W85" i="11"/>
  <c r="AF85" i="11"/>
  <c r="O86" i="11"/>
  <c r="S86" i="11"/>
  <c r="P86" i="11"/>
  <c r="T86" i="11"/>
  <c r="Q86" i="11"/>
  <c r="U86" i="11"/>
  <c r="R86" i="11"/>
  <c r="V86" i="11"/>
  <c r="W86" i="11"/>
  <c r="AF86" i="11"/>
  <c r="O87" i="11"/>
  <c r="S87" i="11"/>
  <c r="P87" i="11"/>
  <c r="T87" i="11"/>
  <c r="Q87" i="11"/>
  <c r="U87" i="11"/>
  <c r="R87" i="11"/>
  <c r="V87" i="11"/>
  <c r="W87" i="11"/>
  <c r="AF87" i="11"/>
  <c r="O88" i="11"/>
  <c r="S88" i="11"/>
  <c r="P88" i="11"/>
  <c r="T88" i="11"/>
  <c r="Q88" i="11"/>
  <c r="U88" i="11"/>
  <c r="R88" i="11"/>
  <c r="V88" i="11"/>
  <c r="W88" i="11"/>
  <c r="AF88" i="11"/>
  <c r="O89" i="11"/>
  <c r="S89" i="11"/>
  <c r="P89" i="11"/>
  <c r="T89" i="11"/>
  <c r="Q89" i="11"/>
  <c r="U89" i="11"/>
  <c r="R89" i="11"/>
  <c r="V89" i="11"/>
  <c r="W89" i="11"/>
  <c r="AF89" i="11"/>
  <c r="O90" i="11"/>
  <c r="S90" i="11"/>
  <c r="P90" i="11"/>
  <c r="T90" i="11"/>
  <c r="Q90" i="11"/>
  <c r="U90" i="11"/>
  <c r="R90" i="11"/>
  <c r="V90" i="11"/>
  <c r="W90" i="11"/>
  <c r="AF90" i="11"/>
  <c r="O91" i="11"/>
  <c r="S91" i="11"/>
  <c r="P91" i="11"/>
  <c r="T91" i="11"/>
  <c r="Q91" i="11"/>
  <c r="U91" i="11"/>
  <c r="R91" i="11"/>
  <c r="V91" i="11"/>
  <c r="W91" i="11"/>
  <c r="AF91" i="11"/>
  <c r="O92" i="11"/>
  <c r="S92" i="11"/>
  <c r="P92" i="11"/>
  <c r="T92" i="11"/>
  <c r="Q92" i="11"/>
  <c r="U92" i="11"/>
  <c r="R92" i="11"/>
  <c r="V92" i="11"/>
  <c r="W92" i="11"/>
  <c r="AF92" i="11"/>
  <c r="O93" i="11"/>
  <c r="S93" i="11"/>
  <c r="P93" i="11"/>
  <c r="T93" i="11"/>
  <c r="Q93" i="11"/>
  <c r="U93" i="11"/>
  <c r="R93" i="11"/>
  <c r="V93" i="11"/>
  <c r="W93" i="11"/>
  <c r="AF93" i="11"/>
  <c r="O94" i="11"/>
  <c r="S94" i="11"/>
  <c r="P94" i="11"/>
  <c r="T94" i="11"/>
  <c r="Q94" i="11"/>
  <c r="U94" i="11"/>
  <c r="R94" i="11"/>
  <c r="V94" i="11"/>
  <c r="W94" i="11"/>
  <c r="AF94" i="11"/>
  <c r="O95" i="11"/>
  <c r="S95" i="11"/>
  <c r="P95" i="11"/>
  <c r="T95" i="11"/>
  <c r="Q95" i="11"/>
  <c r="U95" i="11"/>
  <c r="R95" i="11"/>
  <c r="V95" i="11"/>
  <c r="W95" i="11"/>
  <c r="AF95" i="11"/>
  <c r="O96" i="11"/>
  <c r="S96" i="11"/>
  <c r="P96" i="11"/>
  <c r="T96" i="11"/>
  <c r="Q96" i="11"/>
  <c r="U96" i="11"/>
  <c r="R96" i="11"/>
  <c r="V96" i="11"/>
  <c r="W96" i="11"/>
  <c r="AF96" i="11"/>
  <c r="O97" i="11"/>
  <c r="S97" i="11"/>
  <c r="P97" i="11"/>
  <c r="T97" i="11"/>
  <c r="Q97" i="11"/>
  <c r="U97" i="11"/>
  <c r="R97" i="11"/>
  <c r="V97" i="11"/>
  <c r="W97" i="11"/>
  <c r="AF97" i="11"/>
  <c r="O98" i="11"/>
  <c r="S98" i="11"/>
  <c r="P98" i="11"/>
  <c r="T98" i="11"/>
  <c r="Q98" i="11"/>
  <c r="U98" i="11"/>
  <c r="R98" i="11"/>
  <c r="V98" i="11"/>
  <c r="W98" i="11"/>
  <c r="AF98" i="11"/>
  <c r="O99" i="11"/>
  <c r="S99" i="11"/>
  <c r="P99" i="11"/>
  <c r="T99" i="11"/>
  <c r="Q99" i="11"/>
  <c r="U99" i="11"/>
  <c r="R99" i="11"/>
  <c r="V99" i="11"/>
  <c r="W99" i="11"/>
  <c r="AF99" i="11"/>
  <c r="O100" i="11"/>
  <c r="S100" i="11"/>
  <c r="P100" i="11"/>
  <c r="T100" i="11"/>
  <c r="Q100" i="11"/>
  <c r="U100" i="11"/>
  <c r="R100" i="11"/>
  <c r="V100" i="11"/>
  <c r="W100" i="11"/>
  <c r="AF100" i="11"/>
  <c r="O101" i="11"/>
  <c r="S101" i="11"/>
  <c r="P101" i="11"/>
  <c r="T101" i="11"/>
  <c r="Q101" i="11"/>
  <c r="U101" i="11"/>
  <c r="R101" i="11"/>
  <c r="V101" i="11"/>
  <c r="W101" i="11"/>
  <c r="AF101" i="11"/>
  <c r="AF104" i="11"/>
  <c r="Y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T104" i="11"/>
  <c r="U104" i="11"/>
  <c r="V104" i="11"/>
  <c r="W104" i="11"/>
  <c r="X104" i="11"/>
  <c r="Y104" i="11"/>
  <c r="Z104" i="11"/>
  <c r="AA2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4" i="11"/>
  <c r="AB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4" i="11"/>
  <c r="AC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4" i="11"/>
  <c r="AD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4" i="11"/>
  <c r="S104" i="11"/>
  <c r="O104" i="11"/>
  <c r="P104" i="11"/>
  <c r="Q104" i="11"/>
  <c r="R104" i="11"/>
  <c r="C104" i="11"/>
  <c r="E104" i="11"/>
  <c r="F104" i="11"/>
  <c r="G104" i="11"/>
  <c r="H104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4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4" i="11"/>
  <c r="K104" i="11"/>
  <c r="L104" i="11"/>
  <c r="M104" i="11"/>
  <c r="N104" i="11"/>
  <c r="B104" i="11"/>
  <c r="D104" i="11"/>
</calcChain>
</file>

<file path=xl/sharedStrings.xml><?xml version="1.0" encoding="utf-8"?>
<sst xmlns="http://schemas.openxmlformats.org/spreadsheetml/2006/main" count="172" uniqueCount="138">
  <si>
    <t>repoName</t>
  </si>
  <si>
    <t>malePullRequests</t>
  </si>
  <si>
    <t>femalePullRequests</t>
  </si>
  <si>
    <t>unknownPullRequests</t>
  </si>
  <si>
    <t>legacy-homebrew</t>
  </si>
  <si>
    <t>rails</t>
  </si>
  <si>
    <t>docker</t>
  </si>
  <si>
    <t>rust</t>
  </si>
  <si>
    <t>kubernetes</t>
  </si>
  <si>
    <t>angular.js</t>
  </si>
  <si>
    <t>swift</t>
  </si>
  <si>
    <t>node</t>
  </si>
  <si>
    <t>elasticsearch</t>
  </si>
  <si>
    <t>react</t>
  </si>
  <si>
    <t>ansible</t>
  </si>
  <si>
    <t>node-v0.x-archive</t>
  </si>
  <si>
    <t>react-native</t>
  </si>
  <si>
    <t>django</t>
  </si>
  <si>
    <t>three.js</t>
  </si>
  <si>
    <t>oh-my-zsh</t>
  </si>
  <si>
    <t>atom</t>
  </si>
  <si>
    <t>electron</t>
  </si>
  <si>
    <t>brackets</t>
  </si>
  <si>
    <t>angular</t>
  </si>
  <si>
    <t>jquery</t>
  </si>
  <si>
    <t>gitignore</t>
  </si>
  <si>
    <t>meteor</t>
  </si>
  <si>
    <t>tensorflow</t>
  </si>
  <si>
    <t>gitlabhq</t>
  </si>
  <si>
    <t>Ghost</t>
  </si>
  <si>
    <t>discourse</t>
  </si>
  <si>
    <t>d3</t>
  </si>
  <si>
    <t>jekyll</t>
  </si>
  <si>
    <t>moment</t>
  </si>
  <si>
    <t>foundation-sites</t>
  </si>
  <si>
    <t>material-ui</t>
  </si>
  <si>
    <t>neovim</t>
  </si>
  <si>
    <t>laravel</t>
  </si>
  <si>
    <t>backbone</t>
  </si>
  <si>
    <t>babel</t>
  </si>
  <si>
    <t>html5-boilerplate</t>
  </si>
  <si>
    <t>RxJava</t>
  </si>
  <si>
    <t>requests</t>
  </si>
  <si>
    <t>express</t>
  </si>
  <si>
    <t>javascript</t>
  </si>
  <si>
    <t>awesome</t>
  </si>
  <si>
    <t>AFNetworking</t>
  </si>
  <si>
    <t>underscore</t>
  </si>
  <si>
    <t>todomvc</t>
  </si>
  <si>
    <t>material-design-lite</t>
  </si>
  <si>
    <t>socket.io</t>
  </si>
  <si>
    <t>react-router</t>
  </si>
  <si>
    <t>ionic</t>
  </si>
  <si>
    <t>youtube-dl</t>
  </si>
  <si>
    <t>reveal.js</t>
  </si>
  <si>
    <t>yarn</t>
  </si>
  <si>
    <t>nw.js</t>
  </si>
  <si>
    <t>Semantic-UI</t>
  </si>
  <si>
    <t>redux</t>
  </si>
  <si>
    <t>Modernizr</t>
  </si>
  <si>
    <t>vscode</t>
  </si>
  <si>
    <t>flask</t>
  </si>
  <si>
    <t>redis</t>
  </si>
  <si>
    <t>phantomjs</t>
  </si>
  <si>
    <t>select2</t>
  </si>
  <si>
    <t>Font-Awesome</t>
  </si>
  <si>
    <t>webpack</t>
  </si>
  <si>
    <t>chosen</t>
  </si>
  <si>
    <t>the-art-of-command-line</t>
  </si>
  <si>
    <t>free-programming-books</t>
  </si>
  <si>
    <t>lodash</t>
  </si>
  <si>
    <t>bootstrap</t>
  </si>
  <si>
    <t>vue</t>
  </si>
  <si>
    <t>freeCodeCamp</t>
  </si>
  <si>
    <t>gulp</t>
  </si>
  <si>
    <t>impress.js</t>
  </si>
  <si>
    <t>Chart.js</t>
  </si>
  <si>
    <t>async</t>
  </si>
  <si>
    <t>You-Dont-Know-JS</t>
  </si>
  <si>
    <t>Alamofire</t>
  </si>
  <si>
    <t>materialize</t>
  </si>
  <si>
    <t>awesome-python</t>
  </si>
  <si>
    <t>angular-styleguide</t>
  </si>
  <si>
    <t>animate.css</t>
  </si>
  <si>
    <t>thefuck</t>
  </si>
  <si>
    <t>linux</t>
  </si>
  <si>
    <t>normalize.css</t>
  </si>
  <si>
    <t>Front-end-Developer-Interview-Questions</t>
  </si>
  <si>
    <t>frontend-dev-bookmarks</t>
  </si>
  <si>
    <t>jQuery-File-Upload</t>
  </si>
  <si>
    <t>resume.github.com</t>
  </si>
  <si>
    <t>httpie</t>
  </si>
  <si>
    <t>lantern</t>
  </si>
  <si>
    <t>awesome-machine-learning</t>
  </si>
  <si>
    <t>N1</t>
  </si>
  <si>
    <t>computer-science</t>
  </si>
  <si>
    <t>google-interview-university</t>
  </si>
  <si>
    <t>github-cheat-sheet</t>
  </si>
  <si>
    <t>Apollo-11</t>
  </si>
  <si>
    <t>android-open-project</t>
  </si>
  <si>
    <t>hacker-scripts</t>
  </si>
  <si>
    <t>go</t>
  </si>
  <si>
    <t>material-design-icons</t>
  </si>
  <si>
    <t>awesome-android-ui</t>
  </si>
  <si>
    <t>maleMergedCount</t>
  </si>
  <si>
    <t>maleDeclinedCount</t>
  </si>
  <si>
    <t>femaleMergedCount</t>
  </si>
  <si>
    <t>femaleDeclinedCount</t>
  </si>
  <si>
    <t>AVERAGES</t>
  </si>
  <si>
    <t>PRCount</t>
  </si>
  <si>
    <t>mergedCount</t>
  </si>
  <si>
    <t>declinedCount</t>
  </si>
  <si>
    <t>male merged expected</t>
  </si>
  <si>
    <t>male declined expected</t>
  </si>
  <si>
    <t>female declined expected</t>
  </si>
  <si>
    <t>female merged expected</t>
  </si>
  <si>
    <t>chi1</t>
  </si>
  <si>
    <t>chi2</t>
  </si>
  <si>
    <t>chi3</t>
  </si>
  <si>
    <t>chi4</t>
  </si>
  <si>
    <t>chitest statistic</t>
  </si>
  <si>
    <t>CHI TEST EXCEL</t>
  </si>
  <si>
    <t>male merge</t>
  </si>
  <si>
    <t>male dec</t>
  </si>
  <si>
    <t>female merg</t>
  </si>
  <si>
    <t>female dec</t>
  </si>
  <si>
    <t>USABLE</t>
  </si>
  <si>
    <t>male Percentage</t>
  </si>
  <si>
    <t>female Percentage</t>
  </si>
  <si>
    <t>SUM</t>
  </si>
  <si>
    <t>Users Total</t>
  </si>
  <si>
    <t>Female Users</t>
  </si>
  <si>
    <t>Male Users</t>
  </si>
  <si>
    <t>Unknown/Unisex</t>
  </si>
  <si>
    <t>Average PR/Male</t>
  </si>
  <si>
    <t>Average PR/Female</t>
  </si>
  <si>
    <t>Perason r</t>
  </si>
  <si>
    <t>Merge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</si>
</sst>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4"/>
      <color rgb="FF000000"/>
      <name val="Arial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/>
      </left>
      <right style="thin">
        <color theme="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medium">
        <color auto="1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NumberFormat="1"/>
    <xf numFmtId="0" fontId="3" fillId="0" borderId="0" xfId="2"/>
    <xf numFmtId="1" fontId="2" fillId="2" borderId="1" xfId="1" applyNumberFormat="1"/>
    <xf numFmtId="164" fontId="0" fillId="0" borderId="0" xfId="0" applyNumberFormat="1"/>
    <xf numFmtId="164" fontId="1" fillId="0" borderId="0" xfId="0" applyNumberFormat="1" applyFont="1"/>
    <xf numFmtId="1" fontId="2" fillId="2" borderId="2" xfId="1" applyNumberFormat="1" applyBorder="1"/>
    <xf numFmtId="1" fontId="2" fillId="2" borderId="3" xfId="1" applyNumberFormat="1" applyBorder="1"/>
    <xf numFmtId="0" fontId="0" fillId="0" borderId="4" xfId="0" applyBorder="1"/>
    <xf numFmtId="0" fontId="3" fillId="0" borderId="5" xfId="2" applyBorder="1"/>
    <xf numFmtId="0" fontId="0" fillId="0" borderId="5" xfId="0" applyBorder="1"/>
    <xf numFmtId="1" fontId="2" fillId="2" borderId="6" xfId="1" applyNumberFormat="1" applyBorder="1"/>
    <xf numFmtId="0" fontId="0" fillId="0" borderId="5" xfId="0" applyNumberFormat="1" applyBorder="1"/>
    <xf numFmtId="10" fontId="0" fillId="0" borderId="5" xfId="0" applyNumberFormat="1" applyBorder="1"/>
    <xf numFmtId="1" fontId="2" fillId="2" borderId="7" xfId="1" applyNumberFormat="1" applyBorder="1"/>
    <xf numFmtId="0" fontId="4" fillId="0" borderId="0" xfId="0" applyFont="1"/>
    <xf numFmtId="0" fontId="3" fillId="3" borderId="8" xfId="2" applyFont="1" applyFill="1" applyBorder="1"/>
    <xf numFmtId="0" fontId="0" fillId="3" borderId="8" xfId="0" applyFont="1" applyFill="1" applyBorder="1"/>
    <xf numFmtId="165" fontId="0" fillId="0" borderId="5" xfId="0" applyNumberFormat="1" applyBorder="1"/>
    <xf numFmtId="165" fontId="0" fillId="0" borderId="0" xfId="0" applyNumberFormat="1"/>
    <xf numFmtId="10" fontId="3" fillId="0" borderId="0" xfId="2" applyNumberFormat="1"/>
    <xf numFmtId="10" fontId="3" fillId="0" borderId="5" xfId="2" applyNumberFormat="1" applyBorder="1"/>
    <xf numFmtId="0" fontId="0" fillId="0" borderId="9" xfId="0" applyBorder="1"/>
    <xf numFmtId="0" fontId="3" fillId="0" borderId="10" xfId="2" applyBorder="1"/>
    <xf numFmtId="10" fontId="3" fillId="0" borderId="10" xfId="2" applyNumberFormat="1" applyBorder="1"/>
    <xf numFmtId="0" fontId="0" fillId="0" borderId="10" xfId="0" applyBorder="1"/>
    <xf numFmtId="1" fontId="2" fillId="2" borderId="11" xfId="1" applyNumberFormat="1" applyBorder="1"/>
    <xf numFmtId="10" fontId="0" fillId="0" borderId="10" xfId="0" applyNumberFormat="1" applyBorder="1"/>
    <xf numFmtId="0" fontId="1" fillId="0" borderId="5" xfId="0" applyFont="1" applyBorder="1"/>
    <xf numFmtId="0" fontId="0" fillId="0" borderId="5" xfId="0" applyFont="1" applyBorder="1"/>
  </cellXfs>
  <cellStyles count="3">
    <cellStyle name="Calculation" xfId="1" builtinId="22"/>
    <cellStyle name="Explanatory Text" xfId="2" builtinId="53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6" name="Table6" displayName="Table6" ref="A1:R101" totalsRowShown="0">
  <autoFilter ref="A1:R101"/>
  <tableColumns count="18">
    <tableColumn id="1" name="repoName"/>
    <tableColumn id="2" name="PRCount" dataCellStyle="Explanatory Text"/>
    <tableColumn id="3" name="mergedCount" dataCellStyle="Explanatory Text"/>
    <tableColumn id="19" name="Merge %" dataDxfId="15" dataCellStyle="Explanatory Text">
      <calculatedColumnFormula>Table6[[#This Row],[mergedCount]]/Table6[[#This Row],[PRCount]]</calculatedColumnFormula>
    </tableColumn>
    <tableColumn id="4" name="declinedCount" dataCellStyle="Explanatory Text"/>
    <tableColumn id="5" name="malePullRequests" dataCellStyle="Explanatory Text"/>
    <tableColumn id="6" name="femalePullRequests" dataCellStyle="Explanatory Text"/>
    <tableColumn id="7" name="unknownPullRequests" dataCellStyle="Explanatory Text"/>
    <tableColumn id="17" name="male Percentage" dataDxfId="21" dataCellStyle="Normal">
      <calculatedColumnFormula>Table6[[#This Row],[malePullRequests]]/(Table6[[#This Row],[PRCount]]-Table6[[#This Row],[unknownPullRequests]])</calculatedColumnFormula>
    </tableColumn>
    <tableColumn id="16" name="female Percentage" dataDxfId="20" dataCellStyle="Normal">
      <calculatedColumnFormula>Table6[[#This Row],[femalePullRequests]]/(Table6[[#This Row],[PRCount]]-Table6[[#This Row],[unknownPullRequests]])</calculatedColumnFormula>
    </tableColumn>
    <tableColumn id="8" name="maleMergedCount"/>
    <tableColumn id="9" name="maleDeclinedCount"/>
    <tableColumn id="10" name="femaleMergedCount"/>
    <tableColumn id="11" name="femaleDeclinedCount"/>
    <tableColumn id="12" name="male merged expected" dataDxfId="19" dataCellStyle="Calculation">
      <calculatedColumnFormula>(Table6[[#This Row],[mergedCount]]/Table6[[#This Row],[PRCount]])*Table6[[#This Row],[malePullRequests]]</calculatedColumnFormula>
    </tableColumn>
    <tableColumn id="13" name="male declined expected" dataDxfId="18" dataCellStyle="Calculation">
      <calculatedColumnFormula>(Table6[[#This Row],[declinedCount]]/Table6[[#This Row],[PRCount]])*Table6[[#This Row],[malePullRequests]]</calculatedColumnFormula>
    </tableColumn>
    <tableColumn id="14" name="female merged expected" dataDxfId="17" dataCellStyle="Calculation">
      <calculatedColumnFormula>(Table6[[#This Row],[mergedCount]]/Table6[[#This Row],[PRCount]])*Table6[[#This Row],[femalePullRequests]]</calculatedColumnFormula>
    </tableColumn>
    <tableColumn id="15" name="female declined expected" dataDxfId="16" dataCellStyle="Calculation">
      <calculatedColumnFormula>(Table6[[#This Row],[declinedCount]]/Table6[[#This Row],[PRCount]])*Table6[[#This Row],[femalePullRequests]]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0"/>
  <sheetViews>
    <sheetView workbookViewId="0">
      <selection activeCell="Q39" sqref="Q39"/>
    </sheetView>
  </sheetViews>
  <sheetFormatPr baseColWidth="10" defaultRowHeight="16" x14ac:dyDescent="0.2"/>
  <cols>
    <col min="2" max="2" width="19.83203125" bestFit="1" customWidth="1"/>
  </cols>
  <sheetData>
    <row r="4" spans="2:3" x14ac:dyDescent="0.2">
      <c r="B4" t="s">
        <v>130</v>
      </c>
      <c r="C4">
        <v>43130</v>
      </c>
    </row>
    <row r="5" spans="2:3" x14ac:dyDescent="0.2">
      <c r="B5" t="s">
        <v>131</v>
      </c>
      <c r="C5">
        <v>1985</v>
      </c>
    </row>
    <row r="6" spans="2:3" x14ac:dyDescent="0.2">
      <c r="B6" t="s">
        <v>132</v>
      </c>
      <c r="C6">
        <v>25227</v>
      </c>
    </row>
    <row r="7" spans="2:3" x14ac:dyDescent="0.2">
      <c r="B7" t="s">
        <v>133</v>
      </c>
      <c r="C7">
        <f>15827+75+16</f>
        <v>15918</v>
      </c>
    </row>
    <row r="9" spans="2:3" x14ac:dyDescent="0.2">
      <c r="B9" t="s">
        <v>134</v>
      </c>
      <c r="C9">
        <f>Chi!F105/'DB Stats'!C6</f>
        <v>4.6942165140524041</v>
      </c>
    </row>
    <row r="10" spans="2:3" x14ac:dyDescent="0.2">
      <c r="B10" t="s">
        <v>135</v>
      </c>
      <c r="C10">
        <f>Chi!G105/'DB Stats'!C5</f>
        <v>4.1793450881612086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105"/>
  <sheetViews>
    <sheetView tabSelected="1" zoomScale="51" zoomScaleNormal="51" zoomScalePageLayoutView="51" workbookViewId="0">
      <selection activeCell="AF35" sqref="AF35"/>
    </sheetView>
  </sheetViews>
  <sheetFormatPr baseColWidth="10" defaultRowHeight="16" x14ac:dyDescent="0.2"/>
  <cols>
    <col min="1" max="1" width="35.33203125" bestFit="1" customWidth="1"/>
    <col min="2" max="2" width="10.83203125" style="4" customWidth="1"/>
    <col min="3" max="3" width="15" style="4" customWidth="1"/>
    <col min="4" max="4" width="15" style="22" customWidth="1"/>
    <col min="5" max="5" width="15.6640625" style="4" customWidth="1"/>
    <col min="6" max="6" width="18.5" style="4" customWidth="1"/>
    <col min="7" max="7" width="20.1640625" style="4" customWidth="1"/>
    <col min="8" max="8" width="22.1640625" style="4" customWidth="1"/>
    <col min="9" max="10" width="22.1640625" style="2" customWidth="1"/>
    <col min="11" max="11" width="19.1640625" customWidth="1"/>
    <col min="12" max="12" width="19.83203125" customWidth="1"/>
    <col min="13" max="13" width="20.83203125" customWidth="1"/>
    <col min="14" max="14" width="21.5" customWidth="1"/>
    <col min="15" max="16" width="14.1640625" style="5" customWidth="1"/>
    <col min="17" max="18" width="11.33203125" style="5" customWidth="1"/>
    <col min="23" max="23" width="13.33203125" bestFit="1" customWidth="1"/>
    <col min="24" max="24" width="7.6640625" customWidth="1"/>
    <col min="25" max="25" width="13.6640625" style="6" bestFit="1" customWidth="1"/>
    <col min="26" max="26" width="5" customWidth="1"/>
  </cols>
  <sheetData>
    <row r="1" spans="1:34" ht="18" x14ac:dyDescent="0.2">
      <c r="A1" t="s">
        <v>0</v>
      </c>
      <c r="B1" t="s">
        <v>109</v>
      </c>
      <c r="C1" t="s">
        <v>110</v>
      </c>
      <c r="D1" s="2" t="s">
        <v>137</v>
      </c>
      <c r="E1" t="s">
        <v>111</v>
      </c>
      <c r="F1" t="s">
        <v>1</v>
      </c>
      <c r="G1" t="s">
        <v>2</v>
      </c>
      <c r="H1" t="s">
        <v>3</v>
      </c>
      <c r="I1" s="2" t="s">
        <v>127</v>
      </c>
      <c r="J1" s="2" t="s">
        <v>128</v>
      </c>
      <c r="K1" t="s">
        <v>104</v>
      </c>
      <c r="L1" t="s">
        <v>105</v>
      </c>
      <c r="M1" t="s">
        <v>106</v>
      </c>
      <c r="N1" t="s">
        <v>107</v>
      </c>
      <c r="O1" t="s">
        <v>112</v>
      </c>
      <c r="P1" t="s">
        <v>113</v>
      </c>
      <c r="Q1" t="s">
        <v>115</v>
      </c>
      <c r="R1" t="s">
        <v>114</v>
      </c>
      <c r="S1" s="1" t="s">
        <v>116</v>
      </c>
      <c r="T1" s="1" t="s">
        <v>117</v>
      </c>
      <c r="U1" s="1" t="s">
        <v>118</v>
      </c>
      <c r="V1" s="1" t="s">
        <v>119</v>
      </c>
      <c r="W1" s="1" t="s">
        <v>120</v>
      </c>
      <c r="X1" s="17">
        <v>7.8789999999999996</v>
      </c>
      <c r="Y1" s="7" t="s">
        <v>121</v>
      </c>
      <c r="Z1" s="1"/>
      <c r="AA1" s="1" t="s">
        <v>122</v>
      </c>
      <c r="AB1" s="1" t="s">
        <v>123</v>
      </c>
      <c r="AC1" s="1" t="s">
        <v>124</v>
      </c>
      <c r="AD1" s="1" t="s">
        <v>125</v>
      </c>
      <c r="AF1" s="1" t="s">
        <v>126</v>
      </c>
      <c r="AH1" s="1" t="s">
        <v>136</v>
      </c>
    </row>
    <row r="2" spans="1:34" x14ac:dyDescent="0.2">
      <c r="A2" t="s">
        <v>4</v>
      </c>
      <c r="B2" s="4">
        <v>26029</v>
      </c>
      <c r="C2" s="4">
        <v>159</v>
      </c>
      <c r="D2" s="22">
        <f>Table6[[#This Row],[mergedCount]]/Table6[[#This Row],[PRCount]]</f>
        <v>6.108571209036075E-3</v>
      </c>
      <c r="E2" s="4">
        <v>25870</v>
      </c>
      <c r="F2" s="4">
        <v>18361</v>
      </c>
      <c r="G2" s="4">
        <v>1095</v>
      </c>
      <c r="H2" s="4">
        <v>6573</v>
      </c>
      <c r="I2" s="2">
        <f>Table6[[#This Row],[malePullRequests]]/(Table6[[#This Row],[PRCount]]-Table6[[#This Row],[unknownPullRequests]])</f>
        <v>0.94371916118421051</v>
      </c>
      <c r="J2" s="2">
        <f>Table6[[#This Row],[femalePullRequests]]/(Table6[[#This Row],[PRCount]]-Table6[[#This Row],[unknownPullRequests]])</f>
        <v>5.628083881578947E-2</v>
      </c>
      <c r="K2">
        <v>111</v>
      </c>
      <c r="L2">
        <v>18250</v>
      </c>
      <c r="M2">
        <v>10</v>
      </c>
      <c r="N2">
        <v>1085</v>
      </c>
      <c r="O2" s="5">
        <f>(Table6[[#This Row],[mergedCount]]/Table6[[#This Row],[PRCount]])*Table6[[#This Row],[malePullRequests]]</f>
        <v>112.15947596911137</v>
      </c>
      <c r="P2" s="5">
        <f>(Table6[[#This Row],[declinedCount]]/Table6[[#This Row],[PRCount]])*Table6[[#This Row],[malePullRequests]]</f>
        <v>18248.840524030889</v>
      </c>
      <c r="Q2" s="5">
        <f>(Table6[[#This Row],[mergedCount]]/Table6[[#This Row],[PRCount]])*Table6[[#This Row],[femalePullRequests]]</f>
        <v>6.6888854738945023</v>
      </c>
      <c r="R2" s="5">
        <f>(Table6[[#This Row],[declinedCount]]/Table6[[#This Row],[PRCount]])*Table6[[#This Row],[femalePullRequests]]</f>
        <v>1088.3111145261055</v>
      </c>
      <c r="S2">
        <f>(Table6[[#This Row],[maleMergedCount]]-Table6[[#This Row],[male merged expected]])^2/IF(Table6[[#This Row],[male merged expected]]&gt;0,Table6[[#This Row],[male merged expected]],1)</f>
        <v>1.1986365943052298E-2</v>
      </c>
      <c r="T2">
        <f>(Table6[[#This Row],[maleDeclinedCount]]-Table6[[#This Row],[male declined expected]])^2/IF(Table6[[#This Row],[male declined expected]]&gt;0,Table6[[#This Row],[male declined expected]],1)</f>
        <v>7.3669585811477888E-5</v>
      </c>
      <c r="U2">
        <f>(Table6[[#This Row],[femaleMergedCount]]-Table6[[#This Row],[female merged expected]])^2/IF(Table6[[#This Row],[female merged expected]]&gt;0,Table6[[#This Row],[female merged expected]],1)</f>
        <v>1.6390592196226548</v>
      </c>
      <c r="V2">
        <f>(Table6[[#This Row],[femaleDeclinedCount]]-Table6[[#This Row],[female declined expected]])^2/IF(Table6[[#This Row],[female declined expected]]&gt;0,Table6[[#This Row],[female declined expected]],1)</f>
        <v>1.007384676923077E-2</v>
      </c>
      <c r="W2">
        <f>SUM(S2:V2)</f>
        <v>1.6611931019207493</v>
      </c>
      <c r="Y2" s="3">
        <f>IF(PRODUCT(Table6[[#This Row],[maleMergedCount]:[female declined expected]])&gt;0,_xlfn.CHISQ.TEST(Table6[[#This Row],[maleMergedCount]:[femaleDeclinedCount]],Table6[[#This Row],[male merged expected]:[female declined expected]]),"FALSE")</f>
        <v>0.64559563487715699</v>
      </c>
      <c r="AA2" s="2">
        <f>Table6[[#This Row],[maleMergedCount]]/Table6[[#This Row],[male merged expected]]-1</f>
        <v>-1.0337744172687513E-2</v>
      </c>
      <c r="AB2" s="2">
        <f>Table6[[#This Row],[maleDeclinedCount]]/Table6[[#This Row],[male declined expected]]-1</f>
        <v>6.3536966503852099E-5</v>
      </c>
      <c r="AC2" s="2">
        <f>Table6[[#This Row],[femaleMergedCount]]/Table6[[#This Row],[female merged expected]]-1</f>
        <v>0.49501737457281525</v>
      </c>
      <c r="AD2" s="2">
        <f>Table6[[#This Row],[femaleDeclinedCount]]/Table6[[#This Row],[female declined expected]]-1</f>
        <v>-3.0424338058399059E-3</v>
      </c>
      <c r="AF2">
        <f>IF(OR(Table6[[#This Row],[maleMergedCount]]&lt;5,Table6[[#This Row],[maleDeclinedCount]]&lt;5,Table6[[#This Row],[femaleMergedCount]]&lt;5,Table6[[#This Row],[femaleDeclinedCount]]&lt;5,W2&lt;$X$1),0,1)</f>
        <v>0</v>
      </c>
    </row>
    <row r="3" spans="1:34" ht="17" thickBot="1" x14ac:dyDescent="0.25">
      <c r="A3" t="s">
        <v>5</v>
      </c>
      <c r="B3" s="4">
        <v>17262</v>
      </c>
      <c r="C3" s="4">
        <v>11572</v>
      </c>
      <c r="D3" s="22">
        <f>Table6[[#This Row],[mergedCount]]/Table6[[#This Row],[PRCount]]</f>
        <v>0.67037423241802807</v>
      </c>
      <c r="E3" s="4">
        <v>5690</v>
      </c>
      <c r="F3" s="4">
        <v>12062</v>
      </c>
      <c r="G3" s="4">
        <v>810</v>
      </c>
      <c r="H3" s="4">
        <v>4390</v>
      </c>
      <c r="I3" s="2">
        <f>Table6[[#This Row],[malePullRequests]]/(Table6[[#This Row],[PRCount]]-Table6[[#This Row],[unknownPullRequests]])</f>
        <v>0.93707271597265385</v>
      </c>
      <c r="J3" s="2">
        <f>Table6[[#This Row],[femalePullRequests]]/(Table6[[#This Row],[PRCount]]-Table6[[#This Row],[unknownPullRequests]])</f>
        <v>6.2927284027346181E-2</v>
      </c>
      <c r="K3">
        <v>8050</v>
      </c>
      <c r="L3">
        <v>4012</v>
      </c>
      <c r="M3">
        <v>557</v>
      </c>
      <c r="N3">
        <v>253</v>
      </c>
      <c r="O3" s="8">
        <f>(Table6[[#This Row],[mergedCount]]/Table6[[#This Row],[PRCount]])*Table6[[#This Row],[malePullRequests]]</f>
        <v>8086.0539914262545</v>
      </c>
      <c r="P3" s="8">
        <f>(Table6[[#This Row],[declinedCount]]/Table6[[#This Row],[PRCount]])*Table6[[#This Row],[malePullRequests]]</f>
        <v>3975.946008573746</v>
      </c>
      <c r="Q3" s="8">
        <f>(Table6[[#This Row],[mergedCount]]/Table6[[#This Row],[PRCount]])*Table6[[#This Row],[femalePullRequests]]</f>
        <v>543.00312825860271</v>
      </c>
      <c r="R3" s="8">
        <f>(Table6[[#This Row],[declinedCount]]/Table6[[#This Row],[PRCount]])*Table6[[#This Row],[femalePullRequests]]</f>
        <v>266.99687174139729</v>
      </c>
      <c r="S3">
        <f>(Table6[[#This Row],[maleMergedCount]]-Table6[[#This Row],[male merged expected]])^2/IF(Table6[[#This Row],[male merged expected]]&gt;0,Table6[[#This Row],[male merged expected]],1)</f>
        <v>0.16075706384631133</v>
      </c>
      <c r="T3">
        <f>(Table6[[#This Row],[maleDeclinedCount]]-Table6[[#This Row],[male declined expected]])^2/IF(Table6[[#This Row],[male declined expected]]&gt;0,Table6[[#This Row],[male declined expected]],1)</f>
        <v>0.32693861912644417</v>
      </c>
      <c r="U3">
        <f>(Table6[[#This Row],[femaleMergedCount]]-Table6[[#This Row],[female merged expected]])^2/IF(Table6[[#This Row],[female merged expected]]&gt;0,Table6[[#This Row],[female merged expected]],1)</f>
        <v>0.36079427235237493</v>
      </c>
      <c r="V3">
        <f>(Table6[[#This Row],[femaleDeclinedCount]]-Table6[[#This Row],[female declined expected]])^2/IF(Table6[[#This Row],[female declined expected]]&gt;0,Table6[[#This Row],[female declined expected]],1)</f>
        <v>0.73376297357850317</v>
      </c>
      <c r="W3">
        <f t="shared" ref="W3:W66" si="0">SUM(S3:V3)</f>
        <v>1.5822529289036336</v>
      </c>
      <c r="Y3" s="3">
        <f>IF(PRODUCT(Table6[[#This Row],[maleMergedCount]:[female declined expected]])&gt;0,_xlfn.CHISQ.TEST(Table6[[#This Row],[maleMergedCount]:[femaleDeclinedCount]],Table6[[#This Row],[male merged expected]:[female declined expected]]),"FALSE")</f>
        <v>0.66342051023123028</v>
      </c>
      <c r="AA3" s="2">
        <f>Table6[[#This Row],[maleMergedCount]]/Table6[[#This Row],[male merged expected]]-1</f>
        <v>-4.4587868773178219E-3</v>
      </c>
      <c r="AB3" s="2">
        <f>Table6[[#This Row],[maleDeclinedCount]]/Table6[[#This Row],[male declined expected]]-1</f>
        <v>9.0680284260669097E-3</v>
      </c>
      <c r="AC3" s="2">
        <f>Table6[[#This Row],[femaleMergedCount]]/Table6[[#This Row],[female merged expected]]-1</f>
        <v>2.5776779198832367E-2</v>
      </c>
      <c r="AD3" s="2">
        <f>Table6[[#This Row],[femaleDeclinedCount]]/Table6[[#This Row],[female declined expected]]-1</f>
        <v>-5.2423354813513012E-2</v>
      </c>
      <c r="AF3">
        <f>IF(OR(Table6[[#This Row],[maleMergedCount]]&lt;5,Table6[[#This Row],[maleDeclinedCount]]&lt;5,Table6[[#This Row],[femaleMergedCount]]&lt;5,Table6[[#This Row],[femaleDeclinedCount]]&lt;5,W3&lt;$X$1),0,1)</f>
        <v>0</v>
      </c>
      <c r="AH3">
        <v>1.13001E-2</v>
      </c>
    </row>
    <row r="4" spans="1:34" s="12" customFormat="1" ht="17" thickBot="1" x14ac:dyDescent="0.25">
      <c r="A4" s="10" t="s">
        <v>6</v>
      </c>
      <c r="B4" s="11">
        <v>15146</v>
      </c>
      <c r="C4" s="11">
        <v>12024</v>
      </c>
      <c r="D4" s="23">
        <f>Table6[[#This Row],[mergedCount]]/Table6[[#This Row],[PRCount]]</f>
        <v>0.79387296976099297</v>
      </c>
      <c r="E4" s="11">
        <v>3122</v>
      </c>
      <c r="F4" s="11">
        <v>9445</v>
      </c>
      <c r="G4" s="11">
        <v>980</v>
      </c>
      <c r="H4" s="11">
        <v>4721</v>
      </c>
      <c r="I4" s="2">
        <f>Table6[[#This Row],[malePullRequests]]/(Table6[[#This Row],[PRCount]]-Table6[[#This Row],[unknownPullRequests]])</f>
        <v>0.90599520383693044</v>
      </c>
      <c r="J4" s="2">
        <f>Table6[[#This Row],[femalePullRequests]]/(Table6[[#This Row],[PRCount]]-Table6[[#This Row],[unknownPullRequests]])</f>
        <v>9.4004796163069546E-2</v>
      </c>
      <c r="K4" s="12">
        <v>7664</v>
      </c>
      <c r="L4" s="12">
        <v>1781</v>
      </c>
      <c r="M4" s="12">
        <v>820</v>
      </c>
      <c r="N4" s="12">
        <v>160</v>
      </c>
      <c r="O4" s="13">
        <f>(Table6[[#This Row],[mergedCount]]/Table6[[#This Row],[PRCount]])*Table6[[#This Row],[malePullRequests]]</f>
        <v>7498.130199392579</v>
      </c>
      <c r="P4" s="13">
        <f>(Table6[[#This Row],[declinedCount]]/Table6[[#This Row],[PRCount]])*Table6[[#This Row],[malePullRequests]]</f>
        <v>1946.869800607421</v>
      </c>
      <c r="Q4" s="13">
        <f>(Table6[[#This Row],[mergedCount]]/Table6[[#This Row],[PRCount]])*Table6[[#This Row],[femalePullRequests]]</f>
        <v>777.99551036577316</v>
      </c>
      <c r="R4" s="13">
        <f>(Table6[[#This Row],[declinedCount]]/Table6[[#This Row],[PRCount]])*Table6[[#This Row],[femalePullRequests]]</f>
        <v>202.00448963422687</v>
      </c>
      <c r="S4">
        <f>(Table6[[#This Row],[maleMergedCount]]-Table6[[#This Row],[male merged expected]])^2/IF(Table6[[#This Row],[male merged expected]]&gt;0,Table6[[#This Row],[male merged expected]],1)</f>
        <v>3.6692868784506301</v>
      </c>
      <c r="T4">
        <f>(Table6[[#This Row],[maleDeclinedCount]]-Table6[[#This Row],[male declined expected]])^2/IF(Table6[[#This Row],[male declined expected]]&gt;0,Table6[[#This Row],[male declined expected]],1)</f>
        <v>14.131808272418443</v>
      </c>
      <c r="U4">
        <f>(Table6[[#This Row],[femaleMergedCount]]-Table6[[#This Row],[female merged expected]])^2/IF(Table6[[#This Row],[female merged expected]]&gt;0,Table6[[#This Row],[female merged expected]],1)</f>
        <v>2.2678500401658508</v>
      </c>
      <c r="V4">
        <f>(Table6[[#This Row],[femaleDeclinedCount]]-Table6[[#This Row],[female declined expected]])^2/IF(Table6[[#This Row],[female declined expected]]&gt;0,Table6[[#This Row],[female declined expected]],1)</f>
        <v>8.7343462149116675</v>
      </c>
      <c r="W4" s="12">
        <f t="shared" si="0"/>
        <v>28.803291405946592</v>
      </c>
      <c r="Y4" s="3">
        <f>IF(PRODUCT(Table6[[#This Row],[maleMergedCount]:[female declined expected]])&gt;0,_xlfn.CHISQ.TEST(Table6[[#This Row],[maleMergedCount]:[femaleDeclinedCount]],Table6[[#This Row],[male merged expected]:[female declined expected]]),"FALSE")</f>
        <v>2.4630150900097725E-6</v>
      </c>
      <c r="AA4" s="15">
        <f>Table6[[#This Row],[maleMergedCount]]/Table6[[#This Row],[male merged expected]]-1</f>
        <v>2.2121488450661753E-2</v>
      </c>
      <c r="AB4" s="15">
        <f>Table6[[#This Row],[maleDeclinedCount]]/Table6[[#This Row],[male declined expected]]-1</f>
        <v>-8.5198198952836868E-2</v>
      </c>
      <c r="AC4" s="15">
        <f>Table6[[#This Row],[femaleMergedCount]]/Table6[[#This Row],[female merged expected]]-1</f>
        <v>5.3990658139503322E-2</v>
      </c>
      <c r="AD4" s="15">
        <f>Table6[[#This Row],[femaleDeclinedCount]]/Table6[[#This Row],[female declined expected]]-1</f>
        <v>-0.20793839637071998</v>
      </c>
      <c r="AF4">
        <f>IF(OR(Table6[[#This Row],[maleMergedCount]]&lt;5,Table6[[#This Row],[maleDeclinedCount]]&lt;5,Table6[[#This Row],[femaleMergedCount]]&lt;5,Table6[[#This Row],[femaleDeclinedCount]]&lt;5,W4&lt;$X$1),0,1)</f>
        <v>1</v>
      </c>
      <c r="AH4" s="31">
        <v>-3.3545060000000002E-2</v>
      </c>
    </row>
    <row r="5" spans="1:34" x14ac:dyDescent="0.2">
      <c r="A5" t="s">
        <v>7</v>
      </c>
      <c r="B5" s="4">
        <v>8491</v>
      </c>
      <c r="C5" s="4">
        <v>5896</v>
      </c>
      <c r="D5" s="22">
        <f>Table6[[#This Row],[mergedCount]]/Table6[[#This Row],[PRCount]]</f>
        <v>0.69438228712754679</v>
      </c>
      <c r="E5" s="4">
        <v>2595</v>
      </c>
      <c r="F5" s="4">
        <v>5870</v>
      </c>
      <c r="G5" s="4">
        <v>199</v>
      </c>
      <c r="H5" s="4">
        <v>2422</v>
      </c>
      <c r="I5" s="2">
        <f>Table6[[#This Row],[malePullRequests]]/(Table6[[#This Row],[PRCount]]-Table6[[#This Row],[unknownPullRequests]])</f>
        <v>0.96721041357719562</v>
      </c>
      <c r="J5" s="2">
        <f>Table6[[#This Row],[femalePullRequests]]/(Table6[[#This Row],[PRCount]]-Table6[[#This Row],[unknownPullRequests]])</f>
        <v>3.2789586422804419E-2</v>
      </c>
      <c r="K5">
        <v>4007</v>
      </c>
      <c r="L5">
        <v>1863</v>
      </c>
      <c r="M5">
        <v>151</v>
      </c>
      <c r="N5">
        <v>48</v>
      </c>
      <c r="O5" s="9">
        <f>(Table6[[#This Row],[mergedCount]]/Table6[[#This Row],[PRCount]])*Table6[[#This Row],[malePullRequests]]</f>
        <v>4076.0240254386995</v>
      </c>
      <c r="P5" s="9">
        <f>(Table6[[#This Row],[declinedCount]]/Table6[[#This Row],[PRCount]])*Table6[[#This Row],[malePullRequests]]</f>
        <v>1793.9759745613003</v>
      </c>
      <c r="Q5" s="9">
        <f>(Table6[[#This Row],[mergedCount]]/Table6[[#This Row],[PRCount]])*Table6[[#This Row],[femalePullRequests]]</f>
        <v>138.1820751383818</v>
      </c>
      <c r="R5" s="9">
        <f>(Table6[[#This Row],[declinedCount]]/Table6[[#This Row],[PRCount]])*Table6[[#This Row],[femalePullRequests]]</f>
        <v>60.817924861618188</v>
      </c>
      <c r="S5">
        <f>(Table6[[#This Row],[maleMergedCount]]-Table6[[#This Row],[male merged expected]])^2/IF(Table6[[#This Row],[male merged expected]]&gt;0,Table6[[#This Row],[male merged expected]],1)</f>
        <v>1.1688635930573186</v>
      </c>
      <c r="T5">
        <f>(Table6[[#This Row],[maleDeclinedCount]]-Table6[[#This Row],[male declined expected]])^2/IF(Table6[[#This Row],[male declined expected]]&gt;0,Table6[[#This Row],[male declined expected]],1)</f>
        <v>2.6557301520870884</v>
      </c>
      <c r="U5">
        <f>(Table6[[#This Row],[femaleMergedCount]]-Table6[[#This Row],[female merged expected]])^2/IF(Table6[[#This Row],[female merged expected]]&gt;0,Table6[[#This Row],[female merged expected]],1)</f>
        <v>1.1890051411773426</v>
      </c>
      <c r="V5">
        <f>(Table6[[#This Row],[femaleDeclinedCount]]-Table6[[#This Row],[female declined expected]])^2/IF(Table6[[#This Row],[female declined expected]]&gt;0,Table6[[#This Row],[female declined expected]],1)</f>
        <v>2.7014929912838546</v>
      </c>
      <c r="W5">
        <f t="shared" si="0"/>
        <v>7.7150918776056034</v>
      </c>
      <c r="Y5" s="3">
        <f>IF(PRODUCT(Table6[[#This Row],[maleMergedCount]:[female declined expected]])&gt;0,_xlfn.CHISQ.TEST(Table6[[#This Row],[maleMergedCount]:[femaleDeclinedCount]],Table6[[#This Row],[male merged expected]:[female declined expected]]),"FALSE")</f>
        <v>5.2281909991530581E-2</v>
      </c>
      <c r="AA5" s="2">
        <f>Table6[[#This Row],[maleMergedCount]]/Table6[[#This Row],[male merged expected]]-1</f>
        <v>-1.6934155688954844E-2</v>
      </c>
      <c r="AB5" s="2">
        <f>Table6[[#This Row],[maleDeclinedCount]]/Table6[[#This Row],[male declined expected]]-1</f>
        <v>3.8475445835097544E-2</v>
      </c>
      <c r="AC5" s="2">
        <f>Table6[[#This Row],[femaleMergedCount]]/Table6[[#This Row],[female merged expected]]-1</f>
        <v>9.2761125846328119E-2</v>
      </c>
      <c r="AD5" s="2">
        <f>Table6[[#This Row],[femaleDeclinedCount]]/Table6[[#This Row],[female declined expected]]-1</f>
        <v>-0.2107589972986319</v>
      </c>
      <c r="AF5">
        <f>IF(OR(Table6[[#This Row],[maleMergedCount]]&lt;5,Table6[[#This Row],[maleDeclinedCount]]&lt;5,Table6[[#This Row],[femaleMergedCount]]&lt;5,Table6[[#This Row],[femaleDeclinedCount]]&lt;5,W5&lt;$X$1),0,1)</f>
        <v>0</v>
      </c>
      <c r="AH5">
        <v>1.13001E-2</v>
      </c>
    </row>
    <row r="6" spans="1:34" ht="17" thickBot="1" x14ac:dyDescent="0.25">
      <c r="A6" t="s">
        <v>8</v>
      </c>
      <c r="B6" s="4">
        <v>9799</v>
      </c>
      <c r="C6" s="4">
        <v>8270</v>
      </c>
      <c r="D6" s="22">
        <f>Table6[[#This Row],[mergedCount]]/Table6[[#This Row],[PRCount]]</f>
        <v>0.84396366976222059</v>
      </c>
      <c r="E6" s="4">
        <v>1529</v>
      </c>
      <c r="F6" s="4">
        <v>4570</v>
      </c>
      <c r="G6" s="4">
        <v>452</v>
      </c>
      <c r="H6" s="4">
        <v>4777</v>
      </c>
      <c r="I6" s="2">
        <f>Table6[[#This Row],[malePullRequests]]/(Table6[[#This Row],[PRCount]]-Table6[[#This Row],[unknownPullRequests]])</f>
        <v>0.90999601752289927</v>
      </c>
      <c r="J6" s="2">
        <f>Table6[[#This Row],[femalePullRequests]]/(Table6[[#This Row],[PRCount]]-Table6[[#This Row],[unknownPullRequests]])</f>
        <v>9.0003982477100758E-2</v>
      </c>
      <c r="K6">
        <v>3878</v>
      </c>
      <c r="L6">
        <v>692</v>
      </c>
      <c r="M6">
        <v>390</v>
      </c>
      <c r="N6">
        <v>62</v>
      </c>
      <c r="O6" s="8">
        <f>(Table6[[#This Row],[mergedCount]]/Table6[[#This Row],[PRCount]])*Table6[[#This Row],[malePullRequests]]</f>
        <v>3856.913970813348</v>
      </c>
      <c r="P6" s="8">
        <f>(Table6[[#This Row],[declinedCount]]/Table6[[#This Row],[PRCount]])*Table6[[#This Row],[malePullRequests]]</f>
        <v>713.08602918665167</v>
      </c>
      <c r="Q6" s="8">
        <f>(Table6[[#This Row],[mergedCount]]/Table6[[#This Row],[PRCount]])*Table6[[#This Row],[femalePullRequests]]</f>
        <v>381.47157873252371</v>
      </c>
      <c r="R6" s="8">
        <f>(Table6[[#This Row],[declinedCount]]/Table6[[#This Row],[PRCount]])*Table6[[#This Row],[femalePullRequests]]</f>
        <v>70.528421267476261</v>
      </c>
      <c r="S6">
        <f>(Table6[[#This Row],[maleMergedCount]]-Table6[[#This Row],[male merged expected]])^2/IF(Table6[[#This Row],[male merged expected]]&gt;0,Table6[[#This Row],[male merged expected]],1)</f>
        <v>0.11527885512224136</v>
      </c>
      <c r="T6">
        <f>(Table6[[#This Row],[maleDeclinedCount]]-Table6[[#This Row],[male declined expected]])^2/IF(Table6[[#This Row],[male declined expected]]&gt;0,Table6[[#This Row],[male declined expected]],1)</f>
        <v>0.62351610978476468</v>
      </c>
      <c r="U6">
        <f>(Table6[[#This Row],[femaleMergedCount]]-Table6[[#This Row],[female merged expected]])^2/IF(Table6[[#This Row],[female merged expected]]&gt;0,Table6[[#This Row],[female merged expected]],1)</f>
        <v>0.1906668107679412</v>
      </c>
      <c r="V6">
        <f>(Table6[[#This Row],[femaleDeclinedCount]]-Table6[[#This Row],[female declined expected]])^2/IF(Table6[[#This Row],[female declined expected]]&gt;0,Table6[[#This Row],[female declined expected]],1)</f>
        <v>1.031271762623194</v>
      </c>
      <c r="W6">
        <f t="shared" si="0"/>
        <v>1.9607335382981412</v>
      </c>
      <c r="Y6" s="3">
        <f>IF(PRODUCT(Table6[[#This Row],[maleMergedCount]:[female declined expected]])&gt;0,_xlfn.CHISQ.TEST(Table6[[#This Row],[maleMergedCount]:[femaleDeclinedCount]],Table6[[#This Row],[male merged expected]:[female declined expected]]),"FALSE")</f>
        <v>0.58059647289729999</v>
      </c>
      <c r="AA6" s="2">
        <f>Table6[[#This Row],[maleMergedCount]]/Table6[[#This Row],[male merged expected]]-1</f>
        <v>5.4670727286678655E-3</v>
      </c>
      <c r="AB6" s="2">
        <f>Table6[[#This Row],[maleDeclinedCount]]/Table6[[#This Row],[male declined expected]]-1</f>
        <v>-2.9570105602408803E-2</v>
      </c>
      <c r="AC6" s="2">
        <f>Table6[[#This Row],[femaleMergedCount]]/Table6[[#This Row],[female merged expected]]-1</f>
        <v>2.2356636098062044E-2</v>
      </c>
      <c r="AD6" s="2">
        <f>Table6[[#This Row],[femaleDeclinedCount]]/Table6[[#This Row],[female declined expected]]-1</f>
        <v>-0.12092176620730755</v>
      </c>
      <c r="AF6">
        <f>IF(OR(Table6[[#This Row],[maleMergedCount]]&lt;5,Table6[[#This Row],[maleDeclinedCount]]&lt;5,Table6[[#This Row],[femaleMergedCount]]&lt;5,Table6[[#This Row],[femaleDeclinedCount]]&lt;5,W6&lt;$X$1),0,1)</f>
        <v>0</v>
      </c>
      <c r="AH6">
        <v>-5.9367100000000004E-3</v>
      </c>
    </row>
    <row r="7" spans="1:34" s="12" customFormat="1" ht="17" thickBot="1" x14ac:dyDescent="0.25">
      <c r="A7" s="10" t="s">
        <v>9</v>
      </c>
      <c r="B7" s="11">
        <v>6570</v>
      </c>
      <c r="C7" s="11">
        <v>408</v>
      </c>
      <c r="D7" s="23">
        <f>Table6[[#This Row],[mergedCount]]/Table6[[#This Row],[PRCount]]</f>
        <v>6.2100456621004566E-2</v>
      </c>
      <c r="E7" s="11">
        <v>6162</v>
      </c>
      <c r="F7" s="11">
        <v>4228</v>
      </c>
      <c r="G7" s="11">
        <v>514</v>
      </c>
      <c r="H7" s="11">
        <v>1828</v>
      </c>
      <c r="I7" s="2">
        <f>Table6[[#This Row],[malePullRequests]]/(Table6[[#This Row],[PRCount]]-Table6[[#This Row],[unknownPullRequests]])</f>
        <v>0.89160691691269511</v>
      </c>
      <c r="J7" s="2">
        <f>Table6[[#This Row],[femalePullRequests]]/(Table6[[#This Row],[PRCount]]-Table6[[#This Row],[unknownPullRequests]])</f>
        <v>0.10839308308730493</v>
      </c>
      <c r="K7" s="12">
        <v>322</v>
      </c>
      <c r="L7" s="12">
        <v>3906</v>
      </c>
      <c r="M7" s="12">
        <v>17</v>
      </c>
      <c r="N7" s="12">
        <v>497</v>
      </c>
      <c r="O7" s="13">
        <f>(Table6[[#This Row],[mergedCount]]/Table6[[#This Row],[PRCount]])*Table6[[#This Row],[malePullRequests]]</f>
        <v>262.56073059360727</v>
      </c>
      <c r="P7" s="13">
        <f>(Table6[[#This Row],[declinedCount]]/Table6[[#This Row],[PRCount]])*Table6[[#This Row],[malePullRequests]]</f>
        <v>3965.4392694063927</v>
      </c>
      <c r="Q7" s="13">
        <f>(Table6[[#This Row],[mergedCount]]/Table6[[#This Row],[PRCount]])*Table6[[#This Row],[femalePullRequests]]</f>
        <v>31.919634703196348</v>
      </c>
      <c r="R7" s="13">
        <f>(Table6[[#This Row],[declinedCount]]/Table6[[#This Row],[PRCount]])*Table6[[#This Row],[femalePullRequests]]</f>
        <v>482.08036529680362</v>
      </c>
      <c r="S7">
        <f>(Table6[[#This Row],[maleMergedCount]]-Table6[[#This Row],[male merged expected]])^2/IF(Table6[[#This Row],[male merged expected]]&gt;0,Table6[[#This Row],[male merged expected]],1)</f>
        <v>13.456036398048303</v>
      </c>
      <c r="T7">
        <f>(Table6[[#This Row],[maleDeclinedCount]]-Table6[[#This Row],[male declined expected]])^2/IF(Table6[[#This Row],[male declined expected]]&gt;0,Table6[[#This Row],[male declined expected]],1)</f>
        <v>0.89095469821546525</v>
      </c>
      <c r="U7">
        <f>(Table6[[#This Row],[femaleMergedCount]]-Table6[[#This Row],[female merged expected]])^2/IF(Table6[[#This Row],[female merged expected]]&gt;0,Table6[[#This Row],[female merged expected]],1)</f>
        <v>6.973623030044596</v>
      </c>
      <c r="V7">
        <f>(Table6[[#This Row],[femaleDeclinedCount]]-Table6[[#This Row],[female declined expected]])^2/IF(Table6[[#This Row],[female declined expected]]&gt;0,Table6[[#This Row],[female declined expected]],1)</f>
        <v>0.4617394021840649</v>
      </c>
      <c r="W7" s="12">
        <f t="shared" si="0"/>
        <v>21.782353528492429</v>
      </c>
      <c r="Y7" s="3">
        <f>IF(PRODUCT(Table6[[#This Row],[maleMergedCount]:[female declined expected]])&gt;0,_xlfn.CHISQ.TEST(Table6[[#This Row],[maleMergedCount]:[femaleDeclinedCount]],Table6[[#This Row],[male merged expected]:[female declined expected]]),"FALSE")</f>
        <v>7.2398855841267247E-5</v>
      </c>
      <c r="AA7" s="15">
        <f>Table6[[#This Row],[maleMergedCount]]/Table6[[#This Row],[male merged expected]]-1</f>
        <v>0.22638293728087278</v>
      </c>
      <c r="AB7" s="15">
        <f>Table6[[#This Row],[maleDeclinedCount]]/Table6[[#This Row],[male declined expected]]-1</f>
        <v>-1.4989327882277803E-2</v>
      </c>
      <c r="AC7" s="15">
        <f>Table6[[#This Row],[femaleMergedCount]]/Table6[[#This Row],[female merged expected]]-1</f>
        <v>-0.46741245136186771</v>
      </c>
      <c r="AD7" s="15">
        <f>Table6[[#This Row],[femaleDeclinedCount]]/Table6[[#This Row],[female declined expected]]-1</f>
        <v>3.0948438843823922E-2</v>
      </c>
      <c r="AF7">
        <f>IF(OR(Table6[[#This Row],[maleMergedCount]]&lt;5,Table6[[#This Row],[maleDeclinedCount]]&lt;5,Table6[[#This Row],[femaleMergedCount]]&lt;5,Table6[[#This Row],[femaleDeclinedCount]]&lt;5,W7&lt;$X$1),0,1)</f>
        <v>1</v>
      </c>
      <c r="AH7" s="12">
        <v>-7.4090520000000007E-2</v>
      </c>
    </row>
    <row r="8" spans="1:34" ht="17" thickBot="1" x14ac:dyDescent="0.25">
      <c r="A8" t="s">
        <v>10</v>
      </c>
      <c r="B8" s="4">
        <v>6699</v>
      </c>
      <c r="C8" s="4">
        <v>5829</v>
      </c>
      <c r="D8" s="22">
        <f>Table6[[#This Row],[mergedCount]]/Table6[[#This Row],[PRCount]]</f>
        <v>0.87012987012987009</v>
      </c>
      <c r="E8" s="4">
        <v>870</v>
      </c>
      <c r="F8" s="4">
        <v>3294</v>
      </c>
      <c r="G8" s="4">
        <v>293</v>
      </c>
      <c r="H8" s="4">
        <v>3112</v>
      </c>
      <c r="I8" s="2">
        <f>Table6[[#This Row],[malePullRequests]]/(Table6[[#This Row],[PRCount]]-Table6[[#This Row],[unknownPullRequests]])</f>
        <v>0.91831614162252584</v>
      </c>
      <c r="J8" s="2">
        <f>Table6[[#This Row],[femalePullRequests]]/(Table6[[#This Row],[PRCount]]-Table6[[#This Row],[unknownPullRequests]])</f>
        <v>8.1683858377474217E-2</v>
      </c>
      <c r="K8">
        <v>2810</v>
      </c>
      <c r="L8">
        <v>484</v>
      </c>
      <c r="M8">
        <v>230</v>
      </c>
      <c r="N8">
        <v>63</v>
      </c>
      <c r="O8" s="16">
        <f>(Table6[[#This Row],[mergedCount]]/Table6[[#This Row],[PRCount]])*Table6[[#This Row],[malePullRequests]]</f>
        <v>2866.207792207792</v>
      </c>
      <c r="P8" s="16">
        <f>(Table6[[#This Row],[declinedCount]]/Table6[[#This Row],[PRCount]])*Table6[[#This Row],[malePullRequests]]</f>
        <v>427.79220779220776</v>
      </c>
      <c r="Q8" s="16">
        <f>(Table6[[#This Row],[mergedCount]]/Table6[[#This Row],[PRCount]])*Table6[[#This Row],[femalePullRequests]]</f>
        <v>254.94805194805193</v>
      </c>
      <c r="R8" s="16">
        <f>(Table6[[#This Row],[declinedCount]]/Table6[[#This Row],[PRCount]])*Table6[[#This Row],[femalePullRequests]]</f>
        <v>38.051948051948045</v>
      </c>
      <c r="S8">
        <f>(Table6[[#This Row],[maleMergedCount]]-Table6[[#This Row],[male merged expected]])^2/IF(Table6[[#This Row],[male merged expected]]&gt;0,Table6[[#This Row],[male merged expected]],1)</f>
        <v>1.1022633856007871</v>
      </c>
      <c r="T8">
        <f>(Table6[[#This Row],[maleDeclinedCount]]-Table6[[#This Row],[male declined expected]])^2/IF(Table6[[#This Row],[male declined expected]]&gt;0,Table6[[#This Row],[male declined expected]],1)</f>
        <v>7.3851646835253479</v>
      </c>
      <c r="U8">
        <f>(Table6[[#This Row],[femaleMergedCount]]-Table6[[#This Row],[female merged expected]])^2/IF(Table6[[#This Row],[female merged expected]]&gt;0,Table6[[#This Row],[female merged expected]],1)</f>
        <v>2.4413024192454644</v>
      </c>
      <c r="V8">
        <f>(Table6[[#This Row],[femaleDeclinedCount]]-Table6[[#This Row],[female declined expected]])^2/IF(Table6[[#This Row],[female declined expected]]&gt;0,Table6[[#This Row],[female declined expected]],1)</f>
        <v>16.35672620894465</v>
      </c>
      <c r="W8">
        <f t="shared" si="0"/>
        <v>27.285456697316249</v>
      </c>
      <c r="Y8" s="3">
        <f>IF(PRODUCT(Table6[[#This Row],[maleMergedCount]:[female declined expected]])&gt;0,_xlfn.CHISQ.TEST(Table6[[#This Row],[maleMergedCount]:[femaleDeclinedCount]],Table6[[#This Row],[male merged expected]:[female declined expected]]),"FALSE")</f>
        <v>5.1293901597886808E-6</v>
      </c>
      <c r="AA8" s="2">
        <f>Table6[[#This Row],[maleMergedCount]]/Table6[[#This Row],[male merged expected]]-1</f>
        <v>-1.9610508477648114E-2</v>
      </c>
      <c r="AB8" s="2">
        <f>Table6[[#This Row],[maleDeclinedCount]]/Table6[[#This Row],[male declined expected]]-1</f>
        <v>0.13139040680024294</v>
      </c>
      <c r="AC8" s="2">
        <f>Table6[[#This Row],[femaleMergedCount]]/Table6[[#This Row],[female merged expected]]-1</f>
        <v>-9.785543273394115E-2</v>
      </c>
      <c r="AD8" s="2">
        <f>Table6[[#This Row],[femaleDeclinedCount]]/Table6[[#This Row],[female declined expected]]-1</f>
        <v>0.65563139931740633</v>
      </c>
      <c r="AF8">
        <f>IF(OR(Table6[[#This Row],[maleMergedCount]]&lt;5,Table6[[#This Row],[maleDeclinedCount]]&lt;5,Table6[[#This Row],[femaleMergedCount]]&lt;5,Table6[[#This Row],[femaleDeclinedCount]]&lt;5,W8&lt;$X$1),0,1)</f>
        <v>1</v>
      </c>
      <c r="AH8">
        <v>2.2626589999999999E-2</v>
      </c>
    </row>
    <row r="9" spans="1:34" s="12" customFormat="1" ht="17" thickBot="1" x14ac:dyDescent="0.25">
      <c r="A9" s="10" t="s">
        <v>11</v>
      </c>
      <c r="B9" s="11">
        <v>5721</v>
      </c>
      <c r="C9" s="11">
        <v>817</v>
      </c>
      <c r="D9" s="23">
        <f>Table6[[#This Row],[mergedCount]]/Table6[[#This Row],[PRCount]]</f>
        <v>0.14280720153819262</v>
      </c>
      <c r="E9" s="11">
        <v>4904</v>
      </c>
      <c r="F9" s="11">
        <v>3294</v>
      </c>
      <c r="G9" s="11">
        <v>242</v>
      </c>
      <c r="H9" s="11">
        <v>2185</v>
      </c>
      <c r="I9" s="2">
        <f>Table6[[#This Row],[malePullRequests]]/(Table6[[#This Row],[PRCount]]-Table6[[#This Row],[unknownPullRequests]])</f>
        <v>0.9315610859728507</v>
      </c>
      <c r="J9" s="2">
        <f>Table6[[#This Row],[femalePullRequests]]/(Table6[[#This Row],[PRCount]]-Table6[[#This Row],[unknownPullRequests]])</f>
        <v>6.8438914027149328E-2</v>
      </c>
      <c r="K9" s="12">
        <v>671</v>
      </c>
      <c r="L9" s="12">
        <v>2623</v>
      </c>
      <c r="M9" s="12">
        <v>22</v>
      </c>
      <c r="N9" s="12">
        <v>220</v>
      </c>
      <c r="O9" s="13">
        <f>(Table6[[#This Row],[mergedCount]]/Table6[[#This Row],[PRCount]])*Table6[[#This Row],[malePullRequests]]</f>
        <v>470.4069218668065</v>
      </c>
      <c r="P9" s="13">
        <f>(Table6[[#This Row],[declinedCount]]/Table6[[#This Row],[PRCount]])*Table6[[#This Row],[malePullRequests]]</f>
        <v>2823.5930781331936</v>
      </c>
      <c r="Q9" s="13">
        <f>(Table6[[#This Row],[mergedCount]]/Table6[[#This Row],[PRCount]])*Table6[[#This Row],[femalePullRequests]]</f>
        <v>34.559342772242616</v>
      </c>
      <c r="R9" s="13">
        <f>(Table6[[#This Row],[declinedCount]]/Table6[[#This Row],[PRCount]])*Table6[[#This Row],[femalePullRequests]]</f>
        <v>207.44065722775738</v>
      </c>
      <c r="S9">
        <f>(Table6[[#This Row],[maleMergedCount]]-Table6[[#This Row],[male merged expected]])^2/IF(Table6[[#This Row],[male merged expected]]&gt;0,Table6[[#This Row],[male merged expected]],1)</f>
        <v>85.537820819614879</v>
      </c>
      <c r="T9">
        <f>(Table6[[#This Row],[maleDeclinedCount]]-Table6[[#This Row],[male declined expected]])^2/IF(Table6[[#This Row],[male declined expected]]&gt;0,Table6[[#This Row],[male declined expected]],1)</f>
        <v>14.250489316807789</v>
      </c>
      <c r="U9">
        <f>(Table6[[#This Row],[femaleMergedCount]]-Table6[[#This Row],[female merged expected]])^2/IF(Table6[[#This Row],[female merged expected]]&gt;0,Table6[[#This Row],[female merged expected]],1)</f>
        <v>4.5642387330749292</v>
      </c>
      <c r="V9">
        <f>(Table6[[#This Row],[femaleDeclinedCount]]-Table6[[#This Row],[female declined expected]])^2/IF(Table6[[#This Row],[female declined expected]]&gt;0,Table6[[#This Row],[female declined expected]],1)</f>
        <v>0.76039621633813559</v>
      </c>
      <c r="W9" s="12">
        <f t="shared" si="0"/>
        <v>105.11294508583573</v>
      </c>
      <c r="Y9" s="3">
        <f>IF(PRODUCT(Table6[[#This Row],[maleMergedCount]:[female declined expected]])&gt;0,_xlfn.CHISQ.TEST(Table6[[#This Row],[maleMergedCount]:[femaleDeclinedCount]],Table6[[#This Row],[male merged expected]:[female declined expected]]),"FALSE")</f>
        <v>1.2355389388973609E-22</v>
      </c>
      <c r="AA9" s="15">
        <f>Table6[[#This Row],[maleMergedCount]]/Table6[[#This Row],[male merged expected]]-1</f>
        <v>0.42642458860329113</v>
      </c>
      <c r="AB9" s="15">
        <f>Table6[[#This Row],[maleDeclinedCount]]/Table6[[#This Row],[male declined expected]]-1</f>
        <v>-7.1041779952872974E-2</v>
      </c>
      <c r="AC9" s="15">
        <f>Table6[[#This Row],[femaleMergedCount]]/Table6[[#This Row],[female merged expected]]-1</f>
        <v>-0.36341381996216759</v>
      </c>
      <c r="AD9" s="15">
        <f>Table6[[#This Row],[femaleDeclinedCount]]/Table6[[#This Row],[female declined expected]]-1</f>
        <v>6.0544268129912426E-2</v>
      </c>
      <c r="AF9">
        <f>IF(OR(Table6[[#This Row],[maleMergedCount]]&lt;5,Table6[[#This Row],[maleDeclinedCount]]&lt;5,Table6[[#This Row],[femaleMergedCount]]&lt;5,Table6[[#This Row],[femaleDeclinedCount]]&lt;5,W9&lt;$X$1),0,1)</f>
        <v>1</v>
      </c>
      <c r="AH9" s="30">
        <v>-0.1843544</v>
      </c>
    </row>
    <row r="10" spans="1:34" x14ac:dyDescent="0.2">
      <c r="A10" t="s">
        <v>12</v>
      </c>
      <c r="B10" s="4">
        <v>4412</v>
      </c>
      <c r="C10" s="4">
        <v>2713</v>
      </c>
      <c r="D10" s="22">
        <f>Table6[[#This Row],[mergedCount]]/Table6[[#This Row],[PRCount]]</f>
        <v>0.61491387126019947</v>
      </c>
      <c r="E10" s="4">
        <v>1699</v>
      </c>
      <c r="F10" s="4">
        <v>2964</v>
      </c>
      <c r="G10" s="4">
        <v>452</v>
      </c>
      <c r="H10" s="4">
        <v>996</v>
      </c>
      <c r="I10" s="2">
        <f>Table6[[#This Row],[malePullRequests]]/(Table6[[#This Row],[PRCount]]-Table6[[#This Row],[unknownPullRequests]])</f>
        <v>0.86768149882903978</v>
      </c>
      <c r="J10" s="2">
        <f>Table6[[#This Row],[femalePullRequests]]/(Table6[[#This Row],[PRCount]]-Table6[[#This Row],[unknownPullRequests]])</f>
        <v>0.1323185011709602</v>
      </c>
      <c r="K10">
        <v>1889</v>
      </c>
      <c r="L10">
        <v>1075</v>
      </c>
      <c r="M10">
        <v>257</v>
      </c>
      <c r="N10">
        <v>195</v>
      </c>
      <c r="O10" s="9">
        <f>(Table6[[#This Row],[mergedCount]]/Table6[[#This Row],[PRCount]])*Table6[[#This Row],[malePullRequests]]</f>
        <v>1822.6047144152312</v>
      </c>
      <c r="P10" s="9">
        <f>(Table6[[#This Row],[declinedCount]]/Table6[[#This Row],[PRCount]])*Table6[[#This Row],[malePullRequests]]</f>
        <v>1141.3952855847688</v>
      </c>
      <c r="Q10" s="9">
        <f>(Table6[[#This Row],[mergedCount]]/Table6[[#This Row],[PRCount]])*Table6[[#This Row],[femalePullRequests]]</f>
        <v>277.94106980961016</v>
      </c>
      <c r="R10" s="9">
        <f>(Table6[[#This Row],[declinedCount]]/Table6[[#This Row],[PRCount]])*Table6[[#This Row],[femalePullRequests]]</f>
        <v>174.05893019038984</v>
      </c>
      <c r="S10">
        <f>(Table6[[#This Row],[maleMergedCount]]-Table6[[#This Row],[male merged expected]])^2/IF(Table6[[#This Row],[male merged expected]]&gt;0,Table6[[#This Row],[male merged expected]],1)</f>
        <v>2.418699958919718</v>
      </c>
      <c r="T10">
        <f>(Table6[[#This Row],[maleDeclinedCount]]-Table6[[#This Row],[male declined expected]])^2/IF(Table6[[#This Row],[male declined expected]]&gt;0,Table6[[#This Row],[male declined expected]],1)</f>
        <v>3.8622324829600911</v>
      </c>
      <c r="U10">
        <f>(Table6[[#This Row],[femaleMergedCount]]-Table6[[#This Row],[female merged expected]])^2/IF(Table6[[#This Row],[female merged expected]]&gt;0,Table6[[#This Row],[female merged expected]],1)</f>
        <v>1.5777747602085515</v>
      </c>
      <c r="V10">
        <f>(Table6[[#This Row],[femaleDeclinedCount]]-Table6[[#This Row],[female declined expected]])^2/IF(Table6[[#This Row],[female declined expected]]&gt;0,Table6[[#This Row],[female declined expected]],1)</f>
        <v>2.5194249113865803</v>
      </c>
      <c r="W10">
        <f t="shared" si="0"/>
        <v>10.37813211347494</v>
      </c>
      <c r="Y10" s="3">
        <f>IF(PRODUCT(Table6[[#This Row],[maleMergedCount]:[female declined expected]])&gt;0,_xlfn.CHISQ.TEST(Table6[[#This Row],[maleMergedCount]:[femaleDeclinedCount]],Table6[[#This Row],[male merged expected]:[female declined expected]]),"FALSE")</f>
        <v>1.5610800361349181E-2</v>
      </c>
      <c r="AA10" s="2">
        <f>Table6[[#This Row],[maleMergedCount]]/Table6[[#This Row],[male merged expected]]-1</f>
        <v>3.6428790653090681E-2</v>
      </c>
      <c r="AB10" s="2">
        <f>Table6[[#This Row],[maleDeclinedCount]]/Table6[[#This Row],[male declined expected]]-1</f>
        <v>-5.8170281955170822E-2</v>
      </c>
      <c r="AC10" s="2">
        <f>Table6[[#This Row],[femaleMergedCount]]/Table6[[#This Row],[female merged expected]]-1</f>
        <v>-7.5343560503508211E-2</v>
      </c>
      <c r="AD10" s="2">
        <f>Table6[[#This Row],[femaleDeclinedCount]]/Table6[[#This Row],[female declined expected]]-1</f>
        <v>0.12031022933844482</v>
      </c>
      <c r="AF10">
        <f>IF(OR(Table6[[#This Row],[maleMergedCount]]&lt;5,Table6[[#This Row],[maleDeclinedCount]]&lt;5,Table6[[#This Row],[femaleMergedCount]]&lt;5,Table6[[#This Row],[femaleDeclinedCount]]&lt;5,W10&lt;$X$1),0,1)</f>
        <v>1</v>
      </c>
      <c r="AH10">
        <v>-6.1392259999999997E-2</v>
      </c>
    </row>
    <row r="11" spans="1:34" x14ac:dyDescent="0.2">
      <c r="A11" t="s">
        <v>13</v>
      </c>
      <c r="B11" s="4">
        <v>4350</v>
      </c>
      <c r="C11" s="4">
        <v>3051</v>
      </c>
      <c r="D11" s="22">
        <f>Table6[[#This Row],[mergedCount]]/Table6[[#This Row],[PRCount]]</f>
        <v>0.70137931034482759</v>
      </c>
      <c r="E11" s="4">
        <v>1299</v>
      </c>
      <c r="F11" s="4">
        <v>3181</v>
      </c>
      <c r="G11" s="4">
        <v>98</v>
      </c>
      <c r="H11" s="4">
        <v>1071</v>
      </c>
      <c r="I11" s="2">
        <f>Table6[[#This Row],[malePullRequests]]/(Table6[[#This Row],[PRCount]]-Table6[[#This Row],[unknownPullRequests]])</f>
        <v>0.97011283928026837</v>
      </c>
      <c r="J11" s="2">
        <f>Table6[[#This Row],[femalePullRequests]]/(Table6[[#This Row],[PRCount]]-Table6[[#This Row],[unknownPullRequests]])</f>
        <v>2.9887160719731624E-2</v>
      </c>
      <c r="K11">
        <v>2369</v>
      </c>
      <c r="L11">
        <v>812</v>
      </c>
      <c r="M11">
        <v>57</v>
      </c>
      <c r="N11">
        <v>41</v>
      </c>
      <c r="O11" s="5">
        <f>(Table6[[#This Row],[mergedCount]]/Table6[[#This Row],[PRCount]])*Table6[[#This Row],[malePullRequests]]</f>
        <v>2231.0875862068965</v>
      </c>
      <c r="P11" s="5">
        <f>(Table6[[#This Row],[declinedCount]]/Table6[[#This Row],[PRCount]])*Table6[[#This Row],[malePullRequests]]</f>
        <v>949.91241379310338</v>
      </c>
      <c r="Q11" s="5">
        <f>(Table6[[#This Row],[mergedCount]]/Table6[[#This Row],[PRCount]])*Table6[[#This Row],[femalePullRequests]]</f>
        <v>68.735172413793109</v>
      </c>
      <c r="R11" s="5">
        <f>(Table6[[#This Row],[declinedCount]]/Table6[[#This Row],[PRCount]])*Table6[[#This Row],[femalePullRequests]]</f>
        <v>29.264827586206895</v>
      </c>
      <c r="S11">
        <f>(Table6[[#This Row],[maleMergedCount]]-Table6[[#This Row],[male merged expected]])^2/IF(Table6[[#This Row],[male merged expected]]&gt;0,Table6[[#This Row],[male merged expected]],1)</f>
        <v>8.5249158284171571</v>
      </c>
      <c r="T11">
        <f>(Table6[[#This Row],[maleDeclinedCount]]-Table6[[#This Row],[male declined expected]])^2/IF(Table6[[#This Row],[male declined expected]]&gt;0,Table6[[#This Row],[male declined expected]],1)</f>
        <v>20.022723781755744</v>
      </c>
      <c r="U11">
        <f>(Table6[[#This Row],[femaleMergedCount]]-Table6[[#This Row],[female merged expected]])^2/IF(Table6[[#This Row],[female merged expected]]&gt;0,Table6[[#This Row],[female merged expected]],1)</f>
        <v>2.0035487908926175</v>
      </c>
      <c r="V11">
        <f>(Table6[[#This Row],[femaleDeclinedCount]]-Table6[[#This Row],[female declined expected]])^2/IF(Table6[[#This Row],[female declined expected]]&gt;0,Table6[[#This Row],[female declined expected]],1)</f>
        <v>4.7057947351912039</v>
      </c>
      <c r="W11">
        <f t="shared" si="0"/>
        <v>35.256983136256721</v>
      </c>
      <c r="Y11" s="3">
        <f>IF(PRODUCT(Table6[[#This Row],[maleMergedCount]:[female declined expected]])&gt;0,_xlfn.CHISQ.TEST(Table6[[#This Row],[maleMergedCount]:[femaleDeclinedCount]],Table6[[#This Row],[male merged expected]:[female declined expected]]),"FALSE")</f>
        <v>1.0750734783889149E-7</v>
      </c>
      <c r="AA11" s="2">
        <f>Table6[[#This Row],[maleMergedCount]]/Table6[[#This Row],[male merged expected]]-1</f>
        <v>6.1813984643951381E-2</v>
      </c>
      <c r="AB11" s="2">
        <f>Table6[[#This Row],[maleDeclinedCount]]/Table6[[#This Row],[male declined expected]]-1</f>
        <v>-0.14518434730461527</v>
      </c>
      <c r="AC11" s="2">
        <f>Table6[[#This Row],[femaleMergedCount]]/Table6[[#This Row],[female merged expected]]-1</f>
        <v>-0.17073023899825424</v>
      </c>
      <c r="AD11" s="2">
        <f>Table6[[#This Row],[femaleDeclinedCount]]/Table6[[#This Row],[female declined expected]]-1</f>
        <v>0.40099919875571488</v>
      </c>
      <c r="AF11">
        <f>IF(OR(Table6[[#This Row],[maleMergedCount]]&lt;5,Table6[[#This Row],[maleDeclinedCount]]&lt;5,Table6[[#This Row],[femaleMergedCount]]&lt;5,Table6[[#This Row],[femaleDeclinedCount]]&lt;5,W11&lt;$X$1),0,1)</f>
        <v>1</v>
      </c>
      <c r="AH11" s="1">
        <v>-0.1456935</v>
      </c>
    </row>
    <row r="12" spans="1:34" x14ac:dyDescent="0.2">
      <c r="A12" t="s">
        <v>14</v>
      </c>
      <c r="B12" s="4">
        <v>4398</v>
      </c>
      <c r="C12" s="4">
        <v>2978</v>
      </c>
      <c r="D12" s="22">
        <f>Table6[[#This Row],[mergedCount]]/Table6[[#This Row],[PRCount]]</f>
        <v>0.6771259663483401</v>
      </c>
      <c r="E12" s="4">
        <v>1420</v>
      </c>
      <c r="F12" s="4">
        <v>3099</v>
      </c>
      <c r="G12" s="4">
        <v>134</v>
      </c>
      <c r="H12" s="4">
        <v>1165</v>
      </c>
      <c r="I12" s="2">
        <f>Table6[[#This Row],[malePullRequests]]/(Table6[[#This Row],[PRCount]]-Table6[[#This Row],[unknownPullRequests]])</f>
        <v>0.95855242808536967</v>
      </c>
      <c r="J12" s="2">
        <f>Table6[[#This Row],[femalePullRequests]]/(Table6[[#This Row],[PRCount]]-Table6[[#This Row],[unknownPullRequests]])</f>
        <v>4.1447571914630374E-2</v>
      </c>
      <c r="K12">
        <v>2169</v>
      </c>
      <c r="L12">
        <v>930</v>
      </c>
      <c r="M12">
        <v>89</v>
      </c>
      <c r="N12">
        <v>45</v>
      </c>
      <c r="O12" s="5">
        <f>(Table6[[#This Row],[mergedCount]]/Table6[[#This Row],[PRCount]])*Table6[[#This Row],[malePullRequests]]</f>
        <v>2098.4133697135062</v>
      </c>
      <c r="P12" s="5">
        <f>(Table6[[#This Row],[declinedCount]]/Table6[[#This Row],[PRCount]])*Table6[[#This Row],[malePullRequests]]</f>
        <v>1000.5866302864938</v>
      </c>
      <c r="Q12" s="5">
        <f>(Table6[[#This Row],[mergedCount]]/Table6[[#This Row],[PRCount]])*Table6[[#This Row],[femalePullRequests]]</f>
        <v>90.734879490677571</v>
      </c>
      <c r="R12" s="5">
        <f>(Table6[[#This Row],[declinedCount]]/Table6[[#This Row],[PRCount]])*Table6[[#This Row],[femalePullRequests]]</f>
        <v>43.265120509322422</v>
      </c>
      <c r="S12">
        <f>(Table6[[#This Row],[maleMergedCount]]-Table6[[#This Row],[male merged expected]])^2/IF(Table6[[#This Row],[male merged expected]]&gt;0,Table6[[#This Row],[male merged expected]],1)</f>
        <v>2.3743998428119122</v>
      </c>
      <c r="T12">
        <f>(Table6[[#This Row],[maleDeclinedCount]]-Table6[[#This Row],[male declined expected]])^2/IF(Table6[[#This Row],[male declined expected]]&gt;0,Table6[[#This Row],[male declined expected]],1)</f>
        <v>4.9795512196435734</v>
      </c>
      <c r="U12">
        <f>(Table6[[#This Row],[femaleMergedCount]]-Table6[[#This Row],[female merged expected]])^2/IF(Table6[[#This Row],[female merged expected]]&gt;0,Table6[[#This Row],[female merged expected]],1)</f>
        <v>3.3171442603645122E-2</v>
      </c>
      <c r="V12">
        <f>(Table6[[#This Row],[femaleDeclinedCount]]-Table6[[#This Row],[female declined expected]])^2/IF(Table6[[#This Row],[female declined expected]]&gt;0,Table6[[#This Row],[female declined expected]],1)</f>
        <v>6.9566588784264763E-2</v>
      </c>
      <c r="W12">
        <f t="shared" si="0"/>
        <v>7.4566890938433952</v>
      </c>
      <c r="Y12" s="3">
        <f>IF(PRODUCT(Table6[[#This Row],[maleMergedCount]:[female declined expected]])&gt;0,_xlfn.CHISQ.TEST(Table6[[#This Row],[maleMergedCount]:[femaleDeclinedCount]],Table6[[#This Row],[male merged expected]:[female declined expected]]),"FALSE")</f>
        <v>5.8681799802778156E-2</v>
      </c>
      <c r="AA12" s="2">
        <f>Table6[[#This Row],[maleMergedCount]]/Table6[[#This Row],[male merged expected]]-1</f>
        <v>3.363809595634204E-2</v>
      </c>
      <c r="AB12" s="2">
        <f>Table6[[#This Row],[maleDeclinedCount]]/Table6[[#This Row],[male declined expected]]-1</f>
        <v>-7.0545246308441056E-2</v>
      </c>
      <c r="AC12" s="2">
        <f>Table6[[#This Row],[femaleMergedCount]]/Table6[[#This Row],[female merged expected]]-1</f>
        <v>-1.9120315146898048E-2</v>
      </c>
      <c r="AD12" s="2">
        <f>Table6[[#This Row],[femaleDeclinedCount]]/Table6[[#This Row],[female declined expected]]-1</f>
        <v>4.0098801765818815E-2</v>
      </c>
      <c r="AF12">
        <f>IF(OR(Table6[[#This Row],[maleMergedCount]]&lt;5,Table6[[#This Row],[maleDeclinedCount]]&lt;5,Table6[[#This Row],[femaleMergedCount]]&lt;5,Table6[[#This Row],[femaleDeclinedCount]]&lt;5,W12&lt;$X$1),0,1)</f>
        <v>0</v>
      </c>
    </row>
    <row r="13" spans="1:34" x14ac:dyDescent="0.2">
      <c r="A13" t="s">
        <v>15</v>
      </c>
      <c r="B13" s="4">
        <v>3705</v>
      </c>
      <c r="C13" s="4">
        <v>214</v>
      </c>
      <c r="D13" s="22">
        <f>Table6[[#This Row],[mergedCount]]/Table6[[#This Row],[PRCount]]</f>
        <v>5.7759784075573549E-2</v>
      </c>
      <c r="E13" s="4">
        <v>3491</v>
      </c>
      <c r="F13" s="4">
        <v>2920</v>
      </c>
      <c r="G13" s="4">
        <v>112</v>
      </c>
      <c r="H13" s="4">
        <v>673</v>
      </c>
      <c r="I13" s="2">
        <f>Table6[[#This Row],[malePullRequests]]/(Table6[[#This Row],[PRCount]]-Table6[[#This Row],[unknownPullRequests]])</f>
        <v>0.96306068601583117</v>
      </c>
      <c r="J13" s="2">
        <f>Table6[[#This Row],[femalePullRequests]]/(Table6[[#This Row],[PRCount]]-Table6[[#This Row],[unknownPullRequests]])</f>
        <v>3.6939313984168866E-2</v>
      </c>
      <c r="K13">
        <v>197</v>
      </c>
      <c r="L13">
        <v>2723</v>
      </c>
      <c r="M13">
        <v>2</v>
      </c>
      <c r="N13">
        <v>110</v>
      </c>
      <c r="O13" s="5">
        <f>(Table6[[#This Row],[mergedCount]]/Table6[[#This Row],[PRCount]])*Table6[[#This Row],[malePullRequests]]</f>
        <v>168.65856950067476</v>
      </c>
      <c r="P13" s="5">
        <f>(Table6[[#This Row],[declinedCount]]/Table6[[#This Row],[PRCount]])*Table6[[#This Row],[malePullRequests]]</f>
        <v>2751.3414304993253</v>
      </c>
      <c r="Q13" s="5">
        <f>(Table6[[#This Row],[mergedCount]]/Table6[[#This Row],[PRCount]])*Table6[[#This Row],[femalePullRequests]]</f>
        <v>6.4690958164642378</v>
      </c>
      <c r="R13" s="5">
        <f>(Table6[[#This Row],[declinedCount]]/Table6[[#This Row],[PRCount]])*Table6[[#This Row],[femalePullRequests]]</f>
        <v>105.53090418353575</v>
      </c>
      <c r="S13">
        <f>(Table6[[#This Row],[maleMergedCount]]-Table6[[#This Row],[male merged expected]])^2/IF(Table6[[#This Row],[male merged expected]]&gt;0,Table6[[#This Row],[male merged expected]],1)</f>
        <v>4.7625014556101135</v>
      </c>
      <c r="T13">
        <f>(Table6[[#This Row],[maleDeclinedCount]]-Table6[[#This Row],[male declined expected]])^2/IF(Table6[[#This Row],[male declined expected]]&gt;0,Table6[[#This Row],[male declined expected]],1)</f>
        <v>0.29194365840749537</v>
      </c>
      <c r="U13">
        <f>(Table6[[#This Row],[femaleMergedCount]]-Table6[[#This Row],[female merged expected]])^2/IF(Table6[[#This Row],[female merged expected]]&gt;0,Table6[[#This Row],[female merged expected]],1)</f>
        <v>3.0874202490410068</v>
      </c>
      <c r="V13">
        <f>(Table6[[#This Row],[femaleDeclinedCount]]-Table6[[#This Row],[female declined expected]])^2/IF(Table6[[#This Row],[female declined expected]]&gt;0,Table6[[#This Row],[female declined expected]],1)</f>
        <v>0.18926036473640165</v>
      </c>
      <c r="W13">
        <f t="shared" si="0"/>
        <v>8.3311257277950173</v>
      </c>
      <c r="Y13" s="3">
        <f>IF(PRODUCT(Table6[[#This Row],[maleMergedCount]:[female declined expected]])&gt;0,_xlfn.CHISQ.TEST(Table6[[#This Row],[maleMergedCount]:[femaleDeclinedCount]],Table6[[#This Row],[male merged expected]:[female declined expected]]),"FALSE")</f>
        <v>3.9641791085727157E-2</v>
      </c>
      <c r="AA13" s="2">
        <f>Table6[[#This Row],[maleMergedCount]]/Table6[[#This Row],[male merged expected]]-1</f>
        <v>0.16804026373063641</v>
      </c>
      <c r="AB13" s="2">
        <f>Table6[[#This Row],[maleDeclinedCount]]/Table6[[#This Row],[male declined expected]]-1</f>
        <v>-1.0300949996664643E-2</v>
      </c>
      <c r="AC13" s="2">
        <f>Table6[[#This Row],[femaleMergedCount]]/Table6[[#This Row],[female merged expected]]-1</f>
        <v>-0.69083778371161553</v>
      </c>
      <c r="AD13" s="2">
        <f>Table6[[#This Row],[femaleDeclinedCount]]/Table6[[#This Row],[female declined expected]]-1</f>
        <v>4.2348692556369638E-2</v>
      </c>
      <c r="AF13">
        <f>IF(OR(Table6[[#This Row],[maleMergedCount]]&lt;5,Table6[[#This Row],[maleDeclinedCount]]&lt;5,Table6[[#This Row],[femaleMergedCount]]&lt;5,Table6[[#This Row],[femaleDeclinedCount]]&lt;5,W13&lt;$X$1),0,1)</f>
        <v>0</v>
      </c>
    </row>
    <row r="14" spans="1:34" ht="17" thickBot="1" x14ac:dyDescent="0.25">
      <c r="A14" t="s">
        <v>16</v>
      </c>
      <c r="B14" s="4">
        <v>4518</v>
      </c>
      <c r="C14" s="4">
        <v>580</v>
      </c>
      <c r="D14" s="22">
        <f>Table6[[#This Row],[mergedCount]]/Table6[[#This Row],[PRCount]]</f>
        <v>0.12837538733953077</v>
      </c>
      <c r="E14" s="4">
        <v>3938</v>
      </c>
      <c r="F14" s="4">
        <v>2743</v>
      </c>
      <c r="G14" s="4">
        <v>182</v>
      </c>
      <c r="H14" s="4">
        <v>1593</v>
      </c>
      <c r="I14" s="2">
        <f>Table6[[#This Row],[malePullRequests]]/(Table6[[#This Row],[PRCount]]-Table6[[#This Row],[unknownPullRequests]])</f>
        <v>0.93777777777777782</v>
      </c>
      <c r="J14" s="2">
        <f>Table6[[#This Row],[femalePullRequests]]/(Table6[[#This Row],[PRCount]]-Table6[[#This Row],[unknownPullRequests]])</f>
        <v>6.222222222222222E-2</v>
      </c>
      <c r="K14">
        <v>400</v>
      </c>
      <c r="L14">
        <v>2343</v>
      </c>
      <c r="M14">
        <v>20</v>
      </c>
      <c r="N14">
        <v>162</v>
      </c>
      <c r="O14" s="8">
        <f>(Table6[[#This Row],[mergedCount]]/Table6[[#This Row],[PRCount]])*Table6[[#This Row],[malePullRequests]]</f>
        <v>352.13368747233289</v>
      </c>
      <c r="P14" s="8">
        <f>(Table6[[#This Row],[declinedCount]]/Table6[[#This Row],[PRCount]])*Table6[[#This Row],[malePullRequests]]</f>
        <v>2390.8663125276671</v>
      </c>
      <c r="Q14" s="8">
        <f>(Table6[[#This Row],[mergedCount]]/Table6[[#This Row],[PRCount]])*Table6[[#This Row],[femalePullRequests]]</f>
        <v>23.364320495794601</v>
      </c>
      <c r="R14" s="8">
        <f>(Table6[[#This Row],[declinedCount]]/Table6[[#This Row],[PRCount]])*Table6[[#This Row],[femalePullRequests]]</f>
        <v>158.6356795042054</v>
      </c>
      <c r="S14">
        <f>(Table6[[#This Row],[maleMergedCount]]-Table6[[#This Row],[male merged expected]])^2/IF(Table6[[#This Row],[male merged expected]]&gt;0,Table6[[#This Row],[male merged expected]],1)</f>
        <v>6.5065739419671935</v>
      </c>
      <c r="T14">
        <f>(Table6[[#This Row],[maleDeclinedCount]]-Table6[[#This Row],[male declined expected]])^2/IF(Table6[[#This Row],[male declined expected]]&gt;0,Table6[[#This Row],[male declined expected]],1)</f>
        <v>0.95830697977170454</v>
      </c>
      <c r="U14">
        <f>(Table6[[#This Row],[femaleMergedCount]]-Table6[[#This Row],[female merged expected]])^2/IF(Table6[[#This Row],[female merged expected]]&gt;0,Table6[[#This Row],[female merged expected]],1)</f>
        <v>0.48444175384689236</v>
      </c>
      <c r="V14">
        <f>(Table6[[#This Row],[femaleDeclinedCount]]-Table6[[#This Row],[female declined expected]])^2/IF(Table6[[#This Row],[female declined expected]]&gt;0,Table6[[#This Row],[female declined expected]],1)</f>
        <v>7.1349978982020723E-2</v>
      </c>
      <c r="W14">
        <f t="shared" si="0"/>
        <v>8.0206726545678109</v>
      </c>
      <c r="Y14" s="3">
        <f>IF(PRODUCT(Table6[[#This Row],[maleMergedCount]:[female declined expected]])&gt;0,_xlfn.CHISQ.TEST(Table6[[#This Row],[maleMergedCount]:[femaleDeclinedCount]],Table6[[#This Row],[male merged expected]:[female declined expected]]),"FALSE")</f>
        <v>4.5586390711370647E-2</v>
      </c>
      <c r="AA14" s="2">
        <f>Table6[[#This Row],[maleMergedCount]]/Table6[[#This Row],[male merged expected]]-1</f>
        <v>0.13593221617408568</v>
      </c>
      <c r="AB14" s="2">
        <f>Table6[[#This Row],[maleDeclinedCount]]/Table6[[#This Row],[male declined expected]]-1</f>
        <v>-2.0020488923557567E-2</v>
      </c>
      <c r="AC14" s="2">
        <f>Table6[[#This Row],[femaleMergedCount]]/Table6[[#This Row],[female merged expected]]-1</f>
        <v>-0.14399393709738539</v>
      </c>
      <c r="AD14" s="2">
        <f>Table6[[#This Row],[femaleDeclinedCount]]/Table6[[#This Row],[female declined expected]]-1</f>
        <v>2.1207842436892665E-2</v>
      </c>
      <c r="AF14">
        <f>IF(OR(Table6[[#This Row],[maleMergedCount]]&lt;5,Table6[[#This Row],[maleDeclinedCount]]&lt;5,Table6[[#This Row],[femaleMergedCount]]&lt;5,Table6[[#This Row],[femaleDeclinedCount]]&lt;5,W14&lt;$X$1),0,1)</f>
        <v>1</v>
      </c>
      <c r="AH14">
        <v>-5.843893E-2</v>
      </c>
    </row>
    <row r="15" spans="1:34" s="12" customFormat="1" ht="17" thickBot="1" x14ac:dyDescent="0.25">
      <c r="A15" s="10" t="s">
        <v>17</v>
      </c>
      <c r="B15" s="11">
        <v>3427</v>
      </c>
      <c r="C15" s="11">
        <v>1026</v>
      </c>
      <c r="D15" s="23">
        <f>Table6[[#This Row],[mergedCount]]/Table6[[#This Row],[PRCount]]</f>
        <v>0.29938721914210681</v>
      </c>
      <c r="E15" s="11">
        <v>2401</v>
      </c>
      <c r="F15" s="11">
        <v>2576</v>
      </c>
      <c r="G15" s="11">
        <v>113</v>
      </c>
      <c r="H15" s="11">
        <v>738</v>
      </c>
      <c r="I15" s="2">
        <f>Table6[[#This Row],[malePullRequests]]/(Table6[[#This Row],[PRCount]]-Table6[[#This Row],[unknownPullRequests]])</f>
        <v>0.9579769431015247</v>
      </c>
      <c r="J15" s="2">
        <f>Table6[[#This Row],[femalePullRequests]]/(Table6[[#This Row],[PRCount]]-Table6[[#This Row],[unknownPullRequests]])</f>
        <v>4.2023056898475269E-2</v>
      </c>
      <c r="K15" s="12">
        <v>894</v>
      </c>
      <c r="L15" s="12">
        <v>1682</v>
      </c>
      <c r="M15" s="12">
        <v>17</v>
      </c>
      <c r="N15" s="12">
        <v>96</v>
      </c>
      <c r="O15" s="13">
        <f>(Table6[[#This Row],[mergedCount]]/Table6[[#This Row],[PRCount]])*Table6[[#This Row],[malePullRequests]]</f>
        <v>771.22147651006719</v>
      </c>
      <c r="P15" s="13">
        <f>(Table6[[#This Row],[declinedCount]]/Table6[[#This Row],[PRCount]])*Table6[[#This Row],[malePullRequests]]</f>
        <v>1804.7785234899329</v>
      </c>
      <c r="Q15" s="13">
        <f>(Table6[[#This Row],[mergedCount]]/Table6[[#This Row],[PRCount]])*Table6[[#This Row],[femalePullRequests]]</f>
        <v>33.830755763058072</v>
      </c>
      <c r="R15" s="13">
        <f>(Table6[[#This Row],[declinedCount]]/Table6[[#This Row],[PRCount]])*Table6[[#This Row],[femalePullRequests]]</f>
        <v>79.169244236941935</v>
      </c>
      <c r="S15">
        <f>(Table6[[#This Row],[maleMergedCount]]-Table6[[#This Row],[male merged expected]])^2/IF(Table6[[#This Row],[male merged expected]]&gt;0,Table6[[#This Row],[male merged expected]],1)</f>
        <v>19.546351196783881</v>
      </c>
      <c r="T15">
        <f>(Table6[[#This Row],[maleDeclinedCount]]-Table6[[#This Row],[male declined expected]])^2/IF(Table6[[#This Row],[male declined expected]]&gt;0,Table6[[#This Row],[male declined expected]],1)</f>
        <v>8.3525848929197419</v>
      </c>
      <c r="U15">
        <f>(Table6[[#This Row],[femaleMergedCount]]-Table6[[#This Row],[female merged expected]])^2/IF(Table6[[#This Row],[female merged expected]]&gt;0,Table6[[#This Row],[female merged expected]],1)</f>
        <v>8.373278490722857</v>
      </c>
      <c r="V15">
        <f>(Table6[[#This Row],[femaleDeclinedCount]]-Table6[[#This Row],[female declined expected]])^2/IF(Table6[[#This Row],[female declined expected]]&gt;0,Table6[[#This Row],[female declined expected]],1)</f>
        <v>3.5780856857482899</v>
      </c>
      <c r="W15" s="12">
        <f t="shared" si="0"/>
        <v>39.85030026617477</v>
      </c>
      <c r="Y15" s="3">
        <f>IF(PRODUCT(Table6[[#This Row],[maleMergedCount]:[female declined expected]])&gt;0,_xlfn.CHISQ.TEST(Table6[[#This Row],[maleMergedCount]:[femaleDeclinedCount]],Table6[[#This Row],[male merged expected]:[female declined expected]]),"FALSE")</f>
        <v>1.1462723994802432E-8</v>
      </c>
      <c r="AA15" s="15">
        <f>Table6[[#This Row],[maleMergedCount]]/Table6[[#This Row],[male merged expected]]-1</f>
        <v>0.15920008354218873</v>
      </c>
      <c r="AB15" s="15">
        <f>Table6[[#This Row],[maleDeclinedCount]]/Table6[[#This Row],[male declined expected]]-1</f>
        <v>-6.8029690010114829E-2</v>
      </c>
      <c r="AC15" s="15">
        <f>Table6[[#This Row],[femaleMergedCount]]/Table6[[#This Row],[female merged expected]]-1</f>
        <v>-0.49749866307854207</v>
      </c>
      <c r="AD15" s="15">
        <f>Table6[[#This Row],[femaleDeclinedCount]]/Table6[[#This Row],[female declined expected]]-1</f>
        <v>0.21259209842506621</v>
      </c>
      <c r="AF15">
        <f>IF(OR(Table6[[#This Row],[maleMergedCount]]&lt;5,Table6[[#This Row],[maleDeclinedCount]]&lt;5,Table6[[#This Row],[femaleMergedCount]]&lt;5,Table6[[#This Row],[femaleDeclinedCount]]&lt;5,W15&lt;$X$1),0,1)</f>
        <v>1</v>
      </c>
      <c r="AH15" s="30">
        <v>-0.17270379999999999</v>
      </c>
    </row>
    <row r="16" spans="1:34" x14ac:dyDescent="0.2">
      <c r="A16" t="s">
        <v>18</v>
      </c>
      <c r="B16" s="4">
        <v>3786</v>
      </c>
      <c r="C16" s="4">
        <v>2513</v>
      </c>
      <c r="D16" s="22">
        <f>Table6[[#This Row],[mergedCount]]/Table6[[#This Row],[PRCount]]</f>
        <v>0.66376122556788164</v>
      </c>
      <c r="E16" s="4">
        <v>1273</v>
      </c>
      <c r="F16" s="4">
        <v>2281</v>
      </c>
      <c r="G16" s="4">
        <v>171</v>
      </c>
      <c r="H16" s="4">
        <v>1334</v>
      </c>
      <c r="I16" s="2">
        <f>Table6[[#This Row],[malePullRequests]]/(Table6[[#This Row],[PRCount]]-Table6[[#This Row],[unknownPullRequests]])</f>
        <v>0.93026101141924955</v>
      </c>
      <c r="J16" s="2">
        <f>Table6[[#This Row],[femalePullRequests]]/(Table6[[#This Row],[PRCount]]-Table6[[#This Row],[unknownPullRequests]])</f>
        <v>6.9738988580750408E-2</v>
      </c>
      <c r="K16">
        <v>1506</v>
      </c>
      <c r="L16">
        <v>775</v>
      </c>
      <c r="M16">
        <v>118</v>
      </c>
      <c r="N16">
        <v>53</v>
      </c>
      <c r="O16" s="9">
        <f>(Table6[[#This Row],[mergedCount]]/Table6[[#This Row],[PRCount]])*Table6[[#This Row],[malePullRequests]]</f>
        <v>1514.0393555203379</v>
      </c>
      <c r="P16" s="9">
        <f>(Table6[[#This Row],[declinedCount]]/Table6[[#This Row],[PRCount]])*Table6[[#This Row],[malePullRequests]]</f>
        <v>766.96064447966182</v>
      </c>
      <c r="Q16" s="9">
        <f>(Table6[[#This Row],[mergedCount]]/Table6[[#This Row],[PRCount]])*Table6[[#This Row],[femalePullRequests]]</f>
        <v>113.50316957210777</v>
      </c>
      <c r="R16" s="9">
        <f>(Table6[[#This Row],[declinedCount]]/Table6[[#This Row],[PRCount]])*Table6[[#This Row],[femalePullRequests]]</f>
        <v>57.496830427892228</v>
      </c>
      <c r="S16">
        <f>(Table6[[#This Row],[maleMergedCount]]-Table6[[#This Row],[male merged expected]])^2/IF(Table6[[#This Row],[male merged expected]]&gt;0,Table6[[#This Row],[male merged expected]],1)</f>
        <v>4.2687950578521192E-2</v>
      </c>
      <c r="T16">
        <f>(Table6[[#This Row],[maleDeclinedCount]]-Table6[[#This Row],[male declined expected]])^2/IF(Table6[[#This Row],[male declined expected]]&gt;0,Table6[[#This Row],[male declined expected]],1)</f>
        <v>8.4269300709999856E-2</v>
      </c>
      <c r="U16">
        <f>(Table6[[#This Row],[femaleMergedCount]]-Table6[[#This Row],[female merged expected]])^2/IF(Table6[[#This Row],[female merged expected]]&gt;0,Table6[[#This Row],[female merged expected]],1)</f>
        <v>0.17815787852841317</v>
      </c>
      <c r="V16">
        <f>(Table6[[#This Row],[femaleDeclinedCount]]-Table6[[#This Row],[female declined expected]])^2/IF(Table6[[#This Row],[female declined expected]]&gt;0,Table6[[#This Row],[female declined expected]],1)</f>
        <v>0.35169736743275798</v>
      </c>
      <c r="W16">
        <f t="shared" si="0"/>
        <v>0.65681249724969226</v>
      </c>
      <c r="Y16" s="3">
        <f>IF(PRODUCT(Table6[[#This Row],[maleMergedCount]:[female declined expected]])&gt;0,_xlfn.CHISQ.TEST(Table6[[#This Row],[maleMergedCount]:[femaleDeclinedCount]],Table6[[#This Row],[male merged expected]:[female declined expected]]),"FALSE")</f>
        <v>0.88331192627000377</v>
      </c>
      <c r="AA16" s="2">
        <f>Table6[[#This Row],[maleMergedCount]]/Table6[[#This Row],[male merged expected]]-1</f>
        <v>-5.3098722242758134E-3</v>
      </c>
      <c r="AB16" s="2">
        <f>Table6[[#This Row],[maleDeclinedCount]]/Table6[[#This Row],[male declined expected]]-1</f>
        <v>1.0482096543287911E-2</v>
      </c>
      <c r="AC16" s="2">
        <f>Table6[[#This Row],[femaleMergedCount]]/Table6[[#This Row],[female merged expected]]-1</f>
        <v>3.9618544969666436E-2</v>
      </c>
      <c r="AD16" s="2">
        <f>Table6[[#This Row],[femaleDeclinedCount]]/Table6[[#This Row],[female declined expected]]-1</f>
        <v>-7.821005774451828E-2</v>
      </c>
      <c r="AF16">
        <f>IF(OR(Table6[[#This Row],[maleMergedCount]]&lt;5,Table6[[#This Row],[maleDeclinedCount]]&lt;5,Table6[[#This Row],[femaleMergedCount]]&lt;5,Table6[[#This Row],[femaleDeclinedCount]]&lt;5,W16&lt;$X$1),0,1)</f>
        <v>0</v>
      </c>
    </row>
    <row r="17" spans="1:34" x14ac:dyDescent="0.2">
      <c r="A17" t="s">
        <v>19</v>
      </c>
      <c r="B17" s="4">
        <v>3190</v>
      </c>
      <c r="C17" s="4">
        <v>1385</v>
      </c>
      <c r="D17" s="22">
        <f>Table6[[#This Row],[mergedCount]]/Table6[[#This Row],[PRCount]]</f>
        <v>0.43416927899686519</v>
      </c>
      <c r="E17" s="4">
        <v>1805</v>
      </c>
      <c r="F17" s="4">
        <v>2224</v>
      </c>
      <c r="G17" s="4">
        <v>137</v>
      </c>
      <c r="H17" s="4">
        <v>829</v>
      </c>
      <c r="I17" s="2">
        <f>Table6[[#This Row],[malePullRequests]]/(Table6[[#This Row],[PRCount]]-Table6[[#This Row],[unknownPullRequests]])</f>
        <v>0.9419737399407031</v>
      </c>
      <c r="J17" s="2">
        <f>Table6[[#This Row],[femalePullRequests]]/(Table6[[#This Row],[PRCount]]-Table6[[#This Row],[unknownPullRequests]])</f>
        <v>5.8026260059296911E-2</v>
      </c>
      <c r="K17">
        <v>1007</v>
      </c>
      <c r="L17">
        <v>1217</v>
      </c>
      <c r="M17">
        <v>55</v>
      </c>
      <c r="N17">
        <v>82</v>
      </c>
      <c r="O17" s="5">
        <f>(Table6[[#This Row],[mergedCount]]/Table6[[#This Row],[PRCount]])*Table6[[#This Row],[malePullRequests]]</f>
        <v>965.59247648902817</v>
      </c>
      <c r="P17" s="5">
        <f>(Table6[[#This Row],[declinedCount]]/Table6[[#This Row],[PRCount]])*Table6[[#This Row],[malePullRequests]]</f>
        <v>1258.4075235109717</v>
      </c>
      <c r="Q17" s="5">
        <f>(Table6[[#This Row],[mergedCount]]/Table6[[#This Row],[PRCount]])*Table6[[#This Row],[femalePullRequests]]</f>
        <v>59.48119122257053</v>
      </c>
      <c r="R17" s="5">
        <f>(Table6[[#This Row],[declinedCount]]/Table6[[#This Row],[PRCount]])*Table6[[#This Row],[femalePullRequests]]</f>
        <v>77.51880877742947</v>
      </c>
      <c r="S17">
        <f>(Table6[[#This Row],[maleMergedCount]]-Table6[[#This Row],[male merged expected]])^2/IF(Table6[[#This Row],[male merged expected]]&gt;0,Table6[[#This Row],[male merged expected]],1)</f>
        <v>1.7756797459172904</v>
      </c>
      <c r="T17">
        <f>(Table6[[#This Row],[maleDeclinedCount]]-Table6[[#This Row],[male declined expected]])^2/IF(Table6[[#This Row],[male declined expected]]&gt;0,Table6[[#This Row],[male declined expected]],1)</f>
        <v>1.3625021873104897</v>
      </c>
      <c r="U17">
        <f>(Table6[[#This Row],[femaleMergedCount]]-Table6[[#This Row],[female merged expected]])^2/IF(Table6[[#This Row],[female merged expected]]&gt;0,Table6[[#This Row],[female merged expected]],1)</f>
        <v>0.33760377626101179</v>
      </c>
      <c r="V17">
        <f>(Table6[[#This Row],[femaleDeclinedCount]]-Table6[[#This Row],[female declined expected]])^2/IF(Table6[[#This Row],[female declined expected]]&gt;0,Table6[[#This Row],[female declined expected]],1)</f>
        <v>0.25904777292049935</v>
      </c>
      <c r="W17">
        <f t="shared" si="0"/>
        <v>3.7348334824092908</v>
      </c>
      <c r="Y17" s="3">
        <f>IF(PRODUCT(Table6[[#This Row],[maleMergedCount]:[female declined expected]])&gt;0,_xlfn.CHISQ.TEST(Table6[[#This Row],[maleMergedCount]:[femaleDeclinedCount]],Table6[[#This Row],[male merged expected]:[female declined expected]]),"FALSE")</f>
        <v>0.29155762421840431</v>
      </c>
      <c r="AA17" s="2">
        <f>Table6[[#This Row],[maleMergedCount]]/Table6[[#This Row],[male merged expected]]-1</f>
        <v>4.2883022102173873E-2</v>
      </c>
      <c r="AB17" s="2">
        <f>Table6[[#This Row],[maleDeclinedCount]]/Table6[[#This Row],[male declined expected]]-1</f>
        <v>-3.2904701169812034E-2</v>
      </c>
      <c r="AC17" s="2">
        <f>Table6[[#This Row],[femaleMergedCount]]/Table6[[#This Row],[female merged expected]]-1</f>
        <v>-7.5337953569263982E-2</v>
      </c>
      <c r="AD17" s="2">
        <f>Table6[[#This Row],[femaleDeclinedCount]]/Table6[[#This Row],[female declined expected]]-1</f>
        <v>5.7807792627939447E-2</v>
      </c>
      <c r="AF17">
        <f>IF(OR(Table6[[#This Row],[maleMergedCount]]&lt;5,Table6[[#This Row],[maleDeclinedCount]]&lt;5,Table6[[#This Row],[femaleMergedCount]]&lt;5,Table6[[#This Row],[femaleDeclinedCount]]&lt;5,W17&lt;$X$1),0,1)</f>
        <v>0</v>
      </c>
    </row>
    <row r="18" spans="1:34" x14ac:dyDescent="0.2">
      <c r="A18" t="s">
        <v>20</v>
      </c>
      <c r="B18" s="4">
        <v>2973</v>
      </c>
      <c r="C18" s="4">
        <v>2366</v>
      </c>
      <c r="D18" s="22">
        <f>Table6[[#This Row],[mergedCount]]/Table6[[#This Row],[PRCount]]</f>
        <v>0.79582912882610157</v>
      </c>
      <c r="E18" s="4">
        <v>607</v>
      </c>
      <c r="F18" s="4">
        <v>2141</v>
      </c>
      <c r="G18" s="4">
        <v>103</v>
      </c>
      <c r="H18" s="4">
        <v>729</v>
      </c>
      <c r="I18" s="2">
        <f>Table6[[#This Row],[malePullRequests]]/(Table6[[#This Row],[PRCount]]-Table6[[#This Row],[unknownPullRequests]])</f>
        <v>0.95409982174688057</v>
      </c>
      <c r="J18" s="2">
        <f>Table6[[#This Row],[femalePullRequests]]/(Table6[[#This Row],[PRCount]]-Table6[[#This Row],[unknownPullRequests]])</f>
        <v>4.5900178253119428E-2</v>
      </c>
      <c r="K18">
        <v>1810</v>
      </c>
      <c r="L18">
        <v>331</v>
      </c>
      <c r="M18">
        <v>80</v>
      </c>
      <c r="N18">
        <v>23</v>
      </c>
      <c r="O18" s="5">
        <f>(Table6[[#This Row],[mergedCount]]/Table6[[#This Row],[PRCount]])*Table6[[#This Row],[malePullRequests]]</f>
        <v>1703.8701648166834</v>
      </c>
      <c r="P18" s="5">
        <f>(Table6[[#This Row],[declinedCount]]/Table6[[#This Row],[PRCount]])*Table6[[#This Row],[malePullRequests]]</f>
        <v>437.12983518331652</v>
      </c>
      <c r="Q18" s="5">
        <f>(Table6[[#This Row],[mergedCount]]/Table6[[#This Row],[PRCount]])*Table6[[#This Row],[femalePullRequests]]</f>
        <v>81.970400269088458</v>
      </c>
      <c r="R18" s="5">
        <f>(Table6[[#This Row],[declinedCount]]/Table6[[#This Row],[PRCount]])*Table6[[#This Row],[femalePullRequests]]</f>
        <v>21.029599730911539</v>
      </c>
      <c r="S18">
        <f>(Table6[[#This Row],[maleMergedCount]]-Table6[[#This Row],[male merged expected]])^2/IF(Table6[[#This Row],[male merged expected]]&gt;0,Table6[[#This Row],[male merged expected]],1)</f>
        <v>6.6105634975125973</v>
      </c>
      <c r="T18">
        <f>(Table6[[#This Row],[maleDeclinedCount]]-Table6[[#This Row],[male declined expected]])^2/IF(Table6[[#This Row],[male declined expected]]&gt;0,Table6[[#This Row],[male declined expected]],1)</f>
        <v>25.767039926054014</v>
      </c>
      <c r="U18">
        <f>(Table6[[#This Row],[femaleMergedCount]]-Table6[[#This Row],[female merged expected]])^2/IF(Table6[[#This Row],[female merged expected]]&gt;0,Table6[[#This Row],[female merged expected]],1)</f>
        <v>4.7364380406569435E-2</v>
      </c>
      <c r="V18">
        <f>(Table6[[#This Row],[femaleDeclinedCount]]-Table6[[#This Row],[female declined expected]])^2/IF(Table6[[#This Row],[female declined expected]]&gt;0,Table6[[#This Row],[female declined expected]],1)</f>
        <v>0.18461964422066501</v>
      </c>
      <c r="W18">
        <f t="shared" si="0"/>
        <v>32.609587448193849</v>
      </c>
      <c r="Y18" s="3">
        <f>IF(PRODUCT(Table6[[#This Row],[maleMergedCount]:[female declined expected]])&gt;0,_xlfn.CHISQ.TEST(Table6[[#This Row],[maleMergedCount]:[femaleDeclinedCount]],Table6[[#This Row],[male merged expected]:[female declined expected]]),"FALSE")</f>
        <v>3.8929968603918904E-7</v>
      </c>
      <c r="AA18" s="2">
        <f>Table6[[#This Row],[maleMergedCount]]/Table6[[#This Row],[male merged expected]]-1</f>
        <v>6.2287513083331136E-2</v>
      </c>
      <c r="AB18" s="2">
        <f>Table6[[#This Row],[maleDeclinedCount]]/Table6[[#This Row],[male declined expected]]-1</f>
        <v>-0.24278790107934289</v>
      </c>
      <c r="AC18" s="2">
        <f>Table6[[#This Row],[femaleMergedCount]]/Table6[[#This Row],[female merged expected]]-1</f>
        <v>-2.4037948608523596E-2</v>
      </c>
      <c r="AD18" s="2">
        <f>Table6[[#This Row],[femaleDeclinedCount]]/Table6[[#This Row],[female declined expected]]-1</f>
        <v>9.3696517969962034E-2</v>
      </c>
      <c r="AF18">
        <f>IF(OR(Table6[[#This Row],[maleMergedCount]]&lt;5,Table6[[#This Row],[maleDeclinedCount]]&lt;5,Table6[[#This Row],[femaleMergedCount]]&lt;5,Table6[[#This Row],[femaleDeclinedCount]]&lt;5,W18&lt;$X$1),0,1)</f>
        <v>1</v>
      </c>
      <c r="AH18" s="1">
        <v>-0.16900309999999999</v>
      </c>
    </row>
    <row r="19" spans="1:34" x14ac:dyDescent="0.2">
      <c r="A19" t="s">
        <v>21</v>
      </c>
      <c r="B19" s="4">
        <v>2714</v>
      </c>
      <c r="C19" s="4">
        <v>2411</v>
      </c>
      <c r="D19" s="22">
        <f>Table6[[#This Row],[mergedCount]]/Table6[[#This Row],[PRCount]]</f>
        <v>0.88835666912306555</v>
      </c>
      <c r="E19" s="4">
        <v>303</v>
      </c>
      <c r="F19" s="4">
        <v>1905</v>
      </c>
      <c r="G19" s="4">
        <v>90</v>
      </c>
      <c r="H19" s="4">
        <v>719</v>
      </c>
      <c r="I19" s="2">
        <f>Table6[[#This Row],[malePullRequests]]/(Table6[[#This Row],[PRCount]]-Table6[[#This Row],[unknownPullRequests]])</f>
        <v>0.95488721804511278</v>
      </c>
      <c r="J19" s="2">
        <f>Table6[[#This Row],[femalePullRequests]]/(Table6[[#This Row],[PRCount]]-Table6[[#This Row],[unknownPullRequests]])</f>
        <v>4.5112781954887216E-2</v>
      </c>
      <c r="K19">
        <v>1744</v>
      </c>
      <c r="L19">
        <v>161</v>
      </c>
      <c r="M19">
        <v>79</v>
      </c>
      <c r="N19">
        <v>11</v>
      </c>
      <c r="O19" s="5">
        <f>(Table6[[#This Row],[mergedCount]]/Table6[[#This Row],[PRCount]])*Table6[[#This Row],[malePullRequests]]</f>
        <v>1692.3194546794398</v>
      </c>
      <c r="P19" s="5">
        <f>(Table6[[#This Row],[declinedCount]]/Table6[[#This Row],[PRCount]])*Table6[[#This Row],[malePullRequests]]</f>
        <v>212.68054532056004</v>
      </c>
      <c r="Q19" s="5">
        <f>(Table6[[#This Row],[mergedCount]]/Table6[[#This Row],[PRCount]])*Table6[[#This Row],[femalePullRequests]]</f>
        <v>79.952100221075895</v>
      </c>
      <c r="R19" s="5">
        <f>(Table6[[#This Row],[declinedCount]]/Table6[[#This Row],[PRCount]])*Table6[[#This Row],[femalePullRequests]]</f>
        <v>10.047899778924098</v>
      </c>
      <c r="S19">
        <f>(Table6[[#This Row],[maleMergedCount]]-Table6[[#This Row],[male merged expected]])^2/IF(Table6[[#This Row],[male merged expected]]&gt;0,Table6[[#This Row],[male merged expected]],1)</f>
        <v>1.5782355732218405</v>
      </c>
      <c r="T19">
        <f>(Table6[[#This Row],[maleDeclinedCount]]-Table6[[#This Row],[male declined expected]])^2/IF(Table6[[#This Row],[male declined expected]]&gt;0,Table6[[#This Row],[male declined expected]],1)</f>
        <v>12.558171508375683</v>
      </c>
      <c r="U19">
        <f>(Table6[[#This Row],[femaleMergedCount]]-Table6[[#This Row],[female merged expected]])^2/IF(Table6[[#This Row],[female merged expected]]&gt;0,Table6[[#This Row],[female merged expected]],1)</f>
        <v>1.133797396774088E-2</v>
      </c>
      <c r="V19">
        <f>(Table6[[#This Row],[femaleDeclinedCount]]-Table6[[#This Row],[female declined expected]])^2/IF(Table6[[#This Row],[female declined expected]]&gt;0,Table6[[#This Row],[female declined expected]],1)</f>
        <v>9.0217344013939479E-2</v>
      </c>
      <c r="W19">
        <f t="shared" si="0"/>
        <v>14.237962399579205</v>
      </c>
      <c r="Y19" s="3">
        <f>IF(PRODUCT(Table6[[#This Row],[maleMergedCount]:[female declined expected]])&gt;0,_xlfn.CHISQ.TEST(Table6[[#This Row],[maleMergedCount]:[femaleDeclinedCount]],Table6[[#This Row],[male merged expected]:[female declined expected]]),"FALSE")</f>
        <v>2.5985042725095971E-3</v>
      </c>
      <c r="AA19" s="2">
        <f>Table6[[#This Row],[maleMergedCount]]/Table6[[#This Row],[male merged expected]]-1</f>
        <v>3.0538291796893269E-2</v>
      </c>
      <c r="AB19" s="2">
        <f>Table6[[#This Row],[maleDeclinedCount]]/Table6[[#This Row],[male declined expected]]-1</f>
        <v>-0.24299611063468551</v>
      </c>
      <c r="AC19" s="2">
        <f>Table6[[#This Row],[femaleMergedCount]]/Table6[[#This Row],[female merged expected]]-1</f>
        <v>-1.1908382874786794E-2</v>
      </c>
      <c r="AD19" s="2">
        <f>Table6[[#This Row],[femaleDeclinedCount]]/Table6[[#This Row],[female declined expected]]-1</f>
        <v>9.4756142280894684E-2</v>
      </c>
      <c r="AF19">
        <f>IF(OR(Table6[[#This Row],[maleMergedCount]]&lt;5,Table6[[#This Row],[maleDeclinedCount]]&lt;5,Table6[[#This Row],[femaleMergedCount]]&lt;5,Table6[[#This Row],[femaleDeclinedCount]]&lt;5,W19&lt;$X$1),0,1)</f>
        <v>1</v>
      </c>
      <c r="AH19" s="1">
        <v>-0.1205058</v>
      </c>
    </row>
    <row r="20" spans="1:34" ht="17" thickBot="1" x14ac:dyDescent="0.25">
      <c r="A20" t="s">
        <v>22</v>
      </c>
      <c r="B20" s="4">
        <v>2205</v>
      </c>
      <c r="C20" s="4">
        <v>1783</v>
      </c>
      <c r="D20" s="22">
        <f>Table6[[#This Row],[mergedCount]]/Table6[[#This Row],[PRCount]]</f>
        <v>0.80861678004535142</v>
      </c>
      <c r="E20" s="4">
        <v>422</v>
      </c>
      <c r="F20" s="4">
        <v>1736</v>
      </c>
      <c r="G20" s="4">
        <v>50</v>
      </c>
      <c r="H20" s="4">
        <v>419</v>
      </c>
      <c r="I20" s="2">
        <f>Table6[[#This Row],[malePullRequests]]/(Table6[[#This Row],[PRCount]]-Table6[[#This Row],[unknownPullRequests]])</f>
        <v>0.97200447928331468</v>
      </c>
      <c r="J20" s="2">
        <f>Table6[[#This Row],[femalePullRequests]]/(Table6[[#This Row],[PRCount]]-Table6[[#This Row],[unknownPullRequests]])</f>
        <v>2.7995520716685332E-2</v>
      </c>
      <c r="K20">
        <v>1437</v>
      </c>
      <c r="L20">
        <v>299</v>
      </c>
      <c r="M20">
        <v>37</v>
      </c>
      <c r="N20">
        <v>13</v>
      </c>
      <c r="O20" s="8">
        <f>(Table6[[#This Row],[mergedCount]]/Table6[[#This Row],[PRCount]])*Table6[[#This Row],[malePullRequests]]</f>
        <v>1403.75873015873</v>
      </c>
      <c r="P20" s="8">
        <f>(Table6[[#This Row],[declinedCount]]/Table6[[#This Row],[PRCount]])*Table6[[#This Row],[malePullRequests]]</f>
        <v>332.24126984126985</v>
      </c>
      <c r="Q20" s="8">
        <f>(Table6[[#This Row],[mergedCount]]/Table6[[#This Row],[PRCount]])*Table6[[#This Row],[femalePullRequests]]</f>
        <v>40.430839002267568</v>
      </c>
      <c r="R20" s="8">
        <f>(Table6[[#This Row],[declinedCount]]/Table6[[#This Row],[PRCount]])*Table6[[#This Row],[femalePullRequests]]</f>
        <v>9.5691609977324266</v>
      </c>
      <c r="S20">
        <f>(Table6[[#This Row],[maleMergedCount]]-Table6[[#This Row],[male merged expected]])^2/IF(Table6[[#This Row],[male merged expected]]&gt;0,Table6[[#This Row],[male merged expected]],1)</f>
        <v>0.78715950036170279</v>
      </c>
      <c r="T20">
        <f>(Table6[[#This Row],[maleDeclinedCount]]-Table6[[#This Row],[male declined expected]])^2/IF(Table6[[#This Row],[male declined expected]]&gt;0,Table6[[#This Row],[male declined expected]],1)</f>
        <v>3.3258421543718164</v>
      </c>
      <c r="U20">
        <f>(Table6[[#This Row],[femaleMergedCount]]-Table6[[#This Row],[female merged expected]])^2/IF(Table6[[#This Row],[female merged expected]]&gt;0,Table6[[#This Row],[female merged expected]],1)</f>
        <v>0.29113064556538548</v>
      </c>
      <c r="V20">
        <f>(Table6[[#This Row],[femaleDeclinedCount]]-Table6[[#This Row],[female declined expected]])^2/IF(Table6[[#This Row],[female declined expected]]&gt;0,Table6[[#This Row],[female declined expected]],1)</f>
        <v>1.2300614716660754</v>
      </c>
      <c r="W20">
        <f t="shared" si="0"/>
        <v>5.6341937719649797</v>
      </c>
      <c r="Y20" s="3">
        <f>IF(PRODUCT(Table6[[#This Row],[maleMergedCount]:[female declined expected]])&gt;0,_xlfn.CHISQ.TEST(Table6[[#This Row],[maleMergedCount]:[femaleDeclinedCount]],Table6[[#This Row],[male merged expected]:[female declined expected]]),"FALSE")</f>
        <v>0.1308290557823939</v>
      </c>
      <c r="AA20" s="2">
        <f>Table6[[#This Row],[maleMergedCount]]/Table6[[#This Row],[male merged expected]]-1</f>
        <v>2.3680187433285704E-2</v>
      </c>
      <c r="AB20" s="2">
        <f>Table6[[#This Row],[maleDeclinedCount]]/Table6[[#This Row],[male declined expected]]-1</f>
        <v>-0.10005159761504356</v>
      </c>
      <c r="AC20" s="2">
        <f>Table6[[#This Row],[femaleMergedCount]]/Table6[[#This Row],[female merged expected]]-1</f>
        <v>-8.4856982613572551E-2</v>
      </c>
      <c r="AD20" s="2">
        <f>Table6[[#This Row],[femaleDeclinedCount]]/Table6[[#This Row],[female declined expected]]-1</f>
        <v>0.35853080568720386</v>
      </c>
      <c r="AF20">
        <f>IF(OR(Table6[[#This Row],[maleMergedCount]]&lt;5,Table6[[#This Row],[maleDeclinedCount]]&lt;5,Table6[[#This Row],[femaleMergedCount]]&lt;5,Table6[[#This Row],[femaleDeclinedCount]]&lt;5,W20&lt;$X$1),0,1)</f>
        <v>0</v>
      </c>
    </row>
    <row r="21" spans="1:34" s="27" customFormat="1" ht="17" thickBot="1" x14ac:dyDescent="0.25">
      <c r="A21" s="24" t="s">
        <v>23</v>
      </c>
      <c r="B21" s="25">
        <v>2369</v>
      </c>
      <c r="C21" s="25">
        <v>720</v>
      </c>
      <c r="D21" s="26">
        <f>Table6[[#This Row],[mergedCount]]/Table6[[#This Row],[PRCount]]</f>
        <v>0.30392570704938793</v>
      </c>
      <c r="E21" s="25">
        <v>1649</v>
      </c>
      <c r="F21" s="25">
        <v>1586</v>
      </c>
      <c r="G21" s="25">
        <v>161</v>
      </c>
      <c r="H21" s="25">
        <v>622</v>
      </c>
      <c r="I21" s="2">
        <f>Table6[[#This Row],[malePullRequests]]/(Table6[[#This Row],[PRCount]]-Table6[[#This Row],[unknownPullRequests]])</f>
        <v>0.90784201488265603</v>
      </c>
      <c r="J21" s="2">
        <f>Table6[[#This Row],[femalePullRequests]]/(Table6[[#This Row],[PRCount]]-Table6[[#This Row],[unknownPullRequests]])</f>
        <v>9.2157985117344021E-2</v>
      </c>
      <c r="K21" s="27">
        <v>494</v>
      </c>
      <c r="L21" s="27">
        <v>1092</v>
      </c>
      <c r="M21" s="27">
        <v>66</v>
      </c>
      <c r="N21" s="27">
        <v>95</v>
      </c>
      <c r="O21" s="28">
        <f>(Table6[[#This Row],[mergedCount]]/Table6[[#This Row],[PRCount]])*Table6[[#This Row],[malePullRequests]]</f>
        <v>482.02617138032923</v>
      </c>
      <c r="P21" s="28">
        <f>(Table6[[#This Row],[declinedCount]]/Table6[[#This Row],[PRCount]])*Table6[[#This Row],[malePullRequests]]</f>
        <v>1103.9738286196707</v>
      </c>
      <c r="Q21" s="28">
        <f>(Table6[[#This Row],[mergedCount]]/Table6[[#This Row],[PRCount]])*Table6[[#This Row],[femalePullRequests]]</f>
        <v>48.932038834951456</v>
      </c>
      <c r="R21" s="28">
        <f>(Table6[[#This Row],[declinedCount]]/Table6[[#This Row],[PRCount]])*Table6[[#This Row],[femalePullRequests]]</f>
        <v>112.06796116504854</v>
      </c>
      <c r="S21">
        <f>(Table6[[#This Row],[maleMergedCount]]-Table6[[#This Row],[male merged expected]])^2/IF(Table6[[#This Row],[male merged expected]]&gt;0,Table6[[#This Row],[male merged expected]],1)</f>
        <v>0.29743731839847071</v>
      </c>
      <c r="T21">
        <f>(Table6[[#This Row],[maleDeclinedCount]]-Table6[[#This Row],[male declined expected]])^2/IF(Table6[[#This Row],[male declined expected]]&gt;0,Table6[[#This Row],[male declined expected]],1)</f>
        <v>0.12986953865791198</v>
      </c>
      <c r="U21">
        <f>(Table6[[#This Row],[femaleMergedCount]]-Table6[[#This Row],[female merged expected]])^2/IF(Table6[[#This Row],[female merged expected]]&gt;0,Table6[[#This Row],[female merged expected]],1)</f>
        <v>5.9534674063800281</v>
      </c>
      <c r="V21">
        <f>(Table6[[#This Row],[femaleDeclinedCount]]-Table6[[#This Row],[female declined expected]])^2/IF(Table6[[#This Row],[female declined expected]]&gt;0,Table6[[#This Row],[female declined expected]],1)</f>
        <v>2.5994521119427656</v>
      </c>
      <c r="W21" s="27">
        <f t="shared" si="0"/>
        <v>8.9802263753791767</v>
      </c>
      <c r="Y21" s="3">
        <f>IF(PRODUCT(Table6[[#This Row],[maleMergedCount]:[female declined expected]])&gt;0,_xlfn.CHISQ.TEST(Table6[[#This Row],[maleMergedCount]:[femaleDeclinedCount]],Table6[[#This Row],[male merged expected]:[female declined expected]]),"FALSE")</f>
        <v>2.9554946164546611E-2</v>
      </c>
      <c r="AA21" s="29">
        <f>Table6[[#This Row],[maleMergedCount]]/Table6[[#This Row],[male merged expected]]-1</f>
        <v>2.4840619307832545E-2</v>
      </c>
      <c r="AB21" s="29">
        <f>Table6[[#This Row],[maleDeclinedCount]]/Table6[[#This Row],[male declined expected]]-1</f>
        <v>-1.0846116374553794E-2</v>
      </c>
      <c r="AC21" s="29">
        <f>Table6[[#This Row],[femaleMergedCount]]/Table6[[#This Row],[female merged expected]]-1</f>
        <v>0.3488095238095239</v>
      </c>
      <c r="AD21" s="29">
        <f>Table6[[#This Row],[femaleDeclinedCount]]/Table6[[#This Row],[female declined expected]]-1</f>
        <v>-0.15230009529585031</v>
      </c>
      <c r="AF21">
        <f>IF(OR(Table6[[#This Row],[maleMergedCount]]&lt;5,Table6[[#This Row],[maleDeclinedCount]]&lt;5,Table6[[#This Row],[femaleMergedCount]]&lt;5,Table6[[#This Row],[femaleDeclinedCount]]&lt;5,W21&lt;$X$1),0,1)</f>
        <v>1</v>
      </c>
      <c r="AH21" s="27">
        <v>7.6281910000000003E-3</v>
      </c>
    </row>
    <row r="22" spans="1:34" s="12" customFormat="1" ht="17" thickBot="1" x14ac:dyDescent="0.25">
      <c r="A22" s="10" t="s">
        <v>24</v>
      </c>
      <c r="B22" s="11">
        <v>2169</v>
      </c>
      <c r="C22" s="11">
        <v>258</v>
      </c>
      <c r="D22" s="23">
        <f>Table6[[#This Row],[mergedCount]]/Table6[[#This Row],[PRCount]]</f>
        <v>0.11894882434301521</v>
      </c>
      <c r="E22" s="11">
        <v>1911</v>
      </c>
      <c r="F22" s="11">
        <v>1564</v>
      </c>
      <c r="G22" s="11">
        <v>64</v>
      </c>
      <c r="H22" s="11">
        <v>541</v>
      </c>
      <c r="I22" s="15">
        <f>Table6[[#This Row],[malePullRequests]]/(Table6[[#This Row],[PRCount]]-Table6[[#This Row],[unknownPullRequests]])</f>
        <v>0.9606879606879607</v>
      </c>
      <c r="J22" s="15">
        <f>Table6[[#This Row],[femalePullRequests]]/(Table6[[#This Row],[PRCount]]-Table6[[#This Row],[unknownPullRequests]])</f>
        <v>3.9312039312039311E-2</v>
      </c>
      <c r="K22" s="12">
        <v>231</v>
      </c>
      <c r="L22" s="12">
        <v>1333</v>
      </c>
      <c r="M22" s="12">
        <v>2</v>
      </c>
      <c r="N22" s="12">
        <v>62</v>
      </c>
      <c r="O22" s="13">
        <f>(Table6[[#This Row],[mergedCount]]/Table6[[#This Row],[PRCount]])*Table6[[#This Row],[malePullRequests]]</f>
        <v>186.03596127247579</v>
      </c>
      <c r="P22" s="13">
        <f>(Table6[[#This Row],[declinedCount]]/Table6[[#This Row],[PRCount]])*Table6[[#This Row],[malePullRequests]]</f>
        <v>1377.9640387275242</v>
      </c>
      <c r="Q22" s="13">
        <f>(Table6[[#This Row],[mergedCount]]/Table6[[#This Row],[PRCount]])*Table6[[#This Row],[femalePullRequests]]</f>
        <v>7.6127247579529733</v>
      </c>
      <c r="R22" s="13">
        <f>(Table6[[#This Row],[declinedCount]]/Table6[[#This Row],[PRCount]])*Table6[[#This Row],[femalePullRequests]]</f>
        <v>56.387275242047025</v>
      </c>
      <c r="S22" s="12">
        <f>(Table6[[#This Row],[maleMergedCount]]-Table6[[#This Row],[male merged expected]])^2/IF(Table6[[#This Row],[male merged expected]]&gt;0,Table6[[#This Row],[male merged expected]],1)</f>
        <v>10.867601967176329</v>
      </c>
      <c r="T22" s="12">
        <f>(Table6[[#This Row],[maleDeclinedCount]]-Table6[[#This Row],[male declined expected]])^2/IF(Table6[[#This Row],[male declined expected]]&gt;0,Table6[[#This Row],[male declined expected]],1)</f>
        <v>1.4672115685669769</v>
      </c>
      <c r="U22" s="12">
        <f>(Table6[[#This Row],[femaleMergedCount]]-Table6[[#This Row],[female merged expected]])^2/IF(Table6[[#This Row],[female merged expected]]&gt;0,Table6[[#This Row],[female merged expected]],1)</f>
        <v>4.1381608044646017</v>
      </c>
      <c r="V22" s="12">
        <f>(Table6[[#This Row],[femaleDeclinedCount]]-Table6[[#This Row],[female declined expected]])^2/IF(Table6[[#This Row],[female declined expected]]&gt;0,Table6[[#This Row],[female declined expected]],1)</f>
        <v>0.55868419024168903</v>
      </c>
      <c r="W22" s="12">
        <f t="shared" si="0"/>
        <v>17.031658530449597</v>
      </c>
      <c r="Y22" s="14">
        <f>IF(PRODUCT(Table6[[#This Row],[maleMergedCount]:[female declined expected]])&gt;0,_xlfn.CHISQ.TEST(Table6[[#This Row],[maleMergedCount]:[femaleDeclinedCount]],Table6[[#This Row],[male merged expected]:[female declined expected]]),"FALSE")</f>
        <v>6.9622541386058282E-4</v>
      </c>
      <c r="AA22" s="15">
        <f>Table6[[#This Row],[maleMergedCount]]/Table6[[#This Row],[male merged expected]]-1</f>
        <v>0.24169541426277297</v>
      </c>
      <c r="AB22" s="15">
        <f>Table6[[#This Row],[maleDeclinedCount]]/Table6[[#This Row],[male declined expected]]-1</f>
        <v>-3.2630778063733823E-2</v>
      </c>
      <c r="AC22" s="15">
        <f>Table6[[#This Row],[femaleMergedCount]]/Table6[[#This Row],[female merged expected]]-1</f>
        <v>-0.73728197674418605</v>
      </c>
      <c r="AD22" s="15">
        <f>Table6[[#This Row],[femaleDeclinedCount]]/Table6[[#This Row],[female declined expected]]-1</f>
        <v>9.9538854003139665E-2</v>
      </c>
      <c r="AF22" s="12">
        <f>IF(OR(Table6[[#This Row],[maleMergedCount]]&lt;5,Table6[[#This Row],[maleDeclinedCount]]&lt;5,Table6[[#This Row],[femaleMergedCount]]&lt;5,Table6[[#This Row],[femaleDeclinedCount]]&lt;5,W22&lt;$X$1),0,1)</f>
        <v>0</v>
      </c>
      <c r="AH22" s="30">
        <v>-0.13803000000000001</v>
      </c>
    </row>
    <row r="23" spans="1:34" x14ac:dyDescent="0.2">
      <c r="A23" t="s">
        <v>25</v>
      </c>
      <c r="B23" s="4">
        <v>2007</v>
      </c>
      <c r="C23" s="4">
        <v>921</v>
      </c>
      <c r="D23" s="22">
        <f>Table6[[#This Row],[mergedCount]]/Table6[[#This Row],[PRCount]]</f>
        <v>0.45889387144992527</v>
      </c>
      <c r="E23" s="4">
        <v>1086</v>
      </c>
      <c r="F23" s="4">
        <v>1300</v>
      </c>
      <c r="G23" s="4">
        <v>94</v>
      </c>
      <c r="H23" s="4">
        <v>613</v>
      </c>
      <c r="I23" s="2">
        <f>Table6[[#This Row],[malePullRequests]]/(Table6[[#This Row],[PRCount]]-Table6[[#This Row],[unknownPullRequests]])</f>
        <v>0.93256814921090392</v>
      </c>
      <c r="J23" s="2">
        <f>Table6[[#This Row],[femalePullRequests]]/(Table6[[#This Row],[PRCount]]-Table6[[#This Row],[unknownPullRequests]])</f>
        <v>6.7431850789096123E-2</v>
      </c>
      <c r="K23">
        <v>606</v>
      </c>
      <c r="L23">
        <v>694</v>
      </c>
      <c r="M23">
        <v>36</v>
      </c>
      <c r="N23">
        <v>58</v>
      </c>
      <c r="O23" s="9">
        <f>(Table6[[#This Row],[mergedCount]]/Table6[[#This Row],[PRCount]])*Table6[[#This Row],[malePullRequests]]</f>
        <v>596.56203288490281</v>
      </c>
      <c r="P23" s="9">
        <f>(Table6[[#This Row],[declinedCount]]/Table6[[#This Row],[PRCount]])*Table6[[#This Row],[malePullRequests]]</f>
        <v>703.43796711509719</v>
      </c>
      <c r="Q23" s="9">
        <f>(Table6[[#This Row],[mergedCount]]/Table6[[#This Row],[PRCount]])*Table6[[#This Row],[femalePullRequests]]</f>
        <v>43.136023916292977</v>
      </c>
      <c r="R23" s="9">
        <f>(Table6[[#This Row],[declinedCount]]/Table6[[#This Row],[PRCount]])*Table6[[#This Row],[femalePullRequests]]</f>
        <v>50.86397608370703</v>
      </c>
      <c r="S23">
        <f>(Table6[[#This Row],[maleMergedCount]]-Table6[[#This Row],[male merged expected]])^2/IF(Table6[[#This Row],[male merged expected]]&gt;0,Table6[[#This Row],[male merged expected]],1)</f>
        <v>0.14931426801484318</v>
      </c>
      <c r="T23">
        <f>(Table6[[#This Row],[maleDeclinedCount]]-Table6[[#This Row],[male declined expected]])^2/IF(Table6[[#This Row],[male declined expected]]&gt;0,Table6[[#This Row],[male declined expected]],1)</f>
        <v>0.12662839856507416</v>
      </c>
      <c r="U23">
        <f>(Table6[[#This Row],[femaleMergedCount]]-Table6[[#This Row],[female merged expected]])^2/IF(Table6[[#This Row],[female merged expected]]&gt;0,Table6[[#This Row],[female merged expected]],1)</f>
        <v>1.1805176442020475</v>
      </c>
      <c r="V23">
        <f>(Table6[[#This Row],[femaleDeclinedCount]]-Table6[[#This Row],[female declined expected]])^2/IF(Table6[[#This Row],[female declined expected]]&gt;0,Table6[[#This Row],[female declined expected]],1)</f>
        <v>1.0011572286464856</v>
      </c>
      <c r="W23">
        <f t="shared" si="0"/>
        <v>2.4576175394284503</v>
      </c>
      <c r="Y23" s="3">
        <f>IF(PRODUCT(Table6[[#This Row],[maleMergedCount]:[female declined expected]])&gt;0,_xlfn.CHISQ.TEST(Table6[[#This Row],[maleMergedCount]:[femaleDeclinedCount]],Table6[[#This Row],[male merged expected]:[female declined expected]]),"FALSE")</f>
        <v>0.48299925728408777</v>
      </c>
      <c r="AA23" s="2">
        <f>Table6[[#This Row],[maleMergedCount]]/Table6[[#This Row],[male merged expected]]-1</f>
        <v>1.5820596341769022E-2</v>
      </c>
      <c r="AB23" s="2">
        <f>Table6[[#This Row],[maleDeclinedCount]]/Table6[[#This Row],[male declined expected]]-1</f>
        <v>-1.3416914577135675E-2</v>
      </c>
      <c r="AC23" s="2">
        <f>Table6[[#This Row],[femaleMergedCount]]/Table6[[#This Row],[female merged expected]]-1</f>
        <v>-0.1654307297803036</v>
      </c>
      <c r="AD23" s="2">
        <f>Table6[[#This Row],[femaleDeclinedCount]]/Table6[[#This Row],[female declined expected]]-1</f>
        <v>0.14029622663688723</v>
      </c>
      <c r="AF23">
        <f>IF(OR(Table6[[#This Row],[maleMergedCount]]&lt;5,Table6[[#This Row],[maleDeclinedCount]]&lt;5,Table6[[#This Row],[femaleMergedCount]]&lt;5,Table6[[#This Row],[femaleDeclinedCount]]&lt;5,W23&lt;$X$1),0,1)</f>
        <v>0</v>
      </c>
    </row>
    <row r="24" spans="1:34" x14ac:dyDescent="0.2">
      <c r="A24" t="s">
        <v>26</v>
      </c>
      <c r="B24" s="4">
        <v>1774</v>
      </c>
      <c r="C24" s="4">
        <v>497</v>
      </c>
      <c r="D24" s="22">
        <f>Table6[[#This Row],[mergedCount]]/Table6[[#This Row],[PRCount]]</f>
        <v>0.28015783540022549</v>
      </c>
      <c r="E24" s="4">
        <v>1277</v>
      </c>
      <c r="F24" s="4">
        <v>1226</v>
      </c>
      <c r="G24" s="4">
        <v>60</v>
      </c>
      <c r="H24" s="4">
        <v>488</v>
      </c>
      <c r="I24" s="2">
        <f>Table6[[#This Row],[malePullRequests]]/(Table6[[#This Row],[PRCount]]-Table6[[#This Row],[unknownPullRequests]])</f>
        <v>0.95334370139968894</v>
      </c>
      <c r="J24" s="2">
        <f>Table6[[#This Row],[femalePullRequests]]/(Table6[[#This Row],[PRCount]]-Table6[[#This Row],[unknownPullRequests]])</f>
        <v>4.6656298600311043E-2</v>
      </c>
      <c r="K24">
        <v>355</v>
      </c>
      <c r="L24">
        <v>871</v>
      </c>
      <c r="M24">
        <v>13</v>
      </c>
      <c r="N24">
        <v>47</v>
      </c>
      <c r="O24" s="5">
        <f>(Table6[[#This Row],[mergedCount]]/Table6[[#This Row],[PRCount]])*Table6[[#This Row],[malePullRequests]]</f>
        <v>343.47350620067647</v>
      </c>
      <c r="P24" s="5">
        <f>(Table6[[#This Row],[declinedCount]]/Table6[[#This Row],[PRCount]])*Table6[[#This Row],[malePullRequests]]</f>
        <v>882.52649379932359</v>
      </c>
      <c r="Q24" s="5">
        <f>(Table6[[#This Row],[mergedCount]]/Table6[[#This Row],[PRCount]])*Table6[[#This Row],[femalePullRequests]]</f>
        <v>16.809470124013529</v>
      </c>
      <c r="R24" s="5">
        <f>(Table6[[#This Row],[declinedCount]]/Table6[[#This Row],[PRCount]])*Table6[[#This Row],[femalePullRequests]]</f>
        <v>43.190529875986471</v>
      </c>
      <c r="S24">
        <f>(Table6[[#This Row],[maleMergedCount]]-Table6[[#This Row],[male merged expected]])^2/IF(Table6[[#This Row],[male merged expected]]&gt;0,Table6[[#This Row],[male merged expected]],1)</f>
        <v>0.38681312213996366</v>
      </c>
      <c r="T24">
        <f>(Table6[[#This Row],[maleDeclinedCount]]-Table6[[#This Row],[male declined expected]])^2/IF(Table6[[#This Row],[male declined expected]]&gt;0,Table6[[#This Row],[male declined expected]],1)</f>
        <v>0.15054512271226614</v>
      </c>
      <c r="U24">
        <f>(Table6[[#This Row],[femaleMergedCount]]-Table6[[#This Row],[female merged expected]])^2/IF(Table6[[#This Row],[female merged expected]]&gt;0,Table6[[#This Row],[female merged expected]],1)</f>
        <v>0.86332659617986029</v>
      </c>
      <c r="V24">
        <f>(Table6[[#This Row],[femaleDeclinedCount]]-Table6[[#This Row],[female declined expected]])^2/IF(Table6[[#This Row],[female declined expected]]&gt;0,Table6[[#This Row],[female declined expected]],1)</f>
        <v>0.33600103234251416</v>
      </c>
      <c r="W24">
        <f t="shared" si="0"/>
        <v>1.7366858733746044</v>
      </c>
      <c r="Y24" s="3">
        <f>IF(PRODUCT(Table6[[#This Row],[maleMergedCount]:[female declined expected]])&gt;0,_xlfn.CHISQ.TEST(Table6[[#This Row],[maleMergedCount]:[femaleDeclinedCount]],Table6[[#This Row],[male merged expected]:[female declined expected]]),"FALSE")</f>
        <v>0.62880872096787321</v>
      </c>
      <c r="AA24" s="2">
        <f>Table6[[#This Row],[maleMergedCount]]/Table6[[#This Row],[male merged expected]]-1</f>
        <v>3.3558611046376141E-2</v>
      </c>
      <c r="AB24" s="2">
        <f>Table6[[#This Row],[maleDeclinedCount]]/Table6[[#This Row],[male declined expected]]-1</f>
        <v>-1.3060790673491751E-2</v>
      </c>
      <c r="AC24" s="2">
        <f>Table6[[#This Row],[femaleMergedCount]]/Table6[[#This Row],[female merged expected]]-1</f>
        <v>-0.22662642521797449</v>
      </c>
      <c r="AD24" s="2">
        <f>Table6[[#This Row],[femaleDeclinedCount]]/Table6[[#This Row],[female declined expected]]-1</f>
        <v>8.8201513965022293E-2</v>
      </c>
      <c r="AF24">
        <f>IF(OR(Table6[[#This Row],[maleMergedCount]]&lt;5,Table6[[#This Row],[maleDeclinedCount]]&lt;5,Table6[[#This Row],[femaleMergedCount]]&lt;5,Table6[[#This Row],[femaleDeclinedCount]]&lt;5,W24&lt;$X$1),0,1)</f>
        <v>0</v>
      </c>
    </row>
    <row r="25" spans="1:34" x14ac:dyDescent="0.2">
      <c r="A25" t="s">
        <v>27</v>
      </c>
      <c r="B25" s="4">
        <v>2367</v>
      </c>
      <c r="C25" s="4">
        <v>1526</v>
      </c>
      <c r="D25" s="22">
        <f>Table6[[#This Row],[mergedCount]]/Table6[[#This Row],[PRCount]]</f>
        <v>0.64469792986903252</v>
      </c>
      <c r="E25" s="4">
        <v>841</v>
      </c>
      <c r="F25" s="4">
        <v>1062</v>
      </c>
      <c r="G25" s="4">
        <v>180</v>
      </c>
      <c r="H25" s="4">
        <v>1125</v>
      </c>
      <c r="I25" s="2">
        <f>Table6[[#This Row],[malePullRequests]]/(Table6[[#This Row],[PRCount]]-Table6[[#This Row],[unknownPullRequests]])</f>
        <v>0.85507246376811596</v>
      </c>
      <c r="J25" s="2">
        <f>Table6[[#This Row],[femalePullRequests]]/(Table6[[#This Row],[PRCount]]-Table6[[#This Row],[unknownPullRequests]])</f>
        <v>0.14492753623188406</v>
      </c>
      <c r="K25">
        <v>737</v>
      </c>
      <c r="L25">
        <v>325</v>
      </c>
      <c r="M25">
        <v>111</v>
      </c>
      <c r="N25">
        <v>69</v>
      </c>
      <c r="O25" s="5">
        <f>(Table6[[#This Row],[mergedCount]]/Table6[[#This Row],[PRCount]])*Table6[[#This Row],[malePullRequests]]</f>
        <v>684.66920152091257</v>
      </c>
      <c r="P25" s="5">
        <f>(Table6[[#This Row],[declinedCount]]/Table6[[#This Row],[PRCount]])*Table6[[#This Row],[malePullRequests]]</f>
        <v>377.33079847908749</v>
      </c>
      <c r="Q25" s="5">
        <f>(Table6[[#This Row],[mergedCount]]/Table6[[#This Row],[PRCount]])*Table6[[#This Row],[femalePullRequests]]</f>
        <v>116.04562737642586</v>
      </c>
      <c r="R25" s="5">
        <f>(Table6[[#This Row],[declinedCount]]/Table6[[#This Row],[PRCount]])*Table6[[#This Row],[femalePullRequests]]</f>
        <v>63.954372623574145</v>
      </c>
      <c r="S25">
        <f>(Table6[[#This Row],[maleMergedCount]]-Table6[[#This Row],[male merged expected]])^2/IF(Table6[[#This Row],[male merged expected]]&gt;0,Table6[[#This Row],[male merged expected]],1)</f>
        <v>3.9997599766070602</v>
      </c>
      <c r="T25">
        <f>(Table6[[#This Row],[maleDeclinedCount]]-Table6[[#This Row],[male declined expected]])^2/IF(Table6[[#This Row],[male declined expected]]&gt;0,Table6[[#This Row],[male declined expected]],1)</f>
        <v>7.2575906353179391</v>
      </c>
      <c r="U25">
        <f>(Table6[[#This Row],[femaleMergedCount]]-Table6[[#This Row],[female merged expected]])^2/IF(Table6[[#This Row],[female merged expected]]&gt;0,Table6[[#This Row],[female merged expected]],1)</f>
        <v>0.21938229123581618</v>
      </c>
      <c r="V25">
        <f>(Table6[[#This Row],[femaleDeclinedCount]]-Table6[[#This Row],[female declined expected]])^2/IF(Table6[[#This Row],[female declined expected]]&gt;0,Table6[[#This Row],[female declined expected]],1)</f>
        <v>0.39807060217105289</v>
      </c>
      <c r="W25">
        <f t="shared" si="0"/>
        <v>11.874803505331867</v>
      </c>
      <c r="Y25" s="3">
        <f>IF(PRODUCT(Table6[[#This Row],[maleMergedCount]:[female declined expected]])&gt;0,_xlfn.CHISQ.TEST(Table6[[#This Row],[maleMergedCount]:[femaleDeclinedCount]],Table6[[#This Row],[male merged expected]:[female declined expected]]),"FALSE")</f>
        <v>7.8245701463780081E-3</v>
      </c>
      <c r="AA25" s="2">
        <f>Table6[[#This Row],[maleMergedCount]]/Table6[[#This Row],[male merged expected]]-1</f>
        <v>7.6432236710576085E-2</v>
      </c>
      <c r="AB25" s="2">
        <f>Table6[[#This Row],[maleDeclinedCount]]/Table6[[#This Row],[male declined expected]]-1</f>
        <v>-0.13868679336544476</v>
      </c>
      <c r="AC25" s="2">
        <f>Table6[[#This Row],[femaleMergedCount]]/Table6[[#This Row],[female merged expected]]-1</f>
        <v>-4.347968545216252E-2</v>
      </c>
      <c r="AD25" s="2">
        <f>Table6[[#This Row],[femaleDeclinedCount]]/Table6[[#This Row],[female declined expected]]-1</f>
        <v>7.8894173602853668E-2</v>
      </c>
      <c r="AF25">
        <f>IF(OR(Table6[[#This Row],[maleMergedCount]]&lt;5,Table6[[#This Row],[maleDeclinedCount]]&lt;5,Table6[[#This Row],[femaleMergedCount]]&lt;5,Table6[[#This Row],[femaleDeclinedCount]]&lt;5,W25&lt;$X$1),0,1)</f>
        <v>1</v>
      </c>
      <c r="AH25">
        <v>-8.1866300000000003E-2</v>
      </c>
    </row>
    <row r="26" spans="1:34" ht="17" thickBot="1" x14ac:dyDescent="0.25">
      <c r="A26" t="s">
        <v>28</v>
      </c>
      <c r="B26" s="4">
        <v>1602</v>
      </c>
      <c r="C26" s="4">
        <v>1026</v>
      </c>
      <c r="D26" s="22">
        <f>Table6[[#This Row],[mergedCount]]/Table6[[#This Row],[PRCount]]</f>
        <v>0.6404494382022472</v>
      </c>
      <c r="E26" s="4">
        <v>576</v>
      </c>
      <c r="F26" s="4">
        <v>1078</v>
      </c>
      <c r="G26" s="4">
        <v>99</v>
      </c>
      <c r="H26" s="4">
        <v>425</v>
      </c>
      <c r="I26" s="2">
        <f>Table6[[#This Row],[malePullRequests]]/(Table6[[#This Row],[PRCount]]-Table6[[#This Row],[unknownPullRequests]])</f>
        <v>0.91588785046728971</v>
      </c>
      <c r="J26" s="2">
        <f>Table6[[#This Row],[femalePullRequests]]/(Table6[[#This Row],[PRCount]]-Table6[[#This Row],[unknownPullRequests]])</f>
        <v>8.4112149532710276E-2</v>
      </c>
      <c r="K26">
        <v>717</v>
      </c>
      <c r="L26">
        <v>361</v>
      </c>
      <c r="M26">
        <v>67</v>
      </c>
      <c r="N26">
        <v>32</v>
      </c>
      <c r="O26" s="8">
        <f>(Table6[[#This Row],[mergedCount]]/Table6[[#This Row],[PRCount]])*Table6[[#This Row],[malePullRequests]]</f>
        <v>690.40449438202245</v>
      </c>
      <c r="P26" s="8">
        <f>(Table6[[#This Row],[declinedCount]]/Table6[[#This Row],[PRCount]])*Table6[[#This Row],[malePullRequests]]</f>
        <v>387.59550561797749</v>
      </c>
      <c r="Q26" s="8">
        <f>(Table6[[#This Row],[mergedCount]]/Table6[[#This Row],[PRCount]])*Table6[[#This Row],[femalePullRequests]]</f>
        <v>63.40449438202247</v>
      </c>
      <c r="R26" s="8">
        <f>(Table6[[#This Row],[declinedCount]]/Table6[[#This Row],[PRCount]])*Table6[[#This Row],[femalePullRequests]]</f>
        <v>35.59550561797753</v>
      </c>
      <c r="S26">
        <f>(Table6[[#This Row],[maleMergedCount]]-Table6[[#This Row],[male merged expected]])^2/IF(Table6[[#This Row],[male merged expected]]&gt;0,Table6[[#This Row],[male merged expected]],1)</f>
        <v>1.0245021937596088</v>
      </c>
      <c r="T26">
        <f>(Table6[[#This Row],[maleDeclinedCount]]-Table6[[#This Row],[male declined expected]])^2/IF(Table6[[#This Row],[male declined expected]]&gt;0,Table6[[#This Row],[male declined expected]],1)</f>
        <v>1.8248945326342954</v>
      </c>
      <c r="U26">
        <f>(Table6[[#This Row],[femaleMergedCount]]-Table6[[#This Row],[female merged expected]])^2/IF(Table6[[#This Row],[female merged expected]]&gt;0,Table6[[#This Row],[female merged expected]],1)</f>
        <v>0.20389186563048201</v>
      </c>
      <c r="V26">
        <f>(Table6[[#This Row],[femaleDeclinedCount]]-Table6[[#This Row],[female declined expected]])^2/IF(Table6[[#This Row],[female declined expected]]&gt;0,Table6[[#This Row],[female declined expected]],1)</f>
        <v>0.36318238565429606</v>
      </c>
      <c r="W26">
        <f t="shared" si="0"/>
        <v>3.4164709776786824</v>
      </c>
      <c r="Y26" s="3">
        <f>IF(PRODUCT(Table6[[#This Row],[maleMergedCount]:[female declined expected]])&gt;0,_xlfn.CHISQ.TEST(Table6[[#This Row],[maleMergedCount]:[femaleDeclinedCount]],Table6[[#This Row],[male merged expected]:[female declined expected]]),"FALSE")</f>
        <v>0.33175823192893006</v>
      </c>
      <c r="AA26" s="2">
        <f>Table6[[#This Row],[maleMergedCount]]/Table6[[#This Row],[male merged expected]]-1</f>
        <v>3.8521628747192782E-2</v>
      </c>
      <c r="AB26" s="2">
        <f>Table6[[#This Row],[maleDeclinedCount]]/Table6[[#This Row],[male declined expected]]-1</f>
        <v>-6.8616651205936852E-2</v>
      </c>
      <c r="AC26" s="2">
        <f>Table6[[#This Row],[femaleMergedCount]]/Table6[[#This Row],[female merged expected]]-1</f>
        <v>5.6707425128477817E-2</v>
      </c>
      <c r="AD26" s="2">
        <f>Table6[[#This Row],[femaleDeclinedCount]]/Table6[[#This Row],[female declined expected]]-1</f>
        <v>-0.10101010101010111</v>
      </c>
      <c r="AF26">
        <f>IF(OR(Table6[[#This Row],[maleMergedCount]]&lt;5,Table6[[#This Row],[maleDeclinedCount]]&lt;5,Table6[[#This Row],[femaleMergedCount]]&lt;5,Table6[[#This Row],[femaleDeclinedCount]]&lt;5,W26&lt;$X$1),0,1)</f>
        <v>0</v>
      </c>
    </row>
    <row r="27" spans="1:34" s="12" customFormat="1" ht="17" thickBot="1" x14ac:dyDescent="0.25">
      <c r="A27" s="10" t="s">
        <v>29</v>
      </c>
      <c r="B27" s="11">
        <v>1738</v>
      </c>
      <c r="C27" s="11">
        <v>1323</v>
      </c>
      <c r="D27" s="23">
        <f>Table6[[#This Row],[mergedCount]]/Table6[[#This Row],[PRCount]]</f>
        <v>0.76121979286536245</v>
      </c>
      <c r="E27" s="11">
        <v>415</v>
      </c>
      <c r="F27" s="11">
        <v>867</v>
      </c>
      <c r="G27" s="11">
        <v>280</v>
      </c>
      <c r="H27" s="11">
        <v>591</v>
      </c>
      <c r="I27" s="2">
        <f>Table6[[#This Row],[malePullRequests]]/(Table6[[#This Row],[PRCount]]-Table6[[#This Row],[unknownPullRequests]])</f>
        <v>0.75588491717523976</v>
      </c>
      <c r="J27" s="2">
        <f>Table6[[#This Row],[femalePullRequests]]/(Table6[[#This Row],[PRCount]]-Table6[[#This Row],[unknownPullRequests]])</f>
        <v>0.24411508282476024</v>
      </c>
      <c r="K27" s="12">
        <v>640</v>
      </c>
      <c r="L27" s="12">
        <v>227</v>
      </c>
      <c r="M27" s="12">
        <v>256</v>
      </c>
      <c r="N27" s="12">
        <v>24</v>
      </c>
      <c r="O27" s="13">
        <f>(Table6[[#This Row],[mergedCount]]/Table6[[#This Row],[PRCount]])*Table6[[#This Row],[malePullRequests]]</f>
        <v>659.97756041426919</v>
      </c>
      <c r="P27" s="13">
        <f>(Table6[[#This Row],[declinedCount]]/Table6[[#This Row],[PRCount]])*Table6[[#This Row],[malePullRequests]]</f>
        <v>207.02243958573072</v>
      </c>
      <c r="Q27" s="13">
        <f>(Table6[[#This Row],[mergedCount]]/Table6[[#This Row],[PRCount]])*Table6[[#This Row],[femalePullRequests]]</f>
        <v>213.14154200230149</v>
      </c>
      <c r="R27" s="13">
        <f>(Table6[[#This Row],[declinedCount]]/Table6[[#This Row],[PRCount]])*Table6[[#This Row],[femalePullRequests]]</f>
        <v>66.858457997698508</v>
      </c>
      <c r="S27">
        <f>(Table6[[#This Row],[maleMergedCount]]-Table6[[#This Row],[male merged expected]])^2/IF(Table6[[#This Row],[male merged expected]]&gt;0,Table6[[#This Row],[male merged expected]],1)</f>
        <v>0.60472195426653264</v>
      </c>
      <c r="T27">
        <f>(Table6[[#This Row],[maleDeclinedCount]]-Table6[[#This Row],[male declined expected]])^2/IF(Table6[[#This Row],[male declined expected]]&gt;0,Table6[[#This Row],[male declined expected]],1)</f>
        <v>1.9278244469750105</v>
      </c>
      <c r="U27">
        <f>(Table6[[#This Row],[femaleMergedCount]]-Table6[[#This Row],[female merged expected]])^2/IF(Table6[[#This Row],[female merged expected]]&gt;0,Table6[[#This Row],[female merged expected]],1)</f>
        <v>8.6179700338315701</v>
      </c>
      <c r="V27">
        <f>(Table6[[#This Row],[femaleDeclinedCount]]-Table6[[#This Row],[female declined expected]])^2/IF(Table6[[#This Row],[female declined expected]]&gt;0,Table6[[#This Row],[female declined expected]],1)</f>
        <v>27.473673143997992</v>
      </c>
      <c r="W27" s="12">
        <f t="shared" si="0"/>
        <v>38.624189579071107</v>
      </c>
      <c r="Y27" s="3">
        <f>IF(PRODUCT(Table6[[#This Row],[maleMergedCount]:[female declined expected]])&gt;0,_xlfn.CHISQ.TEST(Table6[[#This Row],[maleMergedCount]:[femaleDeclinedCount]],Table6[[#This Row],[male merged expected]:[female declined expected]]),"FALSE")</f>
        <v>2.0848284464155437E-8</v>
      </c>
      <c r="AA27" s="15">
        <f>Table6[[#This Row],[maleMergedCount]]/Table6[[#This Row],[male merged expected]]-1</f>
        <v>-3.0270060093754103E-2</v>
      </c>
      <c r="AB27" s="15">
        <f>Table6[[#This Row],[maleDeclinedCount]]/Table6[[#This Row],[male declined expected]]-1</f>
        <v>9.6499492780811824E-2</v>
      </c>
      <c r="AC27" s="15">
        <f>Table6[[#This Row],[femaleMergedCount]]/Table6[[#This Row],[female merged expected]]-1</f>
        <v>0.20107979699816436</v>
      </c>
      <c r="AD27" s="15">
        <f>Table6[[#This Row],[femaleDeclinedCount]]/Table6[[#This Row],[female declined expected]]-1</f>
        <v>-0.64103270223752151</v>
      </c>
      <c r="AF27">
        <f>IF(OR(Table6[[#This Row],[maleMergedCount]]&lt;5,Table6[[#This Row],[maleDeclinedCount]]&lt;5,Table6[[#This Row],[femaleMergedCount]]&lt;5,Table6[[#This Row],[femaleDeclinedCount]]&lt;5,W27&lt;$X$1),0,1)</f>
        <v>1</v>
      </c>
      <c r="AH27" s="30">
        <v>0.1116818</v>
      </c>
    </row>
    <row r="28" spans="1:34" x14ac:dyDescent="0.2">
      <c r="A28" t="s">
        <v>30</v>
      </c>
      <c r="B28" s="4">
        <v>1843</v>
      </c>
      <c r="C28" s="4">
        <v>1483</v>
      </c>
      <c r="D28" s="22">
        <f>Table6[[#This Row],[mergedCount]]/Table6[[#This Row],[PRCount]]</f>
        <v>0.80466630493760172</v>
      </c>
      <c r="E28" s="4">
        <v>360</v>
      </c>
      <c r="F28" s="4">
        <v>1113</v>
      </c>
      <c r="G28" s="4">
        <v>32</v>
      </c>
      <c r="H28" s="4">
        <v>698</v>
      </c>
      <c r="I28" s="2">
        <f>Table6[[#This Row],[malePullRequests]]/(Table6[[#This Row],[PRCount]]-Table6[[#This Row],[unknownPullRequests]])</f>
        <v>0.97205240174672491</v>
      </c>
      <c r="J28" s="2">
        <f>Table6[[#This Row],[femalePullRequests]]/(Table6[[#This Row],[PRCount]]-Table6[[#This Row],[unknownPullRequests]])</f>
        <v>2.794759825327511E-2</v>
      </c>
      <c r="K28">
        <v>878</v>
      </c>
      <c r="L28">
        <v>235</v>
      </c>
      <c r="M28">
        <v>20</v>
      </c>
      <c r="N28">
        <v>12</v>
      </c>
      <c r="O28" s="9">
        <f>(Table6[[#This Row],[mergedCount]]/Table6[[#This Row],[PRCount]])*Table6[[#This Row],[malePullRequests]]</f>
        <v>895.59359739555066</v>
      </c>
      <c r="P28" s="9">
        <f>(Table6[[#This Row],[declinedCount]]/Table6[[#This Row],[PRCount]])*Table6[[#This Row],[malePullRequests]]</f>
        <v>217.40640260444926</v>
      </c>
      <c r="Q28" s="9">
        <f>(Table6[[#This Row],[mergedCount]]/Table6[[#This Row],[PRCount]])*Table6[[#This Row],[femalePullRequests]]</f>
        <v>25.749321758003255</v>
      </c>
      <c r="R28" s="9">
        <f>(Table6[[#This Row],[declinedCount]]/Table6[[#This Row],[PRCount]])*Table6[[#This Row],[femalePullRequests]]</f>
        <v>6.2506782419967442</v>
      </c>
      <c r="S28">
        <f>(Table6[[#This Row],[maleMergedCount]]-Table6[[#This Row],[male merged expected]])^2/IF(Table6[[#This Row],[male merged expected]]&gt;0,Table6[[#This Row],[male merged expected]],1)</f>
        <v>0.34561956474105621</v>
      </c>
      <c r="T28">
        <f>(Table6[[#This Row],[maleDeclinedCount]]-Table6[[#This Row],[male declined expected]])^2/IF(Table6[[#This Row],[male declined expected]]&gt;0,Table6[[#This Row],[male declined expected]],1)</f>
        <v>1.4237605958638648</v>
      </c>
      <c r="U28">
        <f>(Table6[[#This Row],[femaleMergedCount]]-Table6[[#This Row],[female merged expected]])^2/IF(Table6[[#This Row],[female merged expected]]&gt;0,Table6[[#This Row],[female merged expected]],1)</f>
        <v>1.283711508508987</v>
      </c>
      <c r="V28">
        <f>(Table6[[#This Row],[femaleDeclinedCount]]-Table6[[#This Row],[female declined expected]])^2/IF(Table6[[#This Row],[female declined expected]]&gt;0,Table6[[#This Row],[female declined expected]],1)</f>
        <v>5.2881782419967447</v>
      </c>
      <c r="W28">
        <f t="shared" si="0"/>
        <v>8.3412699111106523</v>
      </c>
      <c r="Y28" s="3">
        <f>IF(PRODUCT(Table6[[#This Row],[maleMergedCount]:[female declined expected]])&gt;0,_xlfn.CHISQ.TEST(Table6[[#This Row],[maleMergedCount]:[femaleDeclinedCount]],Table6[[#This Row],[male merged expected]:[female declined expected]]),"FALSE")</f>
        <v>3.9460895007673365E-2</v>
      </c>
      <c r="AA28" s="2">
        <f>Table6[[#This Row],[maleMergedCount]]/Table6[[#This Row],[male merged expected]]-1</f>
        <v>-1.9644621675181773E-2</v>
      </c>
      <c r="AB28" s="2">
        <f>Table6[[#This Row],[maleDeclinedCount]]/Table6[[#This Row],[male declined expected]]-1</f>
        <v>8.0924927623040821E-2</v>
      </c>
      <c r="AC28" s="2">
        <f>Table6[[#This Row],[femaleMergedCount]]/Table6[[#This Row],[female merged expected]]-1</f>
        <v>-0.22328051247471337</v>
      </c>
      <c r="AD28" s="2">
        <f>Table6[[#This Row],[femaleDeclinedCount]]/Table6[[#This Row],[female declined expected]]-1</f>
        <v>0.91979166666666679</v>
      </c>
      <c r="AF28">
        <f>IF(OR(Table6[[#This Row],[maleMergedCount]]&lt;5,Table6[[#This Row],[maleDeclinedCount]]&lt;5,Table6[[#This Row],[femaleMergedCount]]&lt;5,Table6[[#This Row],[femaleDeclinedCount]]&lt;5,W28&lt;$X$1),0,1)</f>
        <v>1</v>
      </c>
      <c r="AH28">
        <v>3.0786600000000001E-2</v>
      </c>
    </row>
    <row r="29" spans="1:34" x14ac:dyDescent="0.2">
      <c r="A29" t="s">
        <v>31</v>
      </c>
      <c r="B29" s="4">
        <v>1038</v>
      </c>
      <c r="C29" s="4">
        <v>422</v>
      </c>
      <c r="D29" s="22">
        <f>Table6[[#This Row],[mergedCount]]/Table6[[#This Row],[PRCount]]</f>
        <v>0.40655105973025046</v>
      </c>
      <c r="E29" s="4">
        <v>616</v>
      </c>
      <c r="F29" s="4">
        <v>895</v>
      </c>
      <c r="G29" s="4">
        <v>20</v>
      </c>
      <c r="H29" s="4">
        <v>123</v>
      </c>
      <c r="I29" s="2">
        <f>Table6[[#This Row],[malePullRequests]]/(Table6[[#This Row],[PRCount]]-Table6[[#This Row],[unknownPullRequests]])</f>
        <v>0.97814207650273222</v>
      </c>
      <c r="J29" s="2">
        <f>Table6[[#This Row],[femalePullRequests]]/(Table6[[#This Row],[PRCount]]-Table6[[#This Row],[unknownPullRequests]])</f>
        <v>2.185792349726776E-2</v>
      </c>
      <c r="K29">
        <v>394</v>
      </c>
      <c r="L29">
        <v>501</v>
      </c>
      <c r="M29">
        <v>6</v>
      </c>
      <c r="N29">
        <v>14</v>
      </c>
      <c r="O29" s="5">
        <f>(Table6[[#This Row],[mergedCount]]/Table6[[#This Row],[PRCount]])*Table6[[#This Row],[malePullRequests]]</f>
        <v>363.86319845857417</v>
      </c>
      <c r="P29" s="5">
        <f>(Table6[[#This Row],[declinedCount]]/Table6[[#This Row],[PRCount]])*Table6[[#This Row],[malePullRequests]]</f>
        <v>531.13680154142583</v>
      </c>
      <c r="Q29" s="5">
        <f>(Table6[[#This Row],[mergedCount]]/Table6[[#This Row],[PRCount]])*Table6[[#This Row],[femalePullRequests]]</f>
        <v>8.1310211946050099</v>
      </c>
      <c r="R29" s="5">
        <f>(Table6[[#This Row],[declinedCount]]/Table6[[#This Row],[PRCount]])*Table6[[#This Row],[femalePullRequests]]</f>
        <v>11.86897880539499</v>
      </c>
      <c r="S29">
        <f>(Table6[[#This Row],[maleMergedCount]]-Table6[[#This Row],[male merged expected]])^2/IF(Table6[[#This Row],[male merged expected]]&gt;0,Table6[[#This Row],[male merged expected]],1)</f>
        <v>2.4960666838382877</v>
      </c>
      <c r="T29">
        <f>(Table6[[#This Row],[maleDeclinedCount]]-Table6[[#This Row],[male declined expected]])^2/IF(Table6[[#This Row],[male declined expected]]&gt;0,Table6[[#This Row],[male declined expected]],1)</f>
        <v>1.7099677606814243</v>
      </c>
      <c r="U29">
        <f>(Table6[[#This Row],[femaleMergedCount]]-Table6[[#This Row],[female merged expected]])^2/IF(Table6[[#This Row],[female merged expected]]&gt;0,Table6[[#This Row],[female merged expected]],1)</f>
        <v>0.55850934626377746</v>
      </c>
      <c r="V29">
        <f>(Table6[[#This Row],[femaleDeclinedCount]]-Table6[[#This Row],[female declined expected]])^2/IF(Table6[[#This Row],[female declined expected]]&gt;0,Table6[[#This Row],[female declined expected]],1)</f>
        <v>0.38261516903135406</v>
      </c>
      <c r="W29">
        <f t="shared" si="0"/>
        <v>5.1471589598148437</v>
      </c>
      <c r="Y29" s="3">
        <f>IF(PRODUCT(Table6[[#This Row],[maleMergedCount]:[female declined expected]])&gt;0,_xlfn.CHISQ.TEST(Table6[[#This Row],[maleMergedCount]:[femaleDeclinedCount]],Table6[[#This Row],[male merged expected]:[female declined expected]]),"FALSE")</f>
        <v>0.16133319172450228</v>
      </c>
      <c r="AA29" s="2">
        <f>Table6[[#This Row],[maleMergedCount]]/Table6[[#This Row],[male merged expected]]-1</f>
        <v>8.282453864280237E-2</v>
      </c>
      <c r="AB29" s="2">
        <f>Table6[[#This Row],[maleDeclinedCount]]/Table6[[#This Row],[male declined expected]]-1</f>
        <v>-5.6740187187114599E-2</v>
      </c>
      <c r="AC29" s="2">
        <f>Table6[[#This Row],[femaleMergedCount]]/Table6[[#This Row],[female merged expected]]-1</f>
        <v>-0.26208530805687202</v>
      </c>
      <c r="AD29" s="2">
        <f>Table6[[#This Row],[femaleDeclinedCount]]/Table6[[#This Row],[female declined expected]]-1</f>
        <v>0.17954545454545467</v>
      </c>
      <c r="AF29">
        <f>IF(OR(Table6[[#This Row],[maleMergedCount]]&lt;5,Table6[[#This Row],[maleDeclinedCount]]&lt;5,Table6[[#This Row],[femaleMergedCount]]&lt;5,Table6[[#This Row],[femaleDeclinedCount]]&lt;5,W29&lt;$X$1),0,1)</f>
        <v>0</v>
      </c>
    </row>
    <row r="30" spans="1:34" ht="17" thickBot="1" x14ac:dyDescent="0.25">
      <c r="A30" t="s">
        <v>32</v>
      </c>
      <c r="B30" s="4">
        <v>1119</v>
      </c>
      <c r="C30" s="4">
        <v>809</v>
      </c>
      <c r="D30" s="22">
        <f>Table6[[#This Row],[mergedCount]]/Table6[[#This Row],[PRCount]]</f>
        <v>0.72296693476318141</v>
      </c>
      <c r="E30" s="4">
        <v>310</v>
      </c>
      <c r="F30" s="4">
        <v>840</v>
      </c>
      <c r="G30" s="4">
        <v>35</v>
      </c>
      <c r="H30" s="4">
        <v>244</v>
      </c>
      <c r="I30" s="2">
        <f>Table6[[#This Row],[malePullRequests]]/(Table6[[#This Row],[PRCount]]-Table6[[#This Row],[unknownPullRequests]])</f>
        <v>0.96</v>
      </c>
      <c r="J30" s="2">
        <f>Table6[[#This Row],[femalePullRequests]]/(Table6[[#This Row],[PRCount]]-Table6[[#This Row],[unknownPullRequests]])</f>
        <v>0.04</v>
      </c>
      <c r="K30">
        <v>629</v>
      </c>
      <c r="L30">
        <v>211</v>
      </c>
      <c r="M30">
        <v>26</v>
      </c>
      <c r="N30">
        <v>9</v>
      </c>
      <c r="O30" s="8">
        <f>(Table6[[#This Row],[mergedCount]]/Table6[[#This Row],[PRCount]])*Table6[[#This Row],[malePullRequests]]</f>
        <v>607.29222520107237</v>
      </c>
      <c r="P30" s="8">
        <f>(Table6[[#This Row],[declinedCount]]/Table6[[#This Row],[PRCount]])*Table6[[#This Row],[malePullRequests]]</f>
        <v>232.7077747989276</v>
      </c>
      <c r="Q30" s="8">
        <f>(Table6[[#This Row],[mergedCount]]/Table6[[#This Row],[PRCount]])*Table6[[#This Row],[femalePullRequests]]</f>
        <v>25.303842716711351</v>
      </c>
      <c r="R30" s="8">
        <f>(Table6[[#This Row],[declinedCount]]/Table6[[#This Row],[PRCount]])*Table6[[#This Row],[femalePullRequests]]</f>
        <v>9.6961572832886507</v>
      </c>
      <c r="S30">
        <f>(Table6[[#This Row],[maleMergedCount]]-Table6[[#This Row],[male merged expected]])^2/IF(Table6[[#This Row],[male merged expected]]&gt;0,Table6[[#This Row],[male merged expected]],1)</f>
        <v>0.77594849261397303</v>
      </c>
      <c r="T30">
        <f>(Table6[[#This Row],[maleDeclinedCount]]-Table6[[#This Row],[male declined expected]])^2/IF(Table6[[#This Row],[male declined expected]]&gt;0,Table6[[#This Row],[male declined expected]],1)</f>
        <v>2.0249752597571047</v>
      </c>
      <c r="U30">
        <f>(Table6[[#This Row],[femaleMergedCount]]-Table6[[#This Row],[female merged expected]])^2/IF(Table6[[#This Row],[female merged expected]]&gt;0,Table6[[#This Row],[female merged expected]],1)</f>
        <v>1.9152623121379345E-2</v>
      </c>
      <c r="V30">
        <f>(Table6[[#This Row],[femaleDeclinedCount]]-Table6[[#This Row],[female declined expected]])^2/IF(Table6[[#This Row],[female declined expected]]&gt;0,Table6[[#This Row],[female declined expected]],1)</f>
        <v>4.9982168081277326E-2</v>
      </c>
      <c r="W30">
        <f t="shared" si="0"/>
        <v>2.8700585435737342</v>
      </c>
      <c r="Y30" s="3">
        <f>IF(PRODUCT(Table6[[#This Row],[maleMergedCount]:[female declined expected]])&gt;0,_xlfn.CHISQ.TEST(Table6[[#This Row],[maleMergedCount]:[femaleDeclinedCount]],Table6[[#This Row],[male merged expected]:[female declined expected]]),"FALSE")</f>
        <v>0.41209650187703484</v>
      </c>
      <c r="AA30" s="2">
        <f>Table6[[#This Row],[maleMergedCount]]/Table6[[#This Row],[male merged expected]]-1</f>
        <v>3.5745188062864308E-2</v>
      </c>
      <c r="AB30" s="2">
        <f>Table6[[#This Row],[maleDeclinedCount]]/Table6[[#This Row],[male declined expected]]-1</f>
        <v>-9.3283410138248812E-2</v>
      </c>
      <c r="AC30" s="2">
        <f>Table6[[#This Row],[femaleMergedCount]]/Table6[[#This Row],[female merged expected]]-1</f>
        <v>2.7511919477308799E-2</v>
      </c>
      <c r="AD30" s="2">
        <f>Table6[[#This Row],[femaleDeclinedCount]]/Table6[[#This Row],[female declined expected]]-1</f>
        <v>-7.1797235023041472E-2</v>
      </c>
      <c r="AF30">
        <f>IF(OR(Table6[[#This Row],[maleMergedCount]]&lt;5,Table6[[#This Row],[maleDeclinedCount]]&lt;5,Table6[[#This Row],[femaleMergedCount]]&lt;5,Table6[[#This Row],[femaleDeclinedCount]]&lt;5,W30&lt;$X$1),0,1)</f>
        <v>0</v>
      </c>
    </row>
    <row r="31" spans="1:34" s="12" customFormat="1" ht="17" thickBot="1" x14ac:dyDescent="0.25">
      <c r="A31" s="10" t="s">
        <v>33</v>
      </c>
      <c r="B31" s="11">
        <v>1234</v>
      </c>
      <c r="C31" s="11">
        <v>467</v>
      </c>
      <c r="D31" s="23">
        <f>Table6[[#This Row],[mergedCount]]/Table6[[#This Row],[PRCount]]</f>
        <v>0.37844408427876824</v>
      </c>
      <c r="E31" s="11">
        <v>767</v>
      </c>
      <c r="F31" s="11">
        <v>817</v>
      </c>
      <c r="G31" s="11">
        <v>40</v>
      </c>
      <c r="H31" s="11">
        <v>377</v>
      </c>
      <c r="I31" s="2">
        <f>Table6[[#This Row],[malePullRequests]]/(Table6[[#This Row],[PRCount]]-Table6[[#This Row],[unknownPullRequests]])</f>
        <v>0.9533255542590432</v>
      </c>
      <c r="J31" s="2">
        <f>Table6[[#This Row],[femalePullRequests]]/(Table6[[#This Row],[PRCount]]-Table6[[#This Row],[unknownPullRequests]])</f>
        <v>4.6674445740956826E-2</v>
      </c>
      <c r="K31" s="12">
        <v>372</v>
      </c>
      <c r="L31" s="12">
        <v>445</v>
      </c>
      <c r="M31" s="12">
        <v>7</v>
      </c>
      <c r="N31" s="12">
        <v>33</v>
      </c>
      <c r="O31" s="13">
        <f>(Table6[[#This Row],[mergedCount]]/Table6[[#This Row],[PRCount]])*Table6[[#This Row],[malePullRequests]]</f>
        <v>309.18881685575366</v>
      </c>
      <c r="P31" s="13">
        <f>(Table6[[#This Row],[declinedCount]]/Table6[[#This Row],[PRCount]])*Table6[[#This Row],[malePullRequests]]</f>
        <v>507.8111831442464</v>
      </c>
      <c r="Q31" s="13">
        <f>(Table6[[#This Row],[mergedCount]]/Table6[[#This Row],[PRCount]])*Table6[[#This Row],[femalePullRequests]]</f>
        <v>15.137763371150729</v>
      </c>
      <c r="R31" s="13">
        <f>(Table6[[#This Row],[declinedCount]]/Table6[[#This Row],[PRCount]])*Table6[[#This Row],[femalePullRequests]]</f>
        <v>24.862236628849274</v>
      </c>
      <c r="S31">
        <f>(Table6[[#This Row],[maleMergedCount]]-Table6[[#This Row],[male merged expected]])^2/IF(Table6[[#This Row],[male merged expected]]&gt;0,Table6[[#This Row],[male merged expected]],1)</f>
        <v>12.759985202895088</v>
      </c>
      <c r="T31">
        <f>(Table6[[#This Row],[maleDeclinedCount]]-Table6[[#This Row],[male declined expected]])^2/IF(Table6[[#This Row],[male declined expected]]&gt;0,Table6[[#This Row],[male declined expected]],1)</f>
        <v>7.7691174573038024</v>
      </c>
      <c r="U31">
        <f>(Table6[[#This Row],[femaleMergedCount]]-Table6[[#This Row],[female merged expected]])^2/IF(Table6[[#This Row],[female merged expected]]&gt;0,Table6[[#This Row],[female merged expected]],1)</f>
        <v>4.3747012726496592</v>
      </c>
      <c r="V31">
        <f>(Table6[[#This Row],[femaleDeclinedCount]]-Table6[[#This Row],[female declined expected]])^2/IF(Table6[[#This Row],[female declined expected]]&gt;0,Table6[[#This Row],[female declined expected]],1)</f>
        <v>2.663605598862306</v>
      </c>
      <c r="W31" s="12">
        <f t="shared" si="0"/>
        <v>27.567409531710858</v>
      </c>
      <c r="Y31" s="3">
        <f>IF(PRODUCT(Table6[[#This Row],[maleMergedCount]:[female declined expected]])&gt;0,_xlfn.CHISQ.TEST(Table6[[#This Row],[maleMergedCount]:[femaleDeclinedCount]],Table6[[#This Row],[male merged expected]:[female declined expected]]),"FALSE")</f>
        <v>4.4763651743078254E-6</v>
      </c>
      <c r="AA31" s="15">
        <f>Table6[[#This Row],[maleMergedCount]]/Table6[[#This Row],[male merged expected]]-1</f>
        <v>0.2031483020084448</v>
      </c>
      <c r="AB31" s="15">
        <f>Table6[[#This Row],[maleDeclinedCount]]/Table6[[#This Row],[male declined expected]]-1</f>
        <v>-0.12369003525155642</v>
      </c>
      <c r="AC31" s="15">
        <f>Table6[[#This Row],[femaleMergedCount]]/Table6[[#This Row],[female merged expected]]-1</f>
        <v>-0.53758029978586719</v>
      </c>
      <c r="AD31" s="15">
        <f>Table6[[#This Row],[femaleDeclinedCount]]/Table6[[#This Row],[female declined expected]]-1</f>
        <v>0.32731421121251603</v>
      </c>
      <c r="AF31">
        <f>IF(OR(Table6[[#This Row],[maleMergedCount]]&lt;5,Table6[[#This Row],[maleDeclinedCount]]&lt;5,Table6[[#This Row],[femaleMergedCount]]&lt;5,Table6[[#This Row],[femaleDeclinedCount]]&lt;5,W31&lt;$X$1),0,1)</f>
        <v>1</v>
      </c>
      <c r="AH31" s="30">
        <v>-0.21715429999999999</v>
      </c>
    </row>
    <row r="32" spans="1:34" x14ac:dyDescent="0.2">
      <c r="A32" t="s">
        <v>34</v>
      </c>
      <c r="B32" s="4">
        <v>1277</v>
      </c>
      <c r="C32" s="4">
        <v>893</v>
      </c>
      <c r="D32" s="22">
        <f>Table6[[#This Row],[mergedCount]]/Table6[[#This Row],[PRCount]]</f>
        <v>0.69929522317932657</v>
      </c>
      <c r="E32" s="4">
        <v>384</v>
      </c>
      <c r="F32" s="4">
        <v>822</v>
      </c>
      <c r="G32" s="4">
        <v>33</v>
      </c>
      <c r="H32" s="4">
        <v>422</v>
      </c>
      <c r="I32" s="2">
        <f>Table6[[#This Row],[malePullRequests]]/(Table6[[#This Row],[PRCount]]-Table6[[#This Row],[unknownPullRequests]])</f>
        <v>0.96140350877192982</v>
      </c>
      <c r="J32" s="2">
        <f>Table6[[#This Row],[femalePullRequests]]/(Table6[[#This Row],[PRCount]]-Table6[[#This Row],[unknownPullRequests]])</f>
        <v>3.8596491228070177E-2</v>
      </c>
      <c r="K32">
        <v>591</v>
      </c>
      <c r="L32">
        <v>231</v>
      </c>
      <c r="M32">
        <v>25</v>
      </c>
      <c r="N32">
        <v>8</v>
      </c>
      <c r="O32" s="9">
        <f>(Table6[[#This Row],[mergedCount]]/Table6[[#This Row],[PRCount]])*Table6[[#This Row],[malePullRequests]]</f>
        <v>574.82067345340647</v>
      </c>
      <c r="P32" s="9">
        <f>(Table6[[#This Row],[declinedCount]]/Table6[[#This Row],[PRCount]])*Table6[[#This Row],[malePullRequests]]</f>
        <v>247.17932654659361</v>
      </c>
      <c r="Q32" s="9">
        <f>(Table6[[#This Row],[mergedCount]]/Table6[[#This Row],[PRCount]])*Table6[[#This Row],[femalePullRequests]]</f>
        <v>23.076742364917777</v>
      </c>
      <c r="R32" s="9">
        <f>(Table6[[#This Row],[declinedCount]]/Table6[[#This Row],[PRCount]])*Table6[[#This Row],[femalePullRequests]]</f>
        <v>9.9232576350822246</v>
      </c>
      <c r="S32">
        <f>(Table6[[#This Row],[maleMergedCount]]-Table6[[#This Row],[male merged expected]])^2/IF(Table6[[#This Row],[male merged expected]]&gt;0,Table6[[#This Row],[male merged expected]],1)</f>
        <v>0.45539525558230387</v>
      </c>
      <c r="T32">
        <f>(Table6[[#This Row],[maleDeclinedCount]]-Table6[[#This Row],[male declined expected]])^2/IF(Table6[[#This Row],[male declined expected]]&gt;0,Table6[[#This Row],[male declined expected]],1)</f>
        <v>1.0590311542578168</v>
      </c>
      <c r="U32">
        <f>(Table6[[#This Row],[femaleMergedCount]]-Table6[[#This Row],[female merged expected]])^2/IF(Table6[[#This Row],[female merged expected]]&gt;0,Table6[[#This Row],[female merged expected]],1)</f>
        <v>0.16028778552926587</v>
      </c>
      <c r="V32">
        <f>(Table6[[#This Row],[femaleDeclinedCount]]-Table6[[#This Row],[female declined expected]])^2/IF(Table6[[#This Row],[female declined expected]]&gt;0,Table6[[#This Row],[female declined expected]],1)</f>
        <v>0.3727525845771737</v>
      </c>
      <c r="W32">
        <f t="shared" si="0"/>
        <v>2.0474667799465602</v>
      </c>
      <c r="Y32" s="3">
        <f>IF(PRODUCT(Table6[[#This Row],[maleMergedCount]:[female declined expected]])&gt;0,_xlfn.CHISQ.TEST(Table6[[#This Row],[maleMergedCount]:[femaleDeclinedCount]],Table6[[#This Row],[male merged expected]:[female declined expected]]),"FALSE")</f>
        <v>0.56261347357937552</v>
      </c>
      <c r="AA32" s="2">
        <f>Table6[[#This Row],[maleMergedCount]]/Table6[[#This Row],[male merged expected]]-1</f>
        <v>2.8146737397928723E-2</v>
      </c>
      <c r="AB32" s="2">
        <f>Table6[[#This Row],[maleDeclinedCount]]/Table6[[#This Row],[male declined expected]]-1</f>
        <v>-6.5455824209245894E-2</v>
      </c>
      <c r="AC32" s="2">
        <f>Table6[[#This Row],[femaleMergedCount]]/Table6[[#This Row],[female merged expected]]-1</f>
        <v>8.3341816824459514E-2</v>
      </c>
      <c r="AD32" s="2">
        <f>Table6[[#This Row],[femaleDeclinedCount]]/Table6[[#This Row],[female declined expected]]-1</f>
        <v>-0.19381313131313138</v>
      </c>
      <c r="AF32">
        <f>IF(OR(Table6[[#This Row],[maleMergedCount]]&lt;5,Table6[[#This Row],[maleDeclinedCount]]&lt;5,Table6[[#This Row],[femaleMergedCount]]&lt;5,Table6[[#This Row],[femaleDeclinedCount]]&lt;5,W32&lt;$X$1),0,1)</f>
        <v>0</v>
      </c>
    </row>
    <row r="33" spans="1:32" x14ac:dyDescent="0.2">
      <c r="A33" t="s">
        <v>35</v>
      </c>
      <c r="B33" s="4">
        <v>1151</v>
      </c>
      <c r="C33" s="4">
        <v>887</v>
      </c>
      <c r="D33" s="22">
        <f>Table6[[#This Row],[mergedCount]]/Table6[[#This Row],[PRCount]]</f>
        <v>0.77063423110338836</v>
      </c>
      <c r="E33" s="4">
        <v>264</v>
      </c>
      <c r="F33" s="4">
        <v>720</v>
      </c>
      <c r="G33" s="4">
        <v>80</v>
      </c>
      <c r="H33" s="4">
        <v>351</v>
      </c>
      <c r="I33" s="2">
        <f>Table6[[#This Row],[malePullRequests]]/(Table6[[#This Row],[PRCount]]-Table6[[#This Row],[unknownPullRequests]])</f>
        <v>0.9</v>
      </c>
      <c r="J33" s="2">
        <f>Table6[[#This Row],[femalePullRequests]]/(Table6[[#This Row],[PRCount]]-Table6[[#This Row],[unknownPullRequests]])</f>
        <v>0.1</v>
      </c>
      <c r="K33">
        <v>579</v>
      </c>
      <c r="L33">
        <v>141</v>
      </c>
      <c r="M33">
        <v>67</v>
      </c>
      <c r="N33">
        <v>13</v>
      </c>
      <c r="O33" s="5">
        <f>(Table6[[#This Row],[mergedCount]]/Table6[[#This Row],[PRCount]])*Table6[[#This Row],[malePullRequests]]</f>
        <v>554.85664639443962</v>
      </c>
      <c r="P33" s="5">
        <f>(Table6[[#This Row],[declinedCount]]/Table6[[#This Row],[PRCount]])*Table6[[#This Row],[malePullRequests]]</f>
        <v>165.14335360556038</v>
      </c>
      <c r="Q33" s="5">
        <f>(Table6[[#This Row],[mergedCount]]/Table6[[#This Row],[PRCount]])*Table6[[#This Row],[femalePullRequests]]</f>
        <v>61.650738488271067</v>
      </c>
      <c r="R33" s="5">
        <f>(Table6[[#This Row],[declinedCount]]/Table6[[#This Row],[PRCount]])*Table6[[#This Row],[femalePullRequests]]</f>
        <v>18.349261511728933</v>
      </c>
      <c r="S33">
        <f>(Table6[[#This Row],[maleMergedCount]]-Table6[[#This Row],[male merged expected]])^2/IF(Table6[[#This Row],[male merged expected]]&gt;0,Table6[[#This Row],[male merged expected]],1)</f>
        <v>1.0505443651273287</v>
      </c>
      <c r="T33">
        <f>(Table6[[#This Row],[maleDeclinedCount]]-Table6[[#This Row],[male declined expected]])^2/IF(Table6[[#This Row],[male declined expected]]&gt;0,Table6[[#This Row],[male declined expected]],1)</f>
        <v>3.529669893439169</v>
      </c>
      <c r="U33">
        <f>(Table6[[#This Row],[femaleMergedCount]]-Table6[[#This Row],[female merged expected]])^2/IF(Table6[[#This Row],[female merged expected]]&gt;0,Table6[[#This Row],[female merged expected]],1)</f>
        <v>0.46414040484378605</v>
      </c>
      <c r="V33">
        <f>(Table6[[#This Row],[femaleDeclinedCount]]-Table6[[#This Row],[female declined expected]])^2/IF(Table6[[#This Row],[female declined expected]]&gt;0,Table6[[#This Row],[female declined expected]],1)</f>
        <v>1.5594414359713566</v>
      </c>
      <c r="W33">
        <f t="shared" si="0"/>
        <v>6.6037960993816398</v>
      </c>
      <c r="Y33" s="3">
        <f>IF(PRODUCT(Table6[[#This Row],[maleMergedCount]:[female declined expected]])&gt;0,_xlfn.CHISQ.TEST(Table6[[#This Row],[maleMergedCount]:[femaleDeclinedCount]],Table6[[#This Row],[male merged expected]:[female declined expected]]),"FALSE")</f>
        <v>8.5657704241396446E-2</v>
      </c>
      <c r="AA33" s="2">
        <f>Table6[[#This Row],[maleMergedCount]]/Table6[[#This Row],[male merged expected]]-1</f>
        <v>4.3512777151446747E-2</v>
      </c>
      <c r="AB33" s="2">
        <f>Table6[[#This Row],[maleDeclinedCount]]/Table6[[#This Row],[male declined expected]]-1</f>
        <v>-0.14619633838383839</v>
      </c>
      <c r="AC33" s="2">
        <f>Table6[[#This Row],[femaleMergedCount]]/Table6[[#This Row],[female merged expected]]-1</f>
        <v>8.676719278466738E-2</v>
      </c>
      <c r="AD33" s="2">
        <f>Table6[[#This Row],[femaleDeclinedCount]]/Table6[[#This Row],[female declined expected]]-1</f>
        <v>-0.2915246212121213</v>
      </c>
      <c r="AF33">
        <f>IF(OR(Table6[[#This Row],[maleMergedCount]]&lt;5,Table6[[#This Row],[maleDeclinedCount]]&lt;5,Table6[[#This Row],[femaleMergedCount]]&lt;5,Table6[[#This Row],[femaleDeclinedCount]]&lt;5,W33&lt;$X$1),0,1)</f>
        <v>0</v>
      </c>
    </row>
    <row r="34" spans="1:32" x14ac:dyDescent="0.2">
      <c r="A34" t="s">
        <v>36</v>
      </c>
      <c r="B34" s="4">
        <v>1342</v>
      </c>
      <c r="C34" s="4">
        <v>710</v>
      </c>
      <c r="D34" s="22">
        <f>Table6[[#This Row],[mergedCount]]/Table6[[#This Row],[PRCount]]</f>
        <v>0.52906110283159469</v>
      </c>
      <c r="E34" s="4">
        <v>632</v>
      </c>
      <c r="F34" s="4">
        <v>766</v>
      </c>
      <c r="G34" s="4">
        <v>9</v>
      </c>
      <c r="H34" s="4">
        <v>567</v>
      </c>
      <c r="I34" s="2">
        <f>Table6[[#This Row],[malePullRequests]]/(Table6[[#This Row],[PRCount]]-Table6[[#This Row],[unknownPullRequests]])</f>
        <v>0.98838709677419356</v>
      </c>
      <c r="J34" s="2">
        <f>Table6[[#This Row],[femalePullRequests]]/(Table6[[#This Row],[PRCount]]-Table6[[#This Row],[unknownPullRequests]])</f>
        <v>1.1612903225806452E-2</v>
      </c>
      <c r="K34">
        <v>418</v>
      </c>
      <c r="L34">
        <v>348</v>
      </c>
      <c r="M34">
        <v>0</v>
      </c>
      <c r="N34">
        <v>9</v>
      </c>
      <c r="O34" s="5">
        <f>(Table6[[#This Row],[mergedCount]]/Table6[[#This Row],[PRCount]])*Table6[[#This Row],[malePullRequests]]</f>
        <v>405.26080476900154</v>
      </c>
      <c r="P34" s="5">
        <f>(Table6[[#This Row],[declinedCount]]/Table6[[#This Row],[PRCount]])*Table6[[#This Row],[malePullRequests]]</f>
        <v>360.73919523099852</v>
      </c>
      <c r="Q34" s="5">
        <f>(Table6[[#This Row],[mergedCount]]/Table6[[#This Row],[PRCount]])*Table6[[#This Row],[femalePullRequests]]</f>
        <v>4.7615499254843519</v>
      </c>
      <c r="R34" s="5">
        <f>(Table6[[#This Row],[declinedCount]]/Table6[[#This Row],[PRCount]])*Table6[[#This Row],[femalePullRequests]]</f>
        <v>4.2384500745156481</v>
      </c>
      <c r="S34">
        <f>(Table6[[#This Row],[maleMergedCount]]-Table6[[#This Row],[male merged expected]])^2/IF(Table6[[#This Row],[male merged expected]]&gt;0,Table6[[#This Row],[male merged expected]],1)</f>
        <v>0.40045100148778889</v>
      </c>
      <c r="T34">
        <f>(Table6[[#This Row],[maleDeclinedCount]]-Table6[[#This Row],[male declined expected]])^2/IF(Table6[[#This Row],[male declined expected]]&gt;0,Table6[[#This Row],[male declined expected]],1)</f>
        <v>0.44987375167141241</v>
      </c>
      <c r="U34">
        <f>(Table6[[#This Row],[femaleMergedCount]]-Table6[[#This Row],[female merged expected]])^2/IF(Table6[[#This Row],[female merged expected]]&gt;0,Table6[[#This Row],[female merged expected]],1)</f>
        <v>4.7615499254843519</v>
      </c>
      <c r="V34">
        <f>(Table6[[#This Row],[femaleDeclinedCount]]-Table6[[#This Row],[female declined expected]])^2/IF(Table6[[#This Row],[female declined expected]]&gt;0,Table6[[#This Row],[female declined expected]],1)</f>
        <v>5.3492095681865353</v>
      </c>
      <c r="W34">
        <f t="shared" si="0"/>
        <v>10.961084246830088</v>
      </c>
      <c r="Y34" s="3" t="str">
        <f>IF(PRODUCT(Table6[[#This Row],[maleMergedCount]:[female declined expected]])&gt;0,_xlfn.CHISQ.TEST(Table6[[#This Row],[maleMergedCount]:[femaleDeclinedCount]],Table6[[#This Row],[male merged expected]:[female declined expected]]),"FALSE")</f>
        <v>FALSE</v>
      </c>
      <c r="AA34" s="2">
        <f>Table6[[#This Row],[maleMergedCount]]/Table6[[#This Row],[male merged expected]]-1</f>
        <v>3.1434560364799635E-2</v>
      </c>
      <c r="AB34" s="2">
        <f>Table6[[#This Row],[maleDeclinedCount]]/Table6[[#This Row],[male declined expected]]-1</f>
        <v>-3.5314142181974484E-2</v>
      </c>
      <c r="AC34" s="2">
        <f>Table6[[#This Row],[femaleMergedCount]]/Table6[[#This Row],[female merged expected]]-1</f>
        <v>-1</v>
      </c>
      <c r="AD34" s="2">
        <f>Table6[[#This Row],[femaleDeclinedCount]]/Table6[[#This Row],[female declined expected]]-1</f>
        <v>1.1234177215189876</v>
      </c>
      <c r="AF34">
        <f>IF(OR(Table6[[#This Row],[maleMergedCount]]&lt;5,Table6[[#This Row],[maleDeclinedCount]]&lt;5,Table6[[#This Row],[femaleMergedCount]]&lt;5,Table6[[#This Row],[femaleDeclinedCount]]&lt;5,W34&lt;$X$1),0,1)</f>
        <v>0</v>
      </c>
    </row>
    <row r="35" spans="1:32" x14ac:dyDescent="0.2">
      <c r="A35" t="s">
        <v>37</v>
      </c>
      <c r="B35" s="4">
        <v>1039</v>
      </c>
      <c r="C35" s="4">
        <v>376</v>
      </c>
      <c r="D35" s="22">
        <f>Table6[[#This Row],[mergedCount]]/Table6[[#This Row],[PRCount]]</f>
        <v>0.3618864292589028</v>
      </c>
      <c r="E35" s="4">
        <v>663</v>
      </c>
      <c r="F35" s="4">
        <v>672</v>
      </c>
      <c r="G35" s="4">
        <v>66</v>
      </c>
      <c r="H35" s="4">
        <v>301</v>
      </c>
      <c r="I35" s="2">
        <f>Table6[[#This Row],[malePullRequests]]/(Table6[[#This Row],[PRCount]]-Table6[[#This Row],[unknownPullRequests]])</f>
        <v>0.91056910569105687</v>
      </c>
      <c r="J35" s="2">
        <f>Table6[[#This Row],[femalePullRequests]]/(Table6[[#This Row],[PRCount]]-Table6[[#This Row],[unknownPullRequests]])</f>
        <v>8.943089430894309E-2</v>
      </c>
      <c r="K35">
        <v>270</v>
      </c>
      <c r="L35">
        <v>402</v>
      </c>
      <c r="M35">
        <v>30</v>
      </c>
      <c r="N35">
        <v>36</v>
      </c>
      <c r="O35" s="5">
        <f>(Table6[[#This Row],[mergedCount]]/Table6[[#This Row],[PRCount]])*Table6[[#This Row],[malePullRequests]]</f>
        <v>243.18768046198267</v>
      </c>
      <c r="P35" s="5">
        <f>(Table6[[#This Row],[declinedCount]]/Table6[[#This Row],[PRCount]])*Table6[[#This Row],[malePullRequests]]</f>
        <v>428.81231953801733</v>
      </c>
      <c r="Q35" s="5">
        <f>(Table6[[#This Row],[mergedCount]]/Table6[[#This Row],[PRCount]])*Table6[[#This Row],[femalePullRequests]]</f>
        <v>23.884504331087584</v>
      </c>
      <c r="R35" s="5">
        <f>(Table6[[#This Row],[declinedCount]]/Table6[[#This Row],[PRCount]])*Table6[[#This Row],[femalePullRequests]]</f>
        <v>42.115495668912416</v>
      </c>
      <c r="S35">
        <f>(Table6[[#This Row],[maleMergedCount]]-Table6[[#This Row],[male merged expected]])^2/IF(Table6[[#This Row],[male merged expected]]&gt;0,Table6[[#This Row],[male merged expected]],1)</f>
        <v>2.9561550060556261</v>
      </c>
      <c r="T35">
        <f>(Table6[[#This Row],[maleDeclinedCount]]-Table6[[#This Row],[male declined expected]])^2/IF(Table6[[#This Row],[male declined expected]]&gt;0,Table6[[#This Row],[male declined expected]],1)</f>
        <v>1.676492130131094</v>
      </c>
      <c r="U35">
        <f>(Table6[[#This Row],[femaleMergedCount]]-Table6[[#This Row],[female merged expected]])^2/IF(Table6[[#This Row],[female merged expected]]&gt;0,Table6[[#This Row],[female merged expected]],1)</f>
        <v>1.5658389539115689</v>
      </c>
      <c r="V35">
        <f>(Table6[[#This Row],[femaleDeclinedCount]]-Table6[[#This Row],[female declined expected]])^2/IF(Table6[[#This Row],[female declined expected]]&gt;0,Table6[[#This Row],[female declined expected]],1)</f>
        <v>0.8880172649634237</v>
      </c>
      <c r="W35">
        <f t="shared" si="0"/>
        <v>7.086503355061712</v>
      </c>
      <c r="Y35" s="3">
        <f>IF(PRODUCT(Table6[[#This Row],[maleMergedCount]:[female declined expected]])&gt;0,_xlfn.CHISQ.TEST(Table6[[#This Row],[maleMergedCount]:[femaleDeclinedCount]],Table6[[#This Row],[male merged expected]:[female declined expected]]),"FALSE")</f>
        <v>6.9191132415451093E-2</v>
      </c>
      <c r="AA35" s="2">
        <f>Table6[[#This Row],[maleMergedCount]]/Table6[[#This Row],[male merged expected]]-1</f>
        <v>0.1102536094224924</v>
      </c>
      <c r="AB35" s="2">
        <f>Table6[[#This Row],[maleDeclinedCount]]/Table6[[#This Row],[male declined expected]]-1</f>
        <v>-6.2526933850463262E-2</v>
      </c>
      <c r="AC35" s="2">
        <f>Table6[[#This Row],[femaleMergedCount]]/Table6[[#This Row],[female merged expected]]-1</f>
        <v>0.25604448742746611</v>
      </c>
      <c r="AD35" s="2">
        <f>Table6[[#This Row],[femaleDeclinedCount]]/Table6[[#This Row],[female declined expected]]-1</f>
        <v>-0.14520773344302762</v>
      </c>
      <c r="AF35">
        <f>IF(OR(Table6[[#This Row],[maleMergedCount]]&lt;5,Table6[[#This Row],[maleDeclinedCount]]&lt;5,Table6[[#This Row],[femaleMergedCount]]&lt;5,Table6[[#This Row],[femaleDeclinedCount]]&lt;5,W35&lt;$X$1),0,1)</f>
        <v>0</v>
      </c>
    </row>
    <row r="36" spans="1:32" x14ac:dyDescent="0.2">
      <c r="A36" t="s">
        <v>38</v>
      </c>
      <c r="B36" s="4">
        <v>800</v>
      </c>
      <c r="C36" s="4">
        <v>411</v>
      </c>
      <c r="D36" s="22">
        <f>Table6[[#This Row],[mergedCount]]/Table6[[#This Row],[PRCount]]</f>
        <v>0.51375000000000004</v>
      </c>
      <c r="E36" s="4">
        <v>389</v>
      </c>
      <c r="F36" s="4">
        <v>636</v>
      </c>
      <c r="G36" s="4">
        <v>17</v>
      </c>
      <c r="H36" s="4">
        <v>147</v>
      </c>
      <c r="I36" s="2">
        <f>Table6[[#This Row],[malePullRequests]]/(Table6[[#This Row],[PRCount]]-Table6[[#This Row],[unknownPullRequests]])</f>
        <v>0.97396630934150075</v>
      </c>
      <c r="J36" s="2">
        <f>Table6[[#This Row],[femalePullRequests]]/(Table6[[#This Row],[PRCount]]-Table6[[#This Row],[unknownPullRequests]])</f>
        <v>2.6033690658499236E-2</v>
      </c>
      <c r="K36">
        <v>334</v>
      </c>
      <c r="L36">
        <v>302</v>
      </c>
      <c r="M36">
        <v>8</v>
      </c>
      <c r="N36">
        <v>9</v>
      </c>
      <c r="O36" s="5">
        <f>(Table6[[#This Row],[mergedCount]]/Table6[[#This Row],[PRCount]])*Table6[[#This Row],[malePullRequests]]</f>
        <v>326.745</v>
      </c>
      <c r="P36" s="5">
        <f>(Table6[[#This Row],[declinedCount]]/Table6[[#This Row],[PRCount]])*Table6[[#This Row],[malePullRequests]]</f>
        <v>309.255</v>
      </c>
      <c r="Q36" s="5">
        <f>(Table6[[#This Row],[mergedCount]]/Table6[[#This Row],[PRCount]])*Table6[[#This Row],[femalePullRequests]]</f>
        <v>8.7337500000000006</v>
      </c>
      <c r="R36" s="5">
        <f>(Table6[[#This Row],[declinedCount]]/Table6[[#This Row],[PRCount]])*Table6[[#This Row],[femalePullRequests]]</f>
        <v>8.2662499999999994</v>
      </c>
      <c r="S36">
        <f>(Table6[[#This Row],[maleMergedCount]]-Table6[[#This Row],[male merged expected]])^2/IF(Table6[[#This Row],[male merged expected]]&gt;0,Table6[[#This Row],[male merged expected]],1)</f>
        <v>0.16108899906655016</v>
      </c>
      <c r="T36">
        <f>(Table6[[#This Row],[maleDeclinedCount]]-Table6[[#This Row],[male declined expected]])^2/IF(Table6[[#This Row],[male declined expected]]&gt;0,Table6[[#This Row],[male declined expected]],1)</f>
        <v>0.17019943089036535</v>
      </c>
      <c r="U36">
        <f>(Table6[[#This Row],[femaleMergedCount]]-Table6[[#This Row],[female merged expected]])^2/IF(Table6[[#This Row],[female merged expected]]&gt;0,Table6[[#This Row],[female merged expected]],1)</f>
        <v>6.1644661514240827E-2</v>
      </c>
      <c r="V36">
        <f>(Table6[[#This Row],[femaleDeclinedCount]]-Table6[[#This Row],[female declined expected]])^2/IF(Table6[[#This Row],[female declined expected]]&gt;0,Table6[[#This Row],[female declined expected]],1)</f>
        <v>6.513099198548325E-2</v>
      </c>
      <c r="W36">
        <f t="shared" si="0"/>
        <v>0.45806408345663963</v>
      </c>
      <c r="Y36" s="3">
        <f>IF(PRODUCT(Table6[[#This Row],[maleMergedCount]:[female declined expected]])&gt;0,_xlfn.CHISQ.TEST(Table6[[#This Row],[maleMergedCount]:[femaleDeclinedCount]],Table6[[#This Row],[male merged expected]:[female declined expected]]),"FALSE")</f>
        <v>0.92800308301699397</v>
      </c>
      <c r="AA36" s="2">
        <f>Table6[[#This Row],[maleMergedCount]]/Table6[[#This Row],[male merged expected]]-1</f>
        <v>2.2203859278642435E-2</v>
      </c>
      <c r="AB36" s="2">
        <f>Table6[[#This Row],[maleDeclinedCount]]/Table6[[#This Row],[male declined expected]]-1</f>
        <v>-2.345960453347562E-2</v>
      </c>
      <c r="AC36" s="2">
        <f>Table6[[#This Row],[femaleMergedCount]]/Table6[[#This Row],[female merged expected]]-1</f>
        <v>-8.4013167310719949E-2</v>
      </c>
      <c r="AD36" s="2">
        <f>Table6[[#This Row],[femaleDeclinedCount]]/Table6[[#This Row],[female declined expected]]-1</f>
        <v>8.876455466505373E-2</v>
      </c>
      <c r="AF36">
        <f>IF(OR(Table6[[#This Row],[maleMergedCount]]&lt;5,Table6[[#This Row],[maleDeclinedCount]]&lt;5,Table6[[#This Row],[femaleMergedCount]]&lt;5,Table6[[#This Row],[femaleDeclinedCount]]&lt;5,W36&lt;$X$1),0,1)</f>
        <v>0</v>
      </c>
    </row>
    <row r="37" spans="1:32" x14ac:dyDescent="0.2">
      <c r="A37" t="s">
        <v>39</v>
      </c>
      <c r="B37" s="4">
        <v>773</v>
      </c>
      <c r="C37" s="4">
        <v>605</v>
      </c>
      <c r="D37" s="22">
        <f>Table6[[#This Row],[mergedCount]]/Table6[[#This Row],[PRCount]]</f>
        <v>0.78266494178525226</v>
      </c>
      <c r="E37" s="4">
        <v>168</v>
      </c>
      <c r="F37" s="4">
        <v>619</v>
      </c>
      <c r="G37" s="4">
        <v>24</v>
      </c>
      <c r="H37" s="4">
        <v>130</v>
      </c>
      <c r="I37" s="2">
        <f>Table6[[#This Row],[malePullRequests]]/(Table6[[#This Row],[PRCount]]-Table6[[#This Row],[unknownPullRequests]])</f>
        <v>0.96267496111975115</v>
      </c>
      <c r="J37" s="2">
        <f>Table6[[#This Row],[femalePullRequests]]/(Table6[[#This Row],[PRCount]]-Table6[[#This Row],[unknownPullRequests]])</f>
        <v>3.7325038880248837E-2</v>
      </c>
      <c r="K37">
        <v>508</v>
      </c>
      <c r="L37">
        <v>111</v>
      </c>
      <c r="M37">
        <v>17</v>
      </c>
      <c r="N37">
        <v>7</v>
      </c>
      <c r="O37" s="5">
        <f>(Table6[[#This Row],[mergedCount]]/Table6[[#This Row],[PRCount]])*Table6[[#This Row],[malePullRequests]]</f>
        <v>484.46959896507116</v>
      </c>
      <c r="P37" s="5">
        <f>(Table6[[#This Row],[declinedCount]]/Table6[[#This Row],[PRCount]])*Table6[[#This Row],[malePullRequests]]</f>
        <v>134.53040103492884</v>
      </c>
      <c r="Q37" s="5">
        <f>(Table6[[#This Row],[mergedCount]]/Table6[[#This Row],[PRCount]])*Table6[[#This Row],[femalePullRequests]]</f>
        <v>18.783958602846056</v>
      </c>
      <c r="R37" s="5">
        <f>(Table6[[#This Row],[declinedCount]]/Table6[[#This Row],[PRCount]])*Table6[[#This Row],[femalePullRequests]]</f>
        <v>5.2160413971539459</v>
      </c>
      <c r="S37">
        <f>(Table6[[#This Row],[maleMergedCount]]-Table6[[#This Row],[male merged expected]])^2/IF(Table6[[#This Row],[male merged expected]]&gt;0,Table6[[#This Row],[male merged expected]],1)</f>
        <v>1.142857620059869</v>
      </c>
      <c r="T37">
        <f>(Table6[[#This Row],[maleDeclinedCount]]-Table6[[#This Row],[male declined expected]])^2/IF(Table6[[#This Row],[male declined expected]]&gt;0,Table6[[#This Row],[male declined expected]],1)</f>
        <v>4.1156479770013146</v>
      </c>
      <c r="U37">
        <f>(Table6[[#This Row],[femaleMergedCount]]-Table6[[#This Row],[female merged expected]])^2/IF(Table6[[#This Row],[female merged expected]]&gt;0,Table6[[#This Row],[female merged expected]],1)</f>
        <v>0.16942692240528329</v>
      </c>
      <c r="V37">
        <f>(Table6[[#This Row],[femaleDeclinedCount]]-Table6[[#This Row],[female declined expected]])^2/IF(Table6[[#This Row],[female declined expected]]&gt;0,Table6[[#This Row],[female declined expected]],1)</f>
        <v>0.61013861937616765</v>
      </c>
      <c r="W37">
        <f t="shared" si="0"/>
        <v>6.0380711388426347</v>
      </c>
      <c r="Y37" s="3">
        <f>IF(PRODUCT(Table6[[#This Row],[maleMergedCount]:[female declined expected]])&gt;0,_xlfn.CHISQ.TEST(Table6[[#This Row],[maleMergedCount]:[femaleDeclinedCount]],Table6[[#This Row],[male merged expected]:[female declined expected]]),"FALSE")</f>
        <v>0.1097726012432344</v>
      </c>
      <c r="AA37" s="2">
        <f>Table6[[#This Row],[maleMergedCount]]/Table6[[#This Row],[male merged expected]]-1</f>
        <v>4.8569406801158843E-2</v>
      </c>
      <c r="AB37" s="2">
        <f>Table6[[#This Row],[maleDeclinedCount]]/Table6[[#This Row],[male declined expected]]-1</f>
        <v>-0.17490768520655431</v>
      </c>
      <c r="AC37" s="2">
        <f>Table6[[#This Row],[femaleMergedCount]]/Table6[[#This Row],[female merged expected]]-1</f>
        <v>-9.4972451790633738E-2</v>
      </c>
      <c r="AD37" s="2">
        <f>Table6[[#This Row],[femaleDeclinedCount]]/Table6[[#This Row],[female declined expected]]-1</f>
        <v>0.34201388888888884</v>
      </c>
      <c r="AF37">
        <f>IF(OR(Table6[[#This Row],[maleMergedCount]]&lt;5,Table6[[#This Row],[maleDeclinedCount]]&lt;5,Table6[[#This Row],[femaleMergedCount]]&lt;5,Table6[[#This Row],[femaleDeclinedCount]]&lt;5,W37&lt;$X$1),0,1)</f>
        <v>0</v>
      </c>
    </row>
    <row r="38" spans="1:32" x14ac:dyDescent="0.2">
      <c r="A38" t="s">
        <v>40</v>
      </c>
      <c r="B38" s="4">
        <v>794</v>
      </c>
      <c r="C38" s="4">
        <v>182</v>
      </c>
      <c r="D38" s="22">
        <f>Table6[[#This Row],[mergedCount]]/Table6[[#This Row],[PRCount]]</f>
        <v>0.22921914357682618</v>
      </c>
      <c r="E38" s="4">
        <v>612</v>
      </c>
      <c r="F38" s="4">
        <v>544</v>
      </c>
      <c r="G38" s="4">
        <v>21</v>
      </c>
      <c r="H38" s="4">
        <v>229</v>
      </c>
      <c r="I38" s="2">
        <f>Table6[[#This Row],[malePullRequests]]/(Table6[[#This Row],[PRCount]]-Table6[[#This Row],[unknownPullRequests]])</f>
        <v>0.96283185840707963</v>
      </c>
      <c r="J38" s="2">
        <f>Table6[[#This Row],[femalePullRequests]]/(Table6[[#This Row],[PRCount]]-Table6[[#This Row],[unknownPullRequests]])</f>
        <v>3.7168141592920353E-2</v>
      </c>
      <c r="K38">
        <v>144</v>
      </c>
      <c r="L38">
        <v>400</v>
      </c>
      <c r="M38">
        <v>4</v>
      </c>
      <c r="N38">
        <v>17</v>
      </c>
      <c r="O38" s="5">
        <f>(Table6[[#This Row],[mergedCount]]/Table6[[#This Row],[PRCount]])*Table6[[#This Row],[malePullRequests]]</f>
        <v>124.69521410579344</v>
      </c>
      <c r="P38" s="5">
        <f>(Table6[[#This Row],[declinedCount]]/Table6[[#This Row],[PRCount]])*Table6[[#This Row],[malePullRequests]]</f>
        <v>419.30478589420659</v>
      </c>
      <c r="Q38" s="5">
        <f>(Table6[[#This Row],[mergedCount]]/Table6[[#This Row],[PRCount]])*Table6[[#This Row],[femalePullRequests]]</f>
        <v>4.8136020151133501</v>
      </c>
      <c r="R38" s="5">
        <f>(Table6[[#This Row],[declinedCount]]/Table6[[#This Row],[PRCount]])*Table6[[#This Row],[femalePullRequests]]</f>
        <v>16.18639798488665</v>
      </c>
      <c r="S38">
        <f>(Table6[[#This Row],[maleMergedCount]]-Table6[[#This Row],[male merged expected]])^2/IF(Table6[[#This Row],[male merged expected]]&gt;0,Table6[[#This Row],[male merged expected]],1)</f>
        <v>2.98868534044116</v>
      </c>
      <c r="T38">
        <f>(Table6[[#This Row],[maleDeclinedCount]]-Table6[[#This Row],[male declined expected]])^2/IF(Table6[[#This Row],[male declined expected]]&gt;0,Table6[[#This Row],[male declined expected]],1)</f>
        <v>0.88879204568675252</v>
      </c>
      <c r="U38">
        <f>(Table6[[#This Row],[femaleMergedCount]]-Table6[[#This Row],[female merged expected]])^2/IF(Table6[[#This Row],[female merged expected]]&gt;0,Table6[[#This Row],[female merged expected]],1)</f>
        <v>0.13751619617038829</v>
      </c>
      <c r="V38">
        <f>(Table6[[#This Row],[femaleDeclinedCount]]-Table6[[#This Row],[female declined expected]])^2/IF(Table6[[#This Row],[female declined expected]]&gt;0,Table6[[#This Row],[female declined expected]],1)</f>
        <v>4.0895339384004366E-2</v>
      </c>
      <c r="W38">
        <f t="shared" si="0"/>
        <v>4.0558889216823051</v>
      </c>
      <c r="Y38" s="3">
        <f>IF(PRODUCT(Table6[[#This Row],[maleMergedCount]:[female declined expected]])&gt;0,_xlfn.CHISQ.TEST(Table6[[#This Row],[maleMergedCount]:[femaleDeclinedCount]],Table6[[#This Row],[male merged expected]:[female declined expected]]),"FALSE")</f>
        <v>0.25549203436539347</v>
      </c>
      <c r="AA38" s="2">
        <f>Table6[[#This Row],[maleMergedCount]]/Table6[[#This Row],[male merged expected]]-1</f>
        <v>0.1548157724628314</v>
      </c>
      <c r="AB38" s="2">
        <f>Table6[[#This Row],[maleDeclinedCount]]/Table6[[#This Row],[male declined expected]]-1</f>
        <v>-4.6039984621299546E-2</v>
      </c>
      <c r="AC38" s="2">
        <f>Table6[[#This Row],[femaleMergedCount]]/Table6[[#This Row],[female merged expected]]-1</f>
        <v>-0.16902145473574048</v>
      </c>
      <c r="AD38" s="2">
        <f>Table6[[#This Row],[femaleDeclinedCount]]/Table6[[#This Row],[female declined expected]]-1</f>
        <v>5.0264550264550234E-2</v>
      </c>
      <c r="AF38">
        <f>IF(OR(Table6[[#This Row],[maleMergedCount]]&lt;5,Table6[[#This Row],[maleDeclinedCount]]&lt;5,Table6[[#This Row],[femaleMergedCount]]&lt;5,Table6[[#This Row],[femaleDeclinedCount]]&lt;5,W38&lt;$X$1),0,1)</f>
        <v>0</v>
      </c>
    </row>
    <row r="39" spans="1:32" x14ac:dyDescent="0.2">
      <c r="A39" t="s">
        <v>41</v>
      </c>
      <c r="B39" s="4">
        <v>1145</v>
      </c>
      <c r="C39" s="4">
        <v>950</v>
      </c>
      <c r="D39" s="22">
        <f>Table6[[#This Row],[mergedCount]]/Table6[[#This Row],[PRCount]]</f>
        <v>0.82969432314410485</v>
      </c>
      <c r="E39" s="4">
        <v>195</v>
      </c>
      <c r="F39" s="4">
        <v>548</v>
      </c>
      <c r="G39" s="4">
        <v>5</v>
      </c>
      <c r="H39" s="4">
        <v>592</v>
      </c>
      <c r="I39" s="2">
        <f>Table6[[#This Row],[malePullRequests]]/(Table6[[#This Row],[PRCount]]-Table6[[#This Row],[unknownPullRequests]])</f>
        <v>0.99095840867992768</v>
      </c>
      <c r="J39" s="2">
        <f>Table6[[#This Row],[femalePullRequests]]/(Table6[[#This Row],[PRCount]]-Table6[[#This Row],[unknownPullRequests]])</f>
        <v>9.0415913200723331E-3</v>
      </c>
      <c r="K39">
        <v>466</v>
      </c>
      <c r="L39">
        <v>82</v>
      </c>
      <c r="M39">
        <v>2</v>
      </c>
      <c r="N39">
        <v>3</v>
      </c>
      <c r="O39" s="5">
        <f>(Table6[[#This Row],[mergedCount]]/Table6[[#This Row],[PRCount]])*Table6[[#This Row],[malePullRequests]]</f>
        <v>454.67248908296943</v>
      </c>
      <c r="P39" s="5">
        <f>(Table6[[#This Row],[declinedCount]]/Table6[[#This Row],[PRCount]])*Table6[[#This Row],[malePullRequests]]</f>
        <v>93.327510917030565</v>
      </c>
      <c r="Q39" s="5">
        <f>(Table6[[#This Row],[mergedCount]]/Table6[[#This Row],[PRCount]])*Table6[[#This Row],[femalePullRequests]]</f>
        <v>4.1484716157205241</v>
      </c>
      <c r="R39" s="5">
        <f>(Table6[[#This Row],[declinedCount]]/Table6[[#This Row],[PRCount]])*Table6[[#This Row],[femalePullRequests]]</f>
        <v>0.85152838427947608</v>
      </c>
      <c r="S39">
        <f>(Table6[[#This Row],[maleMergedCount]]-Table6[[#This Row],[male merged expected]])^2/IF(Table6[[#This Row],[male merged expected]]&gt;0,Table6[[#This Row],[male merged expected]],1)</f>
        <v>0.28220863732978563</v>
      </c>
      <c r="T39">
        <f>(Table6[[#This Row],[maleDeclinedCount]]-Table6[[#This Row],[male declined expected]])^2/IF(Table6[[#This Row],[male declined expected]]&gt;0,Table6[[#This Row],[male declined expected]],1)</f>
        <v>1.3748625921194686</v>
      </c>
      <c r="U39">
        <f>(Table6[[#This Row],[femaleMergedCount]]-Table6[[#This Row],[female merged expected]])^2/IF(Table6[[#This Row],[female merged expected]]&gt;0,Table6[[#This Row],[female merged expected]],1)</f>
        <v>1.1126821420363138</v>
      </c>
      <c r="V39">
        <f>(Table6[[#This Row],[femaleDeclinedCount]]-Table6[[#This Row],[female declined expected]])^2/IF(Table6[[#This Row],[female declined expected]]&gt;0,Table6[[#This Row],[female declined expected]],1)</f>
        <v>5.4207591535102457</v>
      </c>
      <c r="W39">
        <f t="shared" si="0"/>
        <v>8.1905125249958139</v>
      </c>
      <c r="Y39" s="3">
        <f>IF(PRODUCT(Table6[[#This Row],[maleMergedCount]:[female declined expected]])&gt;0,_xlfn.CHISQ.TEST(Table6[[#This Row],[maleMergedCount]:[femaleDeclinedCount]],Table6[[#This Row],[male merged expected]:[female declined expected]]),"FALSE")</f>
        <v>4.2234179782387221E-2</v>
      </c>
      <c r="AA39" s="2">
        <f>Table6[[#This Row],[maleMergedCount]]/Table6[[#This Row],[male merged expected]]-1</f>
        <v>2.4913561275451412E-2</v>
      </c>
      <c r="AB39" s="2">
        <f>Table6[[#This Row],[maleDeclinedCount]]/Table6[[#This Row],[male declined expected]]-1</f>
        <v>-0.12137376005989142</v>
      </c>
      <c r="AC39" s="2">
        <f>Table6[[#This Row],[femaleMergedCount]]/Table6[[#This Row],[female merged expected]]-1</f>
        <v>-0.5178947368421053</v>
      </c>
      <c r="AD39" s="2">
        <f>Table6[[#This Row],[femaleDeclinedCount]]/Table6[[#This Row],[female declined expected]]-1</f>
        <v>2.5230769230769226</v>
      </c>
      <c r="AF39">
        <f>IF(OR(Table6[[#This Row],[maleMergedCount]]&lt;5,Table6[[#This Row],[maleDeclinedCount]]&lt;5,Table6[[#This Row],[femaleMergedCount]]&lt;5,Table6[[#This Row],[femaleDeclinedCount]]&lt;5,W39&lt;$X$1),0,1)</f>
        <v>0</v>
      </c>
    </row>
    <row r="40" spans="1:32" x14ac:dyDescent="0.2">
      <c r="A40" t="s">
        <v>42</v>
      </c>
      <c r="B40" s="4">
        <v>658</v>
      </c>
      <c r="C40" s="4">
        <v>454</v>
      </c>
      <c r="D40" s="22">
        <f>Table6[[#This Row],[mergedCount]]/Table6[[#This Row],[PRCount]]</f>
        <v>0.6899696048632219</v>
      </c>
      <c r="E40" s="4">
        <v>204</v>
      </c>
      <c r="F40" s="4">
        <v>504</v>
      </c>
      <c r="G40" s="4">
        <v>12</v>
      </c>
      <c r="H40" s="4">
        <v>142</v>
      </c>
      <c r="I40" s="2">
        <f>Table6[[#This Row],[malePullRequests]]/(Table6[[#This Row],[PRCount]]-Table6[[#This Row],[unknownPullRequests]])</f>
        <v>0.97674418604651159</v>
      </c>
      <c r="J40" s="2">
        <f>Table6[[#This Row],[femalePullRequests]]/(Table6[[#This Row],[PRCount]]-Table6[[#This Row],[unknownPullRequests]])</f>
        <v>2.3255813953488372E-2</v>
      </c>
      <c r="K40">
        <v>362</v>
      </c>
      <c r="L40">
        <v>142</v>
      </c>
      <c r="M40">
        <v>7</v>
      </c>
      <c r="N40">
        <v>5</v>
      </c>
      <c r="O40" s="5">
        <f>(Table6[[#This Row],[mergedCount]]/Table6[[#This Row],[PRCount]])*Table6[[#This Row],[malePullRequests]]</f>
        <v>347.74468085106383</v>
      </c>
      <c r="P40" s="5">
        <f>(Table6[[#This Row],[declinedCount]]/Table6[[#This Row],[PRCount]])*Table6[[#This Row],[malePullRequests]]</f>
        <v>156.25531914893617</v>
      </c>
      <c r="Q40" s="5">
        <f>(Table6[[#This Row],[mergedCount]]/Table6[[#This Row],[PRCount]])*Table6[[#This Row],[femalePullRequests]]</f>
        <v>8.2796352583586632</v>
      </c>
      <c r="R40" s="5">
        <f>(Table6[[#This Row],[declinedCount]]/Table6[[#This Row],[PRCount]])*Table6[[#This Row],[femalePullRequests]]</f>
        <v>3.7203647416413372</v>
      </c>
      <c r="S40">
        <f>(Table6[[#This Row],[maleMergedCount]]-Table6[[#This Row],[male merged expected]])^2/IF(Table6[[#This Row],[male merged expected]]&gt;0,Table6[[#This Row],[male merged expected]],1)</f>
        <v>0.58437737578238058</v>
      </c>
      <c r="T40">
        <f>(Table6[[#This Row],[maleDeclinedCount]]-Table6[[#This Row],[male declined expected]])^2/IF(Table6[[#This Row],[male declined expected]]&gt;0,Table6[[#This Row],[male declined expected]],1)</f>
        <v>1.3005261206137295</v>
      </c>
      <c r="U40">
        <f>(Table6[[#This Row],[femaleMergedCount]]-Table6[[#This Row],[female merged expected]])^2/IF(Table6[[#This Row],[female merged expected]]&gt;0,Table6[[#This Row],[female merged expected]],1)</f>
        <v>0.19777035380653357</v>
      </c>
      <c r="V40">
        <f>(Table6[[#This Row],[femaleDeclinedCount]]-Table6[[#This Row],[female declined expected]])^2/IF(Table6[[#This Row],[female declined expected]]&gt;0,Table6[[#This Row],[female declined expected]],1)</f>
        <v>0.44013598347140287</v>
      </c>
      <c r="W40">
        <f t="shared" si="0"/>
        <v>2.5228098336740463</v>
      </c>
      <c r="Y40" s="3">
        <f>IF(PRODUCT(Table6[[#This Row],[maleMergedCount]:[female declined expected]])&gt;0,_xlfn.CHISQ.TEST(Table6[[#This Row],[maleMergedCount]:[femaleDeclinedCount]],Table6[[#This Row],[male merged expected]:[female declined expected]]),"FALSE")</f>
        <v>0.47118293599759042</v>
      </c>
      <c r="AA40" s="2">
        <f>Table6[[#This Row],[maleMergedCount]]/Table6[[#This Row],[male merged expected]]-1</f>
        <v>4.0993636808614786E-2</v>
      </c>
      <c r="AB40" s="2">
        <f>Table6[[#This Row],[maleDeclinedCount]]/Table6[[#This Row],[male declined expected]]-1</f>
        <v>-9.1230936819172048E-2</v>
      </c>
      <c r="AC40" s="2">
        <f>Table6[[#This Row],[femaleMergedCount]]/Table6[[#This Row],[female merged expected]]-1</f>
        <v>-0.15455212922173278</v>
      </c>
      <c r="AD40" s="2">
        <f>Table6[[#This Row],[femaleDeclinedCount]]/Table6[[#This Row],[female declined expected]]-1</f>
        <v>0.34395424836601318</v>
      </c>
      <c r="AF40">
        <f>IF(OR(Table6[[#This Row],[maleMergedCount]]&lt;5,Table6[[#This Row],[maleDeclinedCount]]&lt;5,Table6[[#This Row],[femaleMergedCount]]&lt;5,Table6[[#This Row],[femaleDeclinedCount]]&lt;5,W40&lt;$X$1),0,1)</f>
        <v>0</v>
      </c>
    </row>
    <row r="41" spans="1:32" x14ac:dyDescent="0.2">
      <c r="A41" t="s">
        <v>43</v>
      </c>
      <c r="B41" s="4">
        <v>652</v>
      </c>
      <c r="C41" s="4">
        <v>167</v>
      </c>
      <c r="D41" s="22">
        <f>Table6[[#This Row],[mergedCount]]/Table6[[#This Row],[PRCount]]</f>
        <v>0.25613496932515339</v>
      </c>
      <c r="E41" s="4">
        <v>485</v>
      </c>
      <c r="F41" s="4">
        <v>460</v>
      </c>
      <c r="G41" s="4">
        <v>35</v>
      </c>
      <c r="H41" s="4">
        <v>157</v>
      </c>
      <c r="I41" s="2">
        <f>Table6[[#This Row],[malePullRequests]]/(Table6[[#This Row],[PRCount]]-Table6[[#This Row],[unknownPullRequests]])</f>
        <v>0.92929292929292928</v>
      </c>
      <c r="J41" s="2">
        <f>Table6[[#This Row],[femalePullRequests]]/(Table6[[#This Row],[PRCount]]-Table6[[#This Row],[unknownPullRequests]])</f>
        <v>7.0707070707070704E-2</v>
      </c>
      <c r="K41">
        <v>137</v>
      </c>
      <c r="L41">
        <v>323</v>
      </c>
      <c r="M41">
        <v>4</v>
      </c>
      <c r="N41">
        <v>31</v>
      </c>
      <c r="O41" s="5">
        <f>(Table6[[#This Row],[mergedCount]]/Table6[[#This Row],[PRCount]])*Table6[[#This Row],[malePullRequests]]</f>
        <v>117.82208588957056</v>
      </c>
      <c r="P41" s="5">
        <f>(Table6[[#This Row],[declinedCount]]/Table6[[#This Row],[PRCount]])*Table6[[#This Row],[malePullRequests]]</f>
        <v>342.17791411042947</v>
      </c>
      <c r="Q41" s="5">
        <f>(Table6[[#This Row],[mergedCount]]/Table6[[#This Row],[PRCount]])*Table6[[#This Row],[femalePullRequests]]</f>
        <v>8.9647239263803691</v>
      </c>
      <c r="R41" s="5">
        <f>(Table6[[#This Row],[declinedCount]]/Table6[[#This Row],[PRCount]])*Table6[[#This Row],[femalePullRequests]]</f>
        <v>26.035276073619634</v>
      </c>
      <c r="S41">
        <f>(Table6[[#This Row],[maleMergedCount]]-Table6[[#This Row],[male merged expected]])^2/IF(Table6[[#This Row],[male merged expected]]&gt;0,Table6[[#This Row],[male merged expected]],1)</f>
        <v>3.1215912267223334</v>
      </c>
      <c r="T41">
        <f>(Table6[[#This Row],[maleDeclinedCount]]-Table6[[#This Row],[male declined expected]])^2/IF(Table6[[#This Row],[male declined expected]]&gt;0,Table6[[#This Row],[male declined expected]],1)</f>
        <v>1.0748571852837756</v>
      </c>
      <c r="U41">
        <f>(Table6[[#This Row],[femaleMergedCount]]-Table6[[#This Row],[female merged expected]])^2/IF(Table6[[#This Row],[female merged expected]]&gt;0,Table6[[#This Row],[female merged expected]],1)</f>
        <v>2.7494972369021822</v>
      </c>
      <c r="V41">
        <f>(Table6[[#This Row],[femaleDeclinedCount]]-Table6[[#This Row],[female declined expected]])^2/IF(Table6[[#This Row],[female declined expected]]&gt;0,Table6[[#This Row],[female declined expected]],1)</f>
        <v>0.94673410012920367</v>
      </c>
      <c r="W41">
        <f t="shared" si="0"/>
        <v>7.8926797490374954</v>
      </c>
      <c r="Y41" s="3">
        <f>IF(PRODUCT(Table6[[#This Row],[maleMergedCount]:[female declined expected]])&gt;0,_xlfn.CHISQ.TEST(Table6[[#This Row],[maleMergedCount]:[femaleDeclinedCount]],Table6[[#This Row],[male merged expected]:[female declined expected]]),"FALSE")</f>
        <v>4.8282551770378712E-2</v>
      </c>
      <c r="AA41" s="2">
        <f>Table6[[#This Row],[maleMergedCount]]/Table6[[#This Row],[male merged expected]]-1</f>
        <v>0.1627701119500129</v>
      </c>
      <c r="AB41" s="2">
        <f>Table6[[#This Row],[maleDeclinedCount]]/Table6[[#This Row],[male declined expected]]-1</f>
        <v>-5.6046615867324179E-2</v>
      </c>
      <c r="AC41" s="2">
        <f>Table6[[#This Row],[femaleMergedCount]]/Table6[[#This Row],[female merged expected]]-1</f>
        <v>-0.55380667236954673</v>
      </c>
      <c r="AD41" s="2">
        <f>Table6[[#This Row],[femaleDeclinedCount]]/Table6[[#This Row],[female declined expected]]-1</f>
        <v>0.19069219440353447</v>
      </c>
      <c r="AF41">
        <f>IF(OR(Table6[[#This Row],[maleMergedCount]]&lt;5,Table6[[#This Row],[maleDeclinedCount]]&lt;5,Table6[[#This Row],[femaleMergedCount]]&lt;5,Table6[[#This Row],[femaleDeclinedCount]]&lt;5,W41&lt;$X$1),0,1)</f>
        <v>0</v>
      </c>
    </row>
    <row r="42" spans="1:32" x14ac:dyDescent="0.2">
      <c r="A42" t="s">
        <v>44</v>
      </c>
      <c r="B42" s="4">
        <v>725</v>
      </c>
      <c r="C42" s="4">
        <v>463</v>
      </c>
      <c r="D42" s="22">
        <f>Table6[[#This Row],[mergedCount]]/Table6[[#This Row],[PRCount]]</f>
        <v>0.63862068965517238</v>
      </c>
      <c r="E42" s="4">
        <v>262</v>
      </c>
      <c r="F42" s="4">
        <v>461</v>
      </c>
      <c r="G42" s="4">
        <v>29</v>
      </c>
      <c r="H42" s="4">
        <v>235</v>
      </c>
      <c r="I42" s="2">
        <f>Table6[[#This Row],[malePullRequests]]/(Table6[[#This Row],[PRCount]]-Table6[[#This Row],[unknownPullRequests]])</f>
        <v>0.9408163265306122</v>
      </c>
      <c r="J42" s="2">
        <f>Table6[[#This Row],[femalePullRequests]]/(Table6[[#This Row],[PRCount]]-Table6[[#This Row],[unknownPullRequests]])</f>
        <v>5.9183673469387757E-2</v>
      </c>
      <c r="K42">
        <v>309</v>
      </c>
      <c r="L42">
        <v>152</v>
      </c>
      <c r="M42">
        <v>20</v>
      </c>
      <c r="N42">
        <v>9</v>
      </c>
      <c r="O42" s="5">
        <f>(Table6[[#This Row],[mergedCount]]/Table6[[#This Row],[PRCount]])*Table6[[#This Row],[malePullRequests]]</f>
        <v>294.40413793103448</v>
      </c>
      <c r="P42" s="5">
        <f>(Table6[[#This Row],[declinedCount]]/Table6[[#This Row],[PRCount]])*Table6[[#This Row],[malePullRequests]]</f>
        <v>166.59586206896552</v>
      </c>
      <c r="Q42" s="5">
        <f>(Table6[[#This Row],[mergedCount]]/Table6[[#This Row],[PRCount]])*Table6[[#This Row],[femalePullRequests]]</f>
        <v>18.52</v>
      </c>
      <c r="R42" s="5">
        <f>(Table6[[#This Row],[declinedCount]]/Table6[[#This Row],[PRCount]])*Table6[[#This Row],[femalePullRequests]]</f>
        <v>10.479999999999999</v>
      </c>
      <c r="S42">
        <f>(Table6[[#This Row],[maleMergedCount]]-Table6[[#This Row],[male merged expected]])^2/IF(Table6[[#This Row],[male merged expected]]&gt;0,Table6[[#This Row],[male merged expected]],1)</f>
        <v>0.72362838047531697</v>
      </c>
      <c r="T42">
        <f>(Table6[[#This Row],[maleDeclinedCount]]-Table6[[#This Row],[male declined expected]])^2/IF(Table6[[#This Row],[male declined expected]]&gt;0,Table6[[#This Row],[male declined expected]],1)</f>
        <v>1.2787783975575258</v>
      </c>
      <c r="U42">
        <f>(Table6[[#This Row],[femaleMergedCount]]-Table6[[#This Row],[female merged expected]])^2/IF(Table6[[#This Row],[female merged expected]]&gt;0,Table6[[#This Row],[female merged expected]],1)</f>
        <v>0.11827213822894175</v>
      </c>
      <c r="V42">
        <f>(Table6[[#This Row],[femaleDeclinedCount]]-Table6[[#This Row],[female declined expected]])^2/IF(Table6[[#This Row],[female declined expected]]&gt;0,Table6[[#This Row],[female declined expected]],1)</f>
        <v>0.2090076335877859</v>
      </c>
      <c r="W42">
        <f t="shared" si="0"/>
        <v>2.3296865498495705</v>
      </c>
      <c r="Y42" s="3">
        <f>IF(PRODUCT(Table6[[#This Row],[maleMergedCount]:[female declined expected]])&gt;0,_xlfn.CHISQ.TEST(Table6[[#This Row],[maleMergedCount]:[femaleDeclinedCount]],Table6[[#This Row],[male merged expected]:[female declined expected]]),"FALSE")</f>
        <v>0.50685762015902036</v>
      </c>
      <c r="AA42" s="2">
        <f>Table6[[#This Row],[maleMergedCount]]/Table6[[#This Row],[male merged expected]]-1</f>
        <v>4.9577638994954043E-2</v>
      </c>
      <c r="AB42" s="2">
        <f>Table6[[#This Row],[maleDeclinedCount]]/Table6[[#This Row],[male declined expected]]-1</f>
        <v>-8.76123925750526E-2</v>
      </c>
      <c r="AC42" s="2">
        <f>Table6[[#This Row],[femaleMergedCount]]/Table6[[#This Row],[female merged expected]]-1</f>
        <v>7.9913606911446999E-2</v>
      </c>
      <c r="AD42" s="2">
        <f>Table6[[#This Row],[femaleDeclinedCount]]/Table6[[#This Row],[female declined expected]]-1</f>
        <v>-0.14122137404580137</v>
      </c>
      <c r="AF42">
        <f>IF(OR(Table6[[#This Row],[maleMergedCount]]&lt;5,Table6[[#This Row],[maleDeclinedCount]]&lt;5,Table6[[#This Row],[femaleMergedCount]]&lt;5,Table6[[#This Row],[femaleDeclinedCount]]&lt;5,W42&lt;$X$1),0,1)</f>
        <v>0</v>
      </c>
    </row>
    <row r="43" spans="1:32" x14ac:dyDescent="0.2">
      <c r="A43" t="s">
        <v>45</v>
      </c>
      <c r="B43" s="4">
        <v>712</v>
      </c>
      <c r="C43" s="4">
        <v>221</v>
      </c>
      <c r="D43" s="22">
        <f>Table6[[#This Row],[mergedCount]]/Table6[[#This Row],[PRCount]]</f>
        <v>0.3103932584269663</v>
      </c>
      <c r="E43" s="4">
        <v>491</v>
      </c>
      <c r="F43" s="4">
        <v>412</v>
      </c>
      <c r="G43" s="4">
        <v>29</v>
      </c>
      <c r="H43" s="4">
        <v>271</v>
      </c>
      <c r="I43" s="2">
        <f>Table6[[#This Row],[malePullRequests]]/(Table6[[#This Row],[PRCount]]-Table6[[#This Row],[unknownPullRequests]])</f>
        <v>0.93424036281179135</v>
      </c>
      <c r="J43" s="2">
        <f>Table6[[#This Row],[femalePullRequests]]/(Table6[[#This Row],[PRCount]]-Table6[[#This Row],[unknownPullRequests]])</f>
        <v>6.5759637188208611E-2</v>
      </c>
      <c r="K43">
        <v>128</v>
      </c>
      <c r="L43">
        <v>284</v>
      </c>
      <c r="M43">
        <v>9</v>
      </c>
      <c r="N43">
        <v>20</v>
      </c>
      <c r="O43" s="5">
        <f>(Table6[[#This Row],[mergedCount]]/Table6[[#This Row],[PRCount]])*Table6[[#This Row],[malePullRequests]]</f>
        <v>127.88202247191012</v>
      </c>
      <c r="P43" s="5">
        <f>(Table6[[#This Row],[declinedCount]]/Table6[[#This Row],[PRCount]])*Table6[[#This Row],[malePullRequests]]</f>
        <v>284.11797752808991</v>
      </c>
      <c r="Q43" s="5">
        <f>(Table6[[#This Row],[mergedCount]]/Table6[[#This Row],[PRCount]])*Table6[[#This Row],[femalePullRequests]]</f>
        <v>9.0014044943820224</v>
      </c>
      <c r="R43" s="5">
        <f>(Table6[[#This Row],[declinedCount]]/Table6[[#This Row],[PRCount]])*Table6[[#This Row],[femalePullRequests]]</f>
        <v>19.998595505617978</v>
      </c>
      <c r="S43">
        <f>(Table6[[#This Row],[maleMergedCount]]-Table6[[#This Row],[male merged expected]])^2/IF(Table6[[#This Row],[male merged expected]]&gt;0,Table6[[#This Row],[male merged expected]],1)</f>
        <v>1.0884013925613314E-4</v>
      </c>
      <c r="T43">
        <f>(Table6[[#This Row],[maleDeclinedCount]]-Table6[[#This Row],[male declined expected]])^2/IF(Table6[[#This Row],[male declined expected]]&gt;0,Table6[[#This Row],[male declined expected]],1)</f>
        <v>4.8989146182519372E-5</v>
      </c>
      <c r="U43">
        <f>(Table6[[#This Row],[femaleMergedCount]]-Table6[[#This Row],[female merged expected]])^2/IF(Table6[[#This Row],[female merged expected]]&gt;0,Table6[[#This Row],[female merged expected]],1)</f>
        <v>2.1914407583434426E-7</v>
      </c>
      <c r="V43">
        <f>(Table6[[#This Row],[femaleDeclinedCount]]-Table6[[#This Row],[female declined expected]])^2/IF(Table6[[#This Row],[female declined expected]]&gt;0,Table6[[#This Row],[female declined expected]],1)</f>
        <v>9.8637150222790391E-8</v>
      </c>
      <c r="W43">
        <f t="shared" si="0"/>
        <v>1.5814706666470964E-4</v>
      </c>
      <c r="Y43" s="3">
        <f>IF(PRODUCT(Table6[[#This Row],[maleMergedCount]:[female declined expected]])&gt;0,_xlfn.CHISQ.TEST(Table6[[#This Row],[maleMergedCount]:[femaleDeclinedCount]],Table6[[#This Row],[male merged expected]:[female declined expected]]),"FALSE")</f>
        <v>0.99999947108009213</v>
      </c>
      <c r="AA43" s="2">
        <f>Table6[[#This Row],[maleMergedCount]]/Table6[[#This Row],[male merged expected]]-1</f>
        <v>9.2254975179018039E-4</v>
      </c>
      <c r="AB43" s="2">
        <f>Table6[[#This Row],[maleDeclinedCount]]/Table6[[#This Row],[male declined expected]]-1</f>
        <v>-4.1524133430892451E-4</v>
      </c>
      <c r="AC43" s="2">
        <f>Table6[[#This Row],[femaleMergedCount]]/Table6[[#This Row],[female merged expected]]-1</f>
        <v>-1.5603058199409325E-4</v>
      </c>
      <c r="AD43" s="2">
        <f>Table6[[#This Row],[femaleDeclinedCount]]/Table6[[#This Row],[female declined expected]]-1</f>
        <v>7.0229650958708589E-5</v>
      </c>
      <c r="AF43">
        <f>IF(OR(Table6[[#This Row],[maleMergedCount]]&lt;5,Table6[[#This Row],[maleDeclinedCount]]&lt;5,Table6[[#This Row],[femaleMergedCount]]&lt;5,Table6[[#This Row],[femaleDeclinedCount]]&lt;5,W43&lt;$X$1),0,1)</f>
        <v>0</v>
      </c>
    </row>
    <row r="44" spans="1:32" x14ac:dyDescent="0.2">
      <c r="A44" t="s">
        <v>46</v>
      </c>
      <c r="B44" s="4">
        <v>541</v>
      </c>
      <c r="C44" s="4">
        <v>271</v>
      </c>
      <c r="D44" s="22">
        <f>Table6[[#This Row],[mergedCount]]/Table6[[#This Row],[PRCount]]</f>
        <v>0.50092421441774493</v>
      </c>
      <c r="E44" s="4">
        <v>270</v>
      </c>
      <c r="F44" s="4">
        <v>419</v>
      </c>
      <c r="G44" s="4">
        <v>12</v>
      </c>
      <c r="H44" s="4">
        <v>110</v>
      </c>
      <c r="I44" s="2">
        <f>Table6[[#This Row],[malePullRequests]]/(Table6[[#This Row],[PRCount]]-Table6[[#This Row],[unknownPullRequests]])</f>
        <v>0.97215777262180969</v>
      </c>
      <c r="J44" s="2">
        <f>Table6[[#This Row],[femalePullRequests]]/(Table6[[#This Row],[PRCount]]-Table6[[#This Row],[unknownPullRequests]])</f>
        <v>2.7842227378190254E-2</v>
      </c>
      <c r="K44">
        <v>238</v>
      </c>
      <c r="L44">
        <v>181</v>
      </c>
      <c r="M44">
        <v>3</v>
      </c>
      <c r="N44">
        <v>9</v>
      </c>
      <c r="O44" s="5">
        <f>(Table6[[#This Row],[mergedCount]]/Table6[[#This Row],[PRCount]])*Table6[[#This Row],[malePullRequests]]</f>
        <v>209.88724584103514</v>
      </c>
      <c r="P44" s="5">
        <f>(Table6[[#This Row],[declinedCount]]/Table6[[#This Row],[PRCount]])*Table6[[#This Row],[malePullRequests]]</f>
        <v>209.11275415896486</v>
      </c>
      <c r="Q44" s="5">
        <f>(Table6[[#This Row],[mergedCount]]/Table6[[#This Row],[PRCount]])*Table6[[#This Row],[femalePullRequests]]</f>
        <v>6.0110905730129396</v>
      </c>
      <c r="R44" s="5">
        <f>(Table6[[#This Row],[declinedCount]]/Table6[[#This Row],[PRCount]])*Table6[[#This Row],[femalePullRequests]]</f>
        <v>5.9889094269870604</v>
      </c>
      <c r="S44">
        <f>(Table6[[#This Row],[maleMergedCount]]-Table6[[#This Row],[male merged expected]])^2/IF(Table6[[#This Row],[male merged expected]]&gt;0,Table6[[#This Row],[male merged expected]],1)</f>
        <v>3.7654834300935831</v>
      </c>
      <c r="T44">
        <f>(Table6[[#This Row],[maleDeclinedCount]]-Table6[[#This Row],[male declined expected]])^2/IF(Table6[[#This Row],[male declined expected]]&gt;0,Table6[[#This Row],[male declined expected]],1)</f>
        <v>3.7794296650198564</v>
      </c>
      <c r="U44">
        <f>(Table6[[#This Row],[femaleMergedCount]]-Table6[[#This Row],[female merged expected]])^2/IF(Table6[[#This Row],[female merged expected]]&gt;0,Table6[[#This Row],[female merged expected]],1)</f>
        <v>1.5083230453376628</v>
      </c>
      <c r="V44">
        <f>(Table6[[#This Row],[femaleDeclinedCount]]-Table6[[#This Row],[female declined expected]])^2/IF(Table6[[#This Row],[female declined expected]]&gt;0,Table6[[#This Row],[female declined expected]],1)</f>
        <v>1.5139094269870619</v>
      </c>
      <c r="W44">
        <f t="shared" si="0"/>
        <v>10.567145567438166</v>
      </c>
      <c r="Y44" s="3">
        <f>IF(PRODUCT(Table6[[#This Row],[maleMergedCount]:[female declined expected]])&gt;0,_xlfn.CHISQ.TEST(Table6[[#This Row],[maleMergedCount]:[femaleDeclinedCount]],Table6[[#This Row],[male merged expected]:[female declined expected]]),"FALSE")</f>
        <v>1.4312259887040955E-2</v>
      </c>
      <c r="AA44" s="2">
        <f>Table6[[#This Row],[maleMergedCount]]/Table6[[#This Row],[male merged expected]]-1</f>
        <v>0.1339421747439431</v>
      </c>
      <c r="AB44" s="2">
        <f>Table6[[#This Row],[maleDeclinedCount]]/Table6[[#This Row],[male declined expected]]-1</f>
        <v>-0.13443825687262434</v>
      </c>
      <c r="AC44" s="2">
        <f>Table6[[#This Row],[femaleMergedCount]]/Table6[[#This Row],[female merged expected]]-1</f>
        <v>-0.50092250922509229</v>
      </c>
      <c r="AD44" s="2">
        <f>Table6[[#This Row],[femaleDeclinedCount]]/Table6[[#This Row],[female declined expected]]-1</f>
        <v>0.50277777777777799</v>
      </c>
      <c r="AF44">
        <f>IF(OR(Table6[[#This Row],[maleMergedCount]]&lt;5,Table6[[#This Row],[maleDeclinedCount]]&lt;5,Table6[[#This Row],[femaleMergedCount]]&lt;5,Table6[[#This Row],[femaleDeclinedCount]]&lt;5,W44&lt;$X$1),0,1)</f>
        <v>0</v>
      </c>
    </row>
    <row r="45" spans="1:32" x14ac:dyDescent="0.2">
      <c r="A45" t="s">
        <v>47</v>
      </c>
      <c r="B45" s="4">
        <v>594</v>
      </c>
      <c r="C45" s="4">
        <v>297</v>
      </c>
      <c r="D45" s="22">
        <f>Table6[[#This Row],[mergedCount]]/Table6[[#This Row],[PRCount]]</f>
        <v>0.5</v>
      </c>
      <c r="E45" s="4">
        <v>297</v>
      </c>
      <c r="F45" s="4">
        <v>419</v>
      </c>
      <c r="G45" s="4">
        <v>11</v>
      </c>
      <c r="H45" s="4">
        <v>164</v>
      </c>
      <c r="I45" s="2">
        <f>Table6[[#This Row],[malePullRequests]]/(Table6[[#This Row],[PRCount]]-Table6[[#This Row],[unknownPullRequests]])</f>
        <v>0.97441860465116281</v>
      </c>
      <c r="J45" s="2">
        <f>Table6[[#This Row],[femalePullRequests]]/(Table6[[#This Row],[PRCount]]-Table6[[#This Row],[unknownPullRequests]])</f>
        <v>2.5581395348837209E-2</v>
      </c>
      <c r="K45">
        <v>216</v>
      </c>
      <c r="L45">
        <v>203</v>
      </c>
      <c r="M45">
        <v>2</v>
      </c>
      <c r="N45">
        <v>9</v>
      </c>
      <c r="O45" s="5">
        <f>(Table6[[#This Row],[mergedCount]]/Table6[[#This Row],[PRCount]])*Table6[[#This Row],[malePullRequests]]</f>
        <v>209.5</v>
      </c>
      <c r="P45" s="5">
        <f>(Table6[[#This Row],[declinedCount]]/Table6[[#This Row],[PRCount]])*Table6[[#This Row],[malePullRequests]]</f>
        <v>209.5</v>
      </c>
      <c r="Q45" s="5">
        <f>(Table6[[#This Row],[mergedCount]]/Table6[[#This Row],[PRCount]])*Table6[[#This Row],[femalePullRequests]]</f>
        <v>5.5</v>
      </c>
      <c r="R45" s="5">
        <f>(Table6[[#This Row],[declinedCount]]/Table6[[#This Row],[PRCount]])*Table6[[#This Row],[femalePullRequests]]</f>
        <v>5.5</v>
      </c>
      <c r="S45">
        <f>(Table6[[#This Row],[maleMergedCount]]-Table6[[#This Row],[male merged expected]])^2/IF(Table6[[#This Row],[male merged expected]]&gt;0,Table6[[#This Row],[male merged expected]],1)</f>
        <v>0.20167064439140811</v>
      </c>
      <c r="T45">
        <f>(Table6[[#This Row],[maleDeclinedCount]]-Table6[[#This Row],[male declined expected]])^2/IF(Table6[[#This Row],[male declined expected]]&gt;0,Table6[[#This Row],[male declined expected]],1)</f>
        <v>0.20167064439140811</v>
      </c>
      <c r="U45">
        <f>(Table6[[#This Row],[femaleMergedCount]]-Table6[[#This Row],[female merged expected]])^2/IF(Table6[[#This Row],[female merged expected]]&gt;0,Table6[[#This Row],[female merged expected]],1)</f>
        <v>2.2272727272727271</v>
      </c>
      <c r="V45">
        <f>(Table6[[#This Row],[femaleDeclinedCount]]-Table6[[#This Row],[female declined expected]])^2/IF(Table6[[#This Row],[female declined expected]]&gt;0,Table6[[#This Row],[female declined expected]],1)</f>
        <v>2.2272727272727271</v>
      </c>
      <c r="W45">
        <f t="shared" si="0"/>
        <v>4.8578867433282706</v>
      </c>
      <c r="Y45" s="3">
        <f>IF(PRODUCT(Table6[[#This Row],[maleMergedCount]:[female declined expected]])&gt;0,_xlfn.CHISQ.TEST(Table6[[#This Row],[maleMergedCount]:[femaleDeclinedCount]],Table6[[#This Row],[male merged expected]:[female declined expected]]),"FALSE")</f>
        <v>0.18250409111971369</v>
      </c>
      <c r="AA45" s="2">
        <f>Table6[[#This Row],[maleMergedCount]]/Table6[[#This Row],[male merged expected]]-1</f>
        <v>3.1026252983293645E-2</v>
      </c>
      <c r="AB45" s="2">
        <f>Table6[[#This Row],[maleDeclinedCount]]/Table6[[#This Row],[male declined expected]]-1</f>
        <v>-3.1026252983293534E-2</v>
      </c>
      <c r="AC45" s="2">
        <f>Table6[[#This Row],[femaleMergedCount]]/Table6[[#This Row],[female merged expected]]-1</f>
        <v>-0.63636363636363635</v>
      </c>
      <c r="AD45" s="2">
        <f>Table6[[#This Row],[femaleDeclinedCount]]/Table6[[#This Row],[female declined expected]]-1</f>
        <v>0.63636363636363646</v>
      </c>
      <c r="AF45">
        <f>IF(OR(Table6[[#This Row],[maleMergedCount]]&lt;5,Table6[[#This Row],[maleDeclinedCount]]&lt;5,Table6[[#This Row],[femaleMergedCount]]&lt;5,Table6[[#This Row],[femaleDeclinedCount]]&lt;5,W45&lt;$X$1),0,1)</f>
        <v>0</v>
      </c>
    </row>
    <row r="46" spans="1:32" x14ac:dyDescent="0.2">
      <c r="A46" t="s">
        <v>48</v>
      </c>
      <c r="B46" s="4">
        <v>494</v>
      </c>
      <c r="C46" s="4">
        <v>319</v>
      </c>
      <c r="D46" s="22">
        <f>Table6[[#This Row],[mergedCount]]/Table6[[#This Row],[PRCount]]</f>
        <v>0.64574898785425106</v>
      </c>
      <c r="E46" s="4">
        <v>175</v>
      </c>
      <c r="F46" s="4">
        <v>409</v>
      </c>
      <c r="G46" s="4">
        <v>12</v>
      </c>
      <c r="H46" s="4">
        <v>73</v>
      </c>
      <c r="I46" s="2">
        <f>Table6[[#This Row],[malePullRequests]]/(Table6[[#This Row],[PRCount]]-Table6[[#This Row],[unknownPullRequests]])</f>
        <v>0.97149643705463185</v>
      </c>
      <c r="J46" s="2">
        <f>Table6[[#This Row],[femalePullRequests]]/(Table6[[#This Row],[PRCount]]-Table6[[#This Row],[unknownPullRequests]])</f>
        <v>2.8503562945368172E-2</v>
      </c>
      <c r="K46">
        <v>267</v>
      </c>
      <c r="L46">
        <v>142</v>
      </c>
      <c r="M46">
        <v>6</v>
      </c>
      <c r="N46">
        <v>6</v>
      </c>
      <c r="O46" s="5">
        <f>(Table6[[#This Row],[mergedCount]]/Table6[[#This Row],[PRCount]])*Table6[[#This Row],[malePullRequests]]</f>
        <v>264.11133603238869</v>
      </c>
      <c r="P46" s="5">
        <f>(Table6[[#This Row],[declinedCount]]/Table6[[#This Row],[PRCount]])*Table6[[#This Row],[malePullRequests]]</f>
        <v>144.88866396761134</v>
      </c>
      <c r="Q46" s="5">
        <f>(Table6[[#This Row],[mergedCount]]/Table6[[#This Row],[PRCount]])*Table6[[#This Row],[femalePullRequests]]</f>
        <v>7.7489878542510127</v>
      </c>
      <c r="R46" s="5">
        <f>(Table6[[#This Row],[declinedCount]]/Table6[[#This Row],[PRCount]])*Table6[[#This Row],[femalePullRequests]]</f>
        <v>4.2510121457489882</v>
      </c>
      <c r="S46">
        <f>(Table6[[#This Row],[maleMergedCount]]-Table6[[#This Row],[male merged expected]])^2/IF(Table6[[#This Row],[male merged expected]]&gt;0,Table6[[#This Row],[male merged expected]],1)</f>
        <v>3.1594174044663526E-2</v>
      </c>
      <c r="T46">
        <f>(Table6[[#This Row],[maleDeclinedCount]]-Table6[[#This Row],[male declined expected]])^2/IF(Table6[[#This Row],[male declined expected]]&gt;0,Table6[[#This Row],[male declined expected]],1)</f>
        <v>5.7591665829987808E-2</v>
      </c>
      <c r="U46">
        <f>(Table6[[#This Row],[femaleMergedCount]]-Table6[[#This Row],[female merged expected]])^2/IF(Table6[[#This Row],[female merged expected]]&gt;0,Table6[[#This Row],[female merged expected]],1)</f>
        <v>0.39475587932938228</v>
      </c>
      <c r="V46">
        <f>(Table6[[#This Row],[femaleDeclinedCount]]-Table6[[#This Row],[female declined expected]])^2/IF(Table6[[#This Row],[female declined expected]]&gt;0,Table6[[#This Row],[female declined expected]],1)</f>
        <v>0.71958357432041609</v>
      </c>
      <c r="W46">
        <f t="shared" si="0"/>
        <v>1.2035252935244496</v>
      </c>
      <c r="Y46" s="3">
        <f>IF(PRODUCT(Table6[[#This Row],[maleMergedCount]:[female declined expected]])&gt;0,_xlfn.CHISQ.TEST(Table6[[#This Row],[maleMergedCount]:[femaleDeclinedCount]],Table6[[#This Row],[male merged expected]:[female declined expected]]),"FALSE")</f>
        <v>0.75215892540553897</v>
      </c>
      <c r="AA46" s="2">
        <f>Table6[[#This Row],[maleMergedCount]]/Table6[[#This Row],[male merged expected]]-1</f>
        <v>1.0937296410696629E-2</v>
      </c>
      <c r="AB46" s="2">
        <f>Table6[[#This Row],[maleDeclinedCount]]/Table6[[#This Row],[male declined expected]]-1</f>
        <v>-1.9937128885784139E-2</v>
      </c>
      <c r="AC46" s="2">
        <f>Table6[[#This Row],[femaleMergedCount]]/Table6[[#This Row],[female merged expected]]-1</f>
        <v>-0.22570532915360508</v>
      </c>
      <c r="AD46" s="2">
        <f>Table6[[#This Row],[femaleDeclinedCount]]/Table6[[#This Row],[female declined expected]]-1</f>
        <v>0.41142857142857125</v>
      </c>
      <c r="AF46">
        <f>IF(OR(Table6[[#This Row],[maleMergedCount]]&lt;5,Table6[[#This Row],[maleDeclinedCount]]&lt;5,Table6[[#This Row],[femaleMergedCount]]&lt;5,Table6[[#This Row],[femaleDeclinedCount]]&lt;5,W46&lt;$X$1),0,1)</f>
        <v>0</v>
      </c>
    </row>
    <row r="47" spans="1:32" x14ac:dyDescent="0.2">
      <c r="A47" t="s">
        <v>49</v>
      </c>
      <c r="B47" s="4">
        <v>489</v>
      </c>
      <c r="C47" s="4">
        <v>289</v>
      </c>
      <c r="D47" s="22">
        <f>Table6[[#This Row],[mergedCount]]/Table6[[#This Row],[PRCount]]</f>
        <v>0.59100204498977504</v>
      </c>
      <c r="E47" s="4">
        <v>200</v>
      </c>
      <c r="F47" s="4">
        <v>403</v>
      </c>
      <c r="G47" s="4">
        <v>9</v>
      </c>
      <c r="H47" s="4">
        <v>77</v>
      </c>
      <c r="I47" s="2">
        <f>Table6[[#This Row],[malePullRequests]]/(Table6[[#This Row],[PRCount]]-Table6[[#This Row],[unknownPullRequests]])</f>
        <v>0.97815533980582525</v>
      </c>
      <c r="J47" s="2">
        <f>Table6[[#This Row],[femalePullRequests]]/(Table6[[#This Row],[PRCount]]-Table6[[#This Row],[unknownPullRequests]])</f>
        <v>2.1844660194174758E-2</v>
      </c>
      <c r="K47">
        <v>255</v>
      </c>
      <c r="L47">
        <v>148</v>
      </c>
      <c r="M47">
        <v>7</v>
      </c>
      <c r="N47">
        <v>2</v>
      </c>
      <c r="O47" s="5">
        <f>(Table6[[#This Row],[mergedCount]]/Table6[[#This Row],[PRCount]])*Table6[[#This Row],[malePullRequests]]</f>
        <v>238.17382413087935</v>
      </c>
      <c r="P47" s="5">
        <f>(Table6[[#This Row],[declinedCount]]/Table6[[#This Row],[PRCount]])*Table6[[#This Row],[malePullRequests]]</f>
        <v>164.82617586912065</v>
      </c>
      <c r="Q47" s="5">
        <f>(Table6[[#This Row],[mergedCount]]/Table6[[#This Row],[PRCount]])*Table6[[#This Row],[femalePullRequests]]</f>
        <v>5.3190184049079754</v>
      </c>
      <c r="R47" s="5">
        <f>(Table6[[#This Row],[declinedCount]]/Table6[[#This Row],[PRCount]])*Table6[[#This Row],[femalePullRequests]]</f>
        <v>3.6809815950920246</v>
      </c>
      <c r="S47">
        <f>(Table6[[#This Row],[maleMergedCount]]-Table6[[#This Row],[male merged expected]])^2/IF(Table6[[#This Row],[male merged expected]]&gt;0,Table6[[#This Row],[male merged expected]],1)</f>
        <v>1.188712468348327</v>
      </c>
      <c r="T47">
        <f>(Table6[[#This Row],[maleDeclinedCount]]-Table6[[#This Row],[male declined expected]])^2/IF(Table6[[#This Row],[male declined expected]]&gt;0,Table6[[#This Row],[male declined expected]],1)</f>
        <v>1.7176895167633328</v>
      </c>
      <c r="U47">
        <f>(Table6[[#This Row],[femaleMergedCount]]-Table6[[#This Row],[female merged expected]])^2/IF(Table6[[#This Row],[female merged expected]]&gt;0,Table6[[#This Row],[female merged expected]],1)</f>
        <v>0.53124447180532275</v>
      </c>
      <c r="V47">
        <f>(Table6[[#This Row],[femaleDeclinedCount]]-Table6[[#This Row],[female declined expected]])^2/IF(Table6[[#This Row],[female declined expected]]&gt;0,Table6[[#This Row],[female declined expected]],1)</f>
        <v>0.76764826175869127</v>
      </c>
      <c r="W47">
        <f t="shared" si="0"/>
        <v>4.2052947186756739</v>
      </c>
      <c r="Y47" s="3">
        <f>IF(PRODUCT(Table6[[#This Row],[maleMergedCount]:[female declined expected]])&gt;0,_xlfn.CHISQ.TEST(Table6[[#This Row],[maleMergedCount]:[femaleDeclinedCount]],Table6[[#This Row],[male merged expected]:[female declined expected]]),"FALSE")</f>
        <v>0.24013231784751551</v>
      </c>
      <c r="AA47" s="2">
        <f>Table6[[#This Row],[maleMergedCount]]/Table6[[#This Row],[male merged expected]]-1</f>
        <v>7.0646620931250848E-2</v>
      </c>
      <c r="AB47" s="2">
        <f>Table6[[#This Row],[maleDeclinedCount]]/Table6[[#This Row],[male declined expected]]-1</f>
        <v>-0.1020843672456575</v>
      </c>
      <c r="AC47" s="2">
        <f>Table6[[#This Row],[femaleMergedCount]]/Table6[[#This Row],[female merged expected]]-1</f>
        <v>0.3160322952710497</v>
      </c>
      <c r="AD47" s="2">
        <f>Table6[[#This Row],[femaleDeclinedCount]]/Table6[[#This Row],[female declined expected]]-1</f>
        <v>-0.45666666666666667</v>
      </c>
      <c r="AF47">
        <f>IF(OR(Table6[[#This Row],[maleMergedCount]]&lt;5,Table6[[#This Row],[maleDeclinedCount]]&lt;5,Table6[[#This Row],[femaleMergedCount]]&lt;5,Table6[[#This Row],[femaleDeclinedCount]]&lt;5,W47&lt;$X$1),0,1)</f>
        <v>0</v>
      </c>
    </row>
    <row r="48" spans="1:32" x14ac:dyDescent="0.2">
      <c r="A48" t="s">
        <v>50</v>
      </c>
      <c r="B48" s="4">
        <v>620</v>
      </c>
      <c r="C48" s="4">
        <v>313</v>
      </c>
      <c r="D48" s="22">
        <f>Table6[[#This Row],[mergedCount]]/Table6[[#This Row],[PRCount]]</f>
        <v>0.50483870967741939</v>
      </c>
      <c r="E48" s="4">
        <v>307</v>
      </c>
      <c r="F48" s="4">
        <v>388</v>
      </c>
      <c r="G48" s="4">
        <v>17</v>
      </c>
      <c r="H48" s="4">
        <v>215</v>
      </c>
      <c r="I48" s="2">
        <f>Table6[[#This Row],[malePullRequests]]/(Table6[[#This Row],[PRCount]]-Table6[[#This Row],[unknownPullRequests]])</f>
        <v>0.9580246913580247</v>
      </c>
      <c r="J48" s="2">
        <f>Table6[[#This Row],[femalePullRequests]]/(Table6[[#This Row],[PRCount]]-Table6[[#This Row],[unknownPullRequests]])</f>
        <v>4.1975308641975309E-2</v>
      </c>
      <c r="K48">
        <v>196</v>
      </c>
      <c r="L48">
        <v>192</v>
      </c>
      <c r="M48">
        <v>8</v>
      </c>
      <c r="N48">
        <v>9</v>
      </c>
      <c r="O48" s="5">
        <f>(Table6[[#This Row],[mergedCount]]/Table6[[#This Row],[PRCount]])*Table6[[#This Row],[malePullRequests]]</f>
        <v>195.87741935483874</v>
      </c>
      <c r="P48" s="5">
        <f>(Table6[[#This Row],[declinedCount]]/Table6[[#This Row],[PRCount]])*Table6[[#This Row],[malePullRequests]]</f>
        <v>192.12258064516129</v>
      </c>
      <c r="Q48" s="5">
        <f>(Table6[[#This Row],[mergedCount]]/Table6[[#This Row],[PRCount]])*Table6[[#This Row],[femalePullRequests]]</f>
        <v>8.5822580645161288</v>
      </c>
      <c r="R48" s="5">
        <f>(Table6[[#This Row],[declinedCount]]/Table6[[#This Row],[PRCount]])*Table6[[#This Row],[femalePullRequests]]</f>
        <v>8.4177419354838712</v>
      </c>
      <c r="S48">
        <f>(Table6[[#This Row],[maleMergedCount]]-Table6[[#This Row],[male merged expected]])^2/IF(Table6[[#This Row],[male merged expected]]&gt;0,Table6[[#This Row],[male merged expected]],1)</f>
        <v>7.6711315769029988E-5</v>
      </c>
      <c r="T48">
        <f>(Table6[[#This Row],[maleDeclinedCount]]-Table6[[#This Row],[male declined expected]])^2/IF(Table6[[#This Row],[male declined expected]]&gt;0,Table6[[#This Row],[male declined expected]],1)</f>
        <v>7.8210559725464245E-5</v>
      </c>
      <c r="U48">
        <f>(Table6[[#This Row],[femaleMergedCount]]-Table6[[#This Row],[female merged expected]])^2/IF(Table6[[#This Row],[female merged expected]]&gt;0,Table6[[#This Row],[female merged expected]],1)</f>
        <v>3.9502943298312804E-2</v>
      </c>
      <c r="V48">
        <f>(Table6[[#This Row],[femaleDeclinedCount]]-Table6[[#This Row],[female declined expected]])^2/IF(Table6[[#This Row],[female declined expected]]&gt;0,Table6[[#This Row],[female declined expected]],1)</f>
        <v>4.027498779274237E-2</v>
      </c>
      <c r="W48">
        <f t="shared" si="0"/>
        <v>7.9932852966549672E-2</v>
      </c>
      <c r="Y48" s="3">
        <f>IF(PRODUCT(Table6[[#This Row],[maleMergedCount]:[female declined expected]])&gt;0,_xlfn.CHISQ.TEST(Table6[[#This Row],[maleMergedCount]:[femaleDeclinedCount]],Table6[[#This Row],[male merged expected]:[female declined expected]]),"FALSE")</f>
        <v>0.99413164644841046</v>
      </c>
      <c r="AA48" s="2">
        <f>Table6[[#This Row],[maleMergedCount]]/Table6[[#This Row],[male merged expected]]-1</f>
        <v>6.258028391685766E-4</v>
      </c>
      <c r="AB48" s="2">
        <f>Table6[[#This Row],[maleDeclinedCount]]/Table6[[#This Row],[male declined expected]]-1</f>
        <v>-6.3803351354985161E-4</v>
      </c>
      <c r="AC48" s="2">
        <f>Table6[[#This Row],[femaleMergedCount]]/Table6[[#This Row],[female merged expected]]-1</f>
        <v>-6.7844390152226985E-2</v>
      </c>
      <c r="AD48" s="2">
        <f>Table6[[#This Row],[femaleDeclinedCount]]/Table6[[#This Row],[female declined expected]]-1</f>
        <v>6.9170339145430138E-2</v>
      </c>
      <c r="AF48">
        <f>IF(OR(Table6[[#This Row],[maleMergedCount]]&lt;5,Table6[[#This Row],[maleDeclinedCount]]&lt;5,Table6[[#This Row],[femaleMergedCount]]&lt;5,Table6[[#This Row],[femaleDeclinedCount]]&lt;5,W48&lt;$X$1),0,1)</f>
        <v>0</v>
      </c>
    </row>
    <row r="49" spans="1:32" x14ac:dyDescent="0.2">
      <c r="A49" t="s">
        <v>51</v>
      </c>
      <c r="B49" s="4">
        <v>528</v>
      </c>
      <c r="C49" s="4">
        <v>320</v>
      </c>
      <c r="D49" s="22">
        <f>Table6[[#This Row],[mergedCount]]/Table6[[#This Row],[PRCount]]</f>
        <v>0.60606060606060608</v>
      </c>
      <c r="E49" s="4">
        <v>208</v>
      </c>
      <c r="F49" s="4">
        <v>392</v>
      </c>
      <c r="G49" s="4">
        <v>12</v>
      </c>
      <c r="H49" s="4">
        <v>124</v>
      </c>
      <c r="I49" s="2">
        <f>Table6[[#This Row],[malePullRequests]]/(Table6[[#This Row],[PRCount]]-Table6[[#This Row],[unknownPullRequests]])</f>
        <v>0.97029702970297027</v>
      </c>
      <c r="J49" s="2">
        <f>Table6[[#This Row],[femalePullRequests]]/(Table6[[#This Row],[PRCount]]-Table6[[#This Row],[unknownPullRequests]])</f>
        <v>2.9702970297029702E-2</v>
      </c>
      <c r="K49">
        <v>255</v>
      </c>
      <c r="L49">
        <v>137</v>
      </c>
      <c r="M49">
        <v>8</v>
      </c>
      <c r="N49">
        <v>4</v>
      </c>
      <c r="O49" s="5">
        <f>(Table6[[#This Row],[mergedCount]]/Table6[[#This Row],[PRCount]])*Table6[[#This Row],[malePullRequests]]</f>
        <v>237.57575757575759</v>
      </c>
      <c r="P49" s="5">
        <f>(Table6[[#This Row],[declinedCount]]/Table6[[#This Row],[PRCount]])*Table6[[#This Row],[malePullRequests]]</f>
        <v>154.42424242424241</v>
      </c>
      <c r="Q49" s="5">
        <f>(Table6[[#This Row],[mergedCount]]/Table6[[#This Row],[PRCount]])*Table6[[#This Row],[femalePullRequests]]</f>
        <v>7.2727272727272734</v>
      </c>
      <c r="R49" s="5">
        <f>(Table6[[#This Row],[declinedCount]]/Table6[[#This Row],[PRCount]])*Table6[[#This Row],[femalePullRequests]]</f>
        <v>4.7272727272727266</v>
      </c>
      <c r="S49">
        <f>(Table6[[#This Row],[maleMergedCount]]-Table6[[#This Row],[male merged expected]])^2/IF(Table6[[#This Row],[male merged expected]]&gt;0,Table6[[#This Row],[male merged expected]],1)</f>
        <v>1.277925943104512</v>
      </c>
      <c r="T49">
        <f>(Table6[[#This Row],[maleDeclinedCount]]-Table6[[#This Row],[male declined expected]])^2/IF(Table6[[#This Row],[male declined expected]]&gt;0,Table6[[#This Row],[male declined expected]],1)</f>
        <v>1.9660399124684802</v>
      </c>
      <c r="U49">
        <f>(Table6[[#This Row],[femaleMergedCount]]-Table6[[#This Row],[female merged expected]])^2/IF(Table6[[#This Row],[female merged expected]]&gt;0,Table6[[#This Row],[female merged expected]],1)</f>
        <v>7.2727272727272585E-2</v>
      </c>
      <c r="V49">
        <f>(Table6[[#This Row],[femaleDeclinedCount]]-Table6[[#This Row],[female declined expected]])^2/IF(Table6[[#This Row],[female declined expected]]&gt;0,Table6[[#This Row],[female declined expected]],1)</f>
        <v>0.11188811188811169</v>
      </c>
      <c r="W49">
        <f t="shared" si="0"/>
        <v>3.4285812401883766</v>
      </c>
      <c r="Y49" s="3">
        <f>IF(PRODUCT(Table6[[#This Row],[maleMergedCount]:[female declined expected]])&gt;0,_xlfn.CHISQ.TEST(Table6[[#This Row],[maleMergedCount]:[femaleDeclinedCount]],Table6[[#This Row],[male merged expected]:[female declined expected]]),"FALSE")</f>
        <v>0.33014370562290751</v>
      </c>
      <c r="AA49" s="2">
        <f>Table6[[#This Row],[maleMergedCount]]/Table6[[#This Row],[male merged expected]]-1</f>
        <v>7.3341836734693855E-2</v>
      </c>
      <c r="AB49" s="2">
        <f>Table6[[#This Row],[maleDeclinedCount]]/Table6[[#This Row],[male declined expected]]-1</f>
        <v>-0.11283359497645207</v>
      </c>
      <c r="AC49" s="2">
        <f>Table6[[#This Row],[femaleMergedCount]]/Table6[[#This Row],[female merged expected]]-1</f>
        <v>9.9999999999999867E-2</v>
      </c>
      <c r="AD49" s="2">
        <f>Table6[[#This Row],[femaleDeclinedCount]]/Table6[[#This Row],[female declined expected]]-1</f>
        <v>-0.15384615384615374</v>
      </c>
      <c r="AF49">
        <f>IF(OR(Table6[[#This Row],[maleMergedCount]]&lt;5,Table6[[#This Row],[maleDeclinedCount]]&lt;5,Table6[[#This Row],[femaleMergedCount]]&lt;5,Table6[[#This Row],[femaleDeclinedCount]]&lt;5,W49&lt;$X$1),0,1)</f>
        <v>0</v>
      </c>
    </row>
    <row r="50" spans="1:32" x14ac:dyDescent="0.2">
      <c r="A50" t="s">
        <v>52</v>
      </c>
      <c r="B50" s="4">
        <v>604</v>
      </c>
      <c r="C50" s="4">
        <v>287</v>
      </c>
      <c r="D50" s="22">
        <f>Table6[[#This Row],[mergedCount]]/Table6[[#This Row],[PRCount]]</f>
        <v>0.47516556291390727</v>
      </c>
      <c r="E50" s="4">
        <v>317</v>
      </c>
      <c r="F50" s="4">
        <v>344</v>
      </c>
      <c r="G50" s="4">
        <v>28</v>
      </c>
      <c r="H50" s="4">
        <v>232</v>
      </c>
      <c r="I50" s="2">
        <f>Table6[[#This Row],[malePullRequests]]/(Table6[[#This Row],[PRCount]]-Table6[[#This Row],[unknownPullRequests]])</f>
        <v>0.92473118279569888</v>
      </c>
      <c r="J50" s="2">
        <f>Table6[[#This Row],[femalePullRequests]]/(Table6[[#This Row],[PRCount]]-Table6[[#This Row],[unknownPullRequests]])</f>
        <v>7.5268817204301078E-2</v>
      </c>
      <c r="K50">
        <v>164</v>
      </c>
      <c r="L50">
        <v>180</v>
      </c>
      <c r="M50">
        <v>15</v>
      </c>
      <c r="N50">
        <v>13</v>
      </c>
      <c r="O50" s="5">
        <f>(Table6[[#This Row],[mergedCount]]/Table6[[#This Row],[PRCount]])*Table6[[#This Row],[malePullRequests]]</f>
        <v>163.45695364238409</v>
      </c>
      <c r="P50" s="5">
        <f>(Table6[[#This Row],[declinedCount]]/Table6[[#This Row],[PRCount]])*Table6[[#This Row],[malePullRequests]]</f>
        <v>180.54304635761588</v>
      </c>
      <c r="Q50" s="5">
        <f>(Table6[[#This Row],[mergedCount]]/Table6[[#This Row],[PRCount]])*Table6[[#This Row],[femalePullRequests]]</f>
        <v>13.304635761589404</v>
      </c>
      <c r="R50" s="5">
        <f>(Table6[[#This Row],[declinedCount]]/Table6[[#This Row],[PRCount]])*Table6[[#This Row],[femalePullRequests]]</f>
        <v>14.695364238410594</v>
      </c>
      <c r="S50">
        <f>(Table6[[#This Row],[maleMergedCount]]-Table6[[#This Row],[male merged expected]])^2/IF(Table6[[#This Row],[male merged expected]]&gt;0,Table6[[#This Row],[male merged expected]],1)</f>
        <v>1.8041407229764785E-3</v>
      </c>
      <c r="T50">
        <f>(Table6[[#This Row],[maleDeclinedCount]]-Table6[[#This Row],[male declined expected]])^2/IF(Table6[[#This Row],[male declined expected]]&gt;0,Table6[[#This Row],[male declined expected]],1)</f>
        <v>1.6334018532939911E-3</v>
      </c>
      <c r="U50">
        <f>(Table6[[#This Row],[femaleMergedCount]]-Table6[[#This Row],[female merged expected]])^2/IF(Table6[[#This Row],[female merged expected]]&gt;0,Table6[[#This Row],[female merged expected]],1)</f>
        <v>0.21603446741319685</v>
      </c>
      <c r="V50">
        <f>(Table6[[#This Row],[femaleDeclinedCount]]-Table6[[#This Row],[female declined expected]])^2/IF(Table6[[#This Row],[female declined expected]]&gt;0,Table6[[#This Row],[female declined expected]],1)</f>
        <v>0.19558956513434506</v>
      </c>
      <c r="W50">
        <f t="shared" si="0"/>
        <v>0.41506157512381237</v>
      </c>
      <c r="Y50" s="3">
        <f>IF(PRODUCT(Table6[[#This Row],[maleMergedCount]:[female declined expected]])&gt;0,_xlfn.CHISQ.TEST(Table6[[#This Row],[maleMergedCount]:[femaleDeclinedCount]],Table6[[#This Row],[male merged expected]:[female declined expected]]),"FALSE")</f>
        <v>0.93711384979430867</v>
      </c>
      <c r="AA50" s="2">
        <f>Table6[[#This Row],[maleMergedCount]]/Table6[[#This Row],[male merged expected]]-1</f>
        <v>3.3222591362127574E-3</v>
      </c>
      <c r="AB50" s="2">
        <f>Table6[[#This Row],[maleDeclinedCount]]/Table6[[#This Row],[male declined expected]]-1</f>
        <v>-3.0078497542366245E-3</v>
      </c>
      <c r="AC50" s="2">
        <f>Table6[[#This Row],[femaleMergedCount]]/Table6[[#This Row],[female merged expected]]-1</f>
        <v>0.12742658038825283</v>
      </c>
      <c r="AD50" s="2">
        <f>Table6[[#This Row],[femaleDeclinedCount]]/Table6[[#This Row],[female declined expected]]-1</f>
        <v>-0.11536728255971151</v>
      </c>
      <c r="AF50">
        <f>IF(OR(Table6[[#This Row],[maleMergedCount]]&lt;5,Table6[[#This Row],[maleDeclinedCount]]&lt;5,Table6[[#This Row],[femaleMergedCount]]&lt;5,Table6[[#This Row],[femaleDeclinedCount]]&lt;5,W50&lt;$X$1),0,1)</f>
        <v>0</v>
      </c>
    </row>
    <row r="51" spans="1:32" x14ac:dyDescent="0.2">
      <c r="A51" t="s">
        <v>53</v>
      </c>
      <c r="B51" s="4">
        <v>816</v>
      </c>
      <c r="C51" s="4">
        <v>430</v>
      </c>
      <c r="D51" s="22">
        <f>Table6[[#This Row],[mergedCount]]/Table6[[#This Row],[PRCount]]</f>
        <v>0.52696078431372551</v>
      </c>
      <c r="E51" s="4">
        <v>386</v>
      </c>
      <c r="F51" s="4">
        <v>314</v>
      </c>
      <c r="G51" s="4">
        <v>48</v>
      </c>
      <c r="H51" s="4">
        <v>454</v>
      </c>
      <c r="I51" s="2">
        <f>Table6[[#This Row],[malePullRequests]]/(Table6[[#This Row],[PRCount]]-Table6[[#This Row],[unknownPullRequests]])</f>
        <v>0.86740331491712708</v>
      </c>
      <c r="J51" s="2">
        <f>Table6[[#This Row],[femalePullRequests]]/(Table6[[#This Row],[PRCount]]-Table6[[#This Row],[unknownPullRequests]])</f>
        <v>0.13259668508287292</v>
      </c>
      <c r="K51">
        <v>171</v>
      </c>
      <c r="L51">
        <v>143</v>
      </c>
      <c r="M51">
        <v>27</v>
      </c>
      <c r="N51">
        <v>21</v>
      </c>
      <c r="O51" s="5">
        <f>(Table6[[#This Row],[mergedCount]]/Table6[[#This Row],[PRCount]])*Table6[[#This Row],[malePullRequests]]</f>
        <v>165.46568627450981</v>
      </c>
      <c r="P51" s="5">
        <f>(Table6[[#This Row],[declinedCount]]/Table6[[#This Row],[PRCount]])*Table6[[#This Row],[malePullRequests]]</f>
        <v>148.53431372549019</v>
      </c>
      <c r="Q51" s="5">
        <f>(Table6[[#This Row],[mergedCount]]/Table6[[#This Row],[PRCount]])*Table6[[#This Row],[femalePullRequests]]</f>
        <v>25.294117647058826</v>
      </c>
      <c r="R51" s="5">
        <f>(Table6[[#This Row],[declinedCount]]/Table6[[#This Row],[PRCount]])*Table6[[#This Row],[femalePullRequests]]</f>
        <v>22.705882352941174</v>
      </c>
      <c r="S51">
        <f>(Table6[[#This Row],[maleMergedCount]]-Table6[[#This Row],[male merged expected]])^2/IF(Table6[[#This Row],[male merged expected]]&gt;0,Table6[[#This Row],[male merged expected]],1)</f>
        <v>0.18510561979198417</v>
      </c>
      <c r="T51">
        <f>(Table6[[#This Row],[maleDeclinedCount]]-Table6[[#This Row],[male declined expected]])^2/IF(Table6[[#This Row],[male declined expected]]&gt;0,Table6[[#This Row],[male declined expected]],1)</f>
        <v>0.20620574225531915</v>
      </c>
      <c r="U51">
        <f>(Table6[[#This Row],[femaleMergedCount]]-Table6[[#This Row],[female merged expected]])^2/IF(Table6[[#This Row],[female merged expected]]&gt;0,Table6[[#This Row],[female merged expected]],1)</f>
        <v>0.11504787961696272</v>
      </c>
      <c r="V51">
        <f>(Table6[[#This Row],[femaleDeclinedCount]]-Table6[[#This Row],[female declined expected]])^2/IF(Table6[[#This Row],[female declined expected]]&gt;0,Table6[[#This Row],[female declined expected]],1)</f>
        <v>0.12816214568729009</v>
      </c>
      <c r="W51">
        <f t="shared" si="0"/>
        <v>0.63452138735155617</v>
      </c>
      <c r="Y51" s="3">
        <f>IF(PRODUCT(Table6[[#This Row],[maleMergedCount]:[female declined expected]])&gt;0,_xlfn.CHISQ.TEST(Table6[[#This Row],[maleMergedCount]:[femaleDeclinedCount]],Table6[[#This Row],[male merged expected]:[female declined expected]]),"FALSE")</f>
        <v>0.88848598234943776</v>
      </c>
      <c r="AA51" s="2">
        <f>Table6[[#This Row],[maleMergedCount]]/Table6[[#This Row],[male merged expected]]-1</f>
        <v>3.3446896756036182E-2</v>
      </c>
      <c r="AB51" s="2">
        <f>Table6[[#This Row],[maleDeclinedCount]]/Table6[[#This Row],[male declined expected]]-1</f>
        <v>-3.7259496386257807E-2</v>
      </c>
      <c r="AC51" s="2">
        <f>Table6[[#This Row],[femaleMergedCount]]/Table6[[#This Row],[female merged expected]]-1</f>
        <v>6.7441860465116132E-2</v>
      </c>
      <c r="AD51" s="2">
        <f>Table6[[#This Row],[femaleDeclinedCount]]/Table6[[#This Row],[female declined expected]]-1</f>
        <v>-7.5129533678756411E-2</v>
      </c>
      <c r="AF51">
        <f>IF(OR(Table6[[#This Row],[maleMergedCount]]&lt;5,Table6[[#This Row],[maleDeclinedCount]]&lt;5,Table6[[#This Row],[femaleMergedCount]]&lt;5,Table6[[#This Row],[femaleDeclinedCount]]&lt;5,W51&lt;$X$1),0,1)</f>
        <v>0</v>
      </c>
    </row>
    <row r="52" spans="1:32" x14ac:dyDescent="0.2">
      <c r="A52" t="s">
        <v>54</v>
      </c>
      <c r="B52" s="4">
        <v>495</v>
      </c>
      <c r="C52" s="4">
        <v>229</v>
      </c>
      <c r="D52" s="22">
        <f>Table6[[#This Row],[mergedCount]]/Table6[[#This Row],[PRCount]]</f>
        <v>0.46262626262626261</v>
      </c>
      <c r="E52" s="4">
        <v>266</v>
      </c>
      <c r="F52" s="4">
        <v>305</v>
      </c>
      <c r="G52" s="4">
        <v>27</v>
      </c>
      <c r="H52" s="4">
        <v>163</v>
      </c>
      <c r="I52" s="2">
        <f>Table6[[#This Row],[malePullRequests]]/(Table6[[#This Row],[PRCount]]-Table6[[#This Row],[unknownPullRequests]])</f>
        <v>0.91867469879518071</v>
      </c>
      <c r="J52" s="2">
        <f>Table6[[#This Row],[femalePullRequests]]/(Table6[[#This Row],[PRCount]]-Table6[[#This Row],[unknownPullRequests]])</f>
        <v>8.1325301204819275E-2</v>
      </c>
      <c r="K52">
        <v>160</v>
      </c>
      <c r="L52">
        <v>145</v>
      </c>
      <c r="M52">
        <v>12</v>
      </c>
      <c r="N52">
        <v>15</v>
      </c>
      <c r="O52" s="5">
        <f>(Table6[[#This Row],[mergedCount]]/Table6[[#This Row],[PRCount]])*Table6[[#This Row],[malePullRequests]]</f>
        <v>141.1010101010101</v>
      </c>
      <c r="P52" s="5">
        <f>(Table6[[#This Row],[declinedCount]]/Table6[[#This Row],[PRCount]])*Table6[[#This Row],[malePullRequests]]</f>
        <v>163.8989898989899</v>
      </c>
      <c r="Q52" s="5">
        <f>(Table6[[#This Row],[mergedCount]]/Table6[[#This Row],[PRCount]])*Table6[[#This Row],[femalePullRequests]]</f>
        <v>12.49090909090909</v>
      </c>
      <c r="R52" s="5">
        <f>(Table6[[#This Row],[declinedCount]]/Table6[[#This Row],[PRCount]])*Table6[[#This Row],[femalePullRequests]]</f>
        <v>14.50909090909091</v>
      </c>
      <c r="S52">
        <f>(Table6[[#This Row],[maleMergedCount]]-Table6[[#This Row],[male merged expected]])^2/IF(Table6[[#This Row],[male merged expected]]&gt;0,Table6[[#This Row],[male merged expected]],1)</f>
        <v>2.5313200730911372</v>
      </c>
      <c r="T52">
        <f>(Table6[[#This Row],[maleDeclinedCount]]-Table6[[#This Row],[male declined expected]])^2/IF(Table6[[#This Row],[male declined expected]]&gt;0,Table6[[#This Row],[male declined expected]],1)</f>
        <v>2.1792191606686857</v>
      </c>
      <c r="U52">
        <f>(Table6[[#This Row],[femaleMergedCount]]-Table6[[#This Row],[female merged expected]])^2/IF(Table6[[#This Row],[female merged expected]]&gt;0,Table6[[#This Row],[female merged expected]],1)</f>
        <v>1.9293370385073394E-2</v>
      </c>
      <c r="V52">
        <f>(Table6[[#This Row],[femaleDeclinedCount]]-Table6[[#This Row],[female declined expected]])^2/IF(Table6[[#This Row],[female declined expected]]&gt;0,Table6[[#This Row],[female declined expected]],1)</f>
        <v>1.6609706083390251E-2</v>
      </c>
      <c r="W52">
        <f t="shared" si="0"/>
        <v>4.7464423102282858</v>
      </c>
      <c r="Y52" s="3">
        <f>IF(PRODUCT(Table6[[#This Row],[maleMergedCount]:[female declined expected]])&gt;0,_xlfn.CHISQ.TEST(Table6[[#This Row],[maleMergedCount]:[femaleDeclinedCount]],Table6[[#This Row],[male merged expected]:[female declined expected]]),"FALSE")</f>
        <v>0.19133368102691697</v>
      </c>
      <c r="AA52" s="2">
        <f>Table6[[#This Row],[maleMergedCount]]/Table6[[#This Row],[male merged expected]]-1</f>
        <v>0.13393943732550651</v>
      </c>
      <c r="AB52" s="2">
        <f>Table6[[#This Row],[maleDeclinedCount]]/Table6[[#This Row],[male declined expected]]-1</f>
        <v>-0.11530876371256005</v>
      </c>
      <c r="AC52" s="2">
        <f>Table6[[#This Row],[femaleMergedCount]]/Table6[[#This Row],[female merged expected]]-1</f>
        <v>-3.9301310043668103E-2</v>
      </c>
      <c r="AD52" s="2">
        <f>Table6[[#This Row],[femaleDeclinedCount]]/Table6[[#This Row],[female declined expected]]-1</f>
        <v>3.3834586466165328E-2</v>
      </c>
      <c r="AF52">
        <f>IF(OR(Table6[[#This Row],[maleMergedCount]]&lt;5,Table6[[#This Row],[maleDeclinedCount]]&lt;5,Table6[[#This Row],[femaleMergedCount]]&lt;5,Table6[[#This Row],[femaleDeclinedCount]]&lt;5,W52&lt;$X$1),0,1)</f>
        <v>0</v>
      </c>
    </row>
    <row r="53" spans="1:32" x14ac:dyDescent="0.2">
      <c r="A53" t="s">
        <v>55</v>
      </c>
      <c r="B53" s="4">
        <v>373</v>
      </c>
      <c r="C53" s="4">
        <v>321</v>
      </c>
      <c r="D53" s="22">
        <f>Table6[[#This Row],[mergedCount]]/Table6[[#This Row],[PRCount]]</f>
        <v>0.8605898123324397</v>
      </c>
      <c r="E53" s="4">
        <v>52</v>
      </c>
      <c r="F53" s="4">
        <v>325</v>
      </c>
      <c r="G53" s="4">
        <v>3</v>
      </c>
      <c r="H53" s="4">
        <v>45</v>
      </c>
      <c r="I53" s="2">
        <f>Table6[[#This Row],[malePullRequests]]/(Table6[[#This Row],[PRCount]]-Table6[[#This Row],[unknownPullRequests]])</f>
        <v>0.99085365853658536</v>
      </c>
      <c r="J53" s="2">
        <f>Table6[[#This Row],[femalePullRequests]]/(Table6[[#This Row],[PRCount]]-Table6[[#This Row],[unknownPullRequests]])</f>
        <v>9.1463414634146336E-3</v>
      </c>
      <c r="K53">
        <v>283</v>
      </c>
      <c r="L53">
        <v>42</v>
      </c>
      <c r="M53">
        <v>1</v>
      </c>
      <c r="N53">
        <v>2</v>
      </c>
      <c r="O53" s="5">
        <f>(Table6[[#This Row],[mergedCount]]/Table6[[#This Row],[PRCount]])*Table6[[#This Row],[malePullRequests]]</f>
        <v>279.69168900804289</v>
      </c>
      <c r="P53" s="5">
        <f>(Table6[[#This Row],[declinedCount]]/Table6[[#This Row],[PRCount]])*Table6[[#This Row],[malePullRequests]]</f>
        <v>45.308310991957107</v>
      </c>
      <c r="Q53" s="5">
        <f>(Table6[[#This Row],[mergedCount]]/Table6[[#This Row],[PRCount]])*Table6[[#This Row],[femalePullRequests]]</f>
        <v>2.5817694369973192</v>
      </c>
      <c r="R53" s="5">
        <f>(Table6[[#This Row],[declinedCount]]/Table6[[#This Row],[PRCount]])*Table6[[#This Row],[femalePullRequests]]</f>
        <v>0.41823056300268102</v>
      </c>
      <c r="S53">
        <f>(Table6[[#This Row],[maleMergedCount]]-Table6[[#This Row],[male merged expected]])^2/IF(Table6[[#This Row],[male merged expected]]&gt;0,Table6[[#This Row],[male merged expected]],1)</f>
        <v>3.9132094551402742E-2</v>
      </c>
      <c r="T53">
        <f>(Table6[[#This Row],[maleDeclinedCount]]-Table6[[#This Row],[male declined expected]])^2/IF(Table6[[#This Row],[male declined expected]]&gt;0,Table6[[#This Row],[male declined expected]],1)</f>
        <v>0.24156542982692744</v>
      </c>
      <c r="U53">
        <f>(Table6[[#This Row],[femaleMergedCount]]-Table6[[#This Row],[female merged expected]])^2/IF(Table6[[#This Row],[female merged expected]]&gt;0,Table6[[#This Row],[female merged expected]],1)</f>
        <v>0.9691006934874542</v>
      </c>
      <c r="V53">
        <f>(Table6[[#This Row],[femaleDeclinedCount]]-Table6[[#This Row],[female declined expected]])^2/IF(Table6[[#This Row],[female declined expected]]&gt;0,Table6[[#This Row],[female declined expected]],1)</f>
        <v>5.9823331271052433</v>
      </c>
      <c r="W53">
        <f t="shared" si="0"/>
        <v>7.2321313449710276</v>
      </c>
      <c r="Y53" s="3">
        <f>IF(PRODUCT(Table6[[#This Row],[maleMergedCount]:[female declined expected]])&gt;0,_xlfn.CHISQ.TEST(Table6[[#This Row],[maleMergedCount]:[femaleDeclinedCount]],Table6[[#This Row],[male merged expected]:[female declined expected]]),"FALSE")</f>
        <v>6.4855704377600354E-2</v>
      </c>
      <c r="AA53" s="2">
        <f>Table6[[#This Row],[maleMergedCount]]/Table6[[#This Row],[male merged expected]]-1</f>
        <v>1.1828420800383377E-2</v>
      </c>
      <c r="AB53" s="2">
        <f>Table6[[#This Row],[maleDeclinedCount]]/Table6[[#This Row],[male declined expected]]-1</f>
        <v>-7.3017751479290016E-2</v>
      </c>
      <c r="AC53" s="2">
        <f>Table6[[#This Row],[femaleMergedCount]]/Table6[[#This Row],[female merged expected]]-1</f>
        <v>-0.612668743509865</v>
      </c>
      <c r="AD53" s="2">
        <f>Table6[[#This Row],[femaleDeclinedCount]]/Table6[[#This Row],[female declined expected]]-1</f>
        <v>3.782051282051281</v>
      </c>
      <c r="AF53">
        <f>IF(OR(Table6[[#This Row],[maleMergedCount]]&lt;5,Table6[[#This Row],[maleDeclinedCount]]&lt;5,Table6[[#This Row],[femaleMergedCount]]&lt;5,Table6[[#This Row],[femaleDeclinedCount]]&lt;5,W53&lt;$X$1),0,1)</f>
        <v>0</v>
      </c>
    </row>
    <row r="54" spans="1:32" x14ac:dyDescent="0.2">
      <c r="A54" t="s">
        <v>56</v>
      </c>
      <c r="B54" s="4">
        <v>597</v>
      </c>
      <c r="C54" s="4">
        <v>469</v>
      </c>
      <c r="D54" s="22">
        <f>Table6[[#This Row],[mergedCount]]/Table6[[#This Row],[PRCount]]</f>
        <v>0.78559463986599665</v>
      </c>
      <c r="E54" s="4">
        <v>128</v>
      </c>
      <c r="F54" s="4">
        <v>319</v>
      </c>
      <c r="G54" s="4">
        <v>7</v>
      </c>
      <c r="H54" s="4">
        <v>271</v>
      </c>
      <c r="I54" s="2">
        <f>Table6[[#This Row],[malePullRequests]]/(Table6[[#This Row],[PRCount]]-Table6[[#This Row],[unknownPullRequests]])</f>
        <v>0.9785276073619632</v>
      </c>
      <c r="J54" s="2">
        <f>Table6[[#This Row],[femalePullRequests]]/(Table6[[#This Row],[PRCount]]-Table6[[#This Row],[unknownPullRequests]])</f>
        <v>2.1472392638036811E-2</v>
      </c>
      <c r="K54">
        <v>264</v>
      </c>
      <c r="L54">
        <v>55</v>
      </c>
      <c r="M54">
        <v>2</v>
      </c>
      <c r="N54">
        <v>5</v>
      </c>
      <c r="O54" s="5">
        <f>(Table6[[#This Row],[mergedCount]]/Table6[[#This Row],[PRCount]])*Table6[[#This Row],[malePullRequests]]</f>
        <v>250.60469011725294</v>
      </c>
      <c r="P54" s="5">
        <f>(Table6[[#This Row],[declinedCount]]/Table6[[#This Row],[PRCount]])*Table6[[#This Row],[malePullRequests]]</f>
        <v>68.395309882747071</v>
      </c>
      <c r="Q54" s="5">
        <f>(Table6[[#This Row],[mergedCount]]/Table6[[#This Row],[PRCount]])*Table6[[#This Row],[femalePullRequests]]</f>
        <v>5.4991624790619769</v>
      </c>
      <c r="R54" s="5">
        <f>(Table6[[#This Row],[declinedCount]]/Table6[[#This Row],[PRCount]])*Table6[[#This Row],[femalePullRequests]]</f>
        <v>1.5008375209380236</v>
      </c>
      <c r="S54">
        <f>(Table6[[#This Row],[maleMergedCount]]-Table6[[#This Row],[male merged expected]])^2/IF(Table6[[#This Row],[male merged expected]]&gt;0,Table6[[#This Row],[male merged expected]],1)</f>
        <v>0.71600546171289614</v>
      </c>
      <c r="T54">
        <f>(Table6[[#This Row],[maleDeclinedCount]]-Table6[[#This Row],[male declined expected]])^2/IF(Table6[[#This Row],[male declined expected]]&gt;0,Table6[[#This Row],[male declined expected]],1)</f>
        <v>2.6234887620574145</v>
      </c>
      <c r="U54">
        <f>(Table6[[#This Row],[femaleMergedCount]]-Table6[[#This Row],[female merged expected]])^2/IF(Table6[[#This Row],[female merged expected]]&gt;0,Table6[[#This Row],[female merged expected]],1)</f>
        <v>2.2265459697716934</v>
      </c>
      <c r="V54">
        <f>(Table6[[#This Row],[femaleDeclinedCount]]-Table6[[#This Row],[female declined expected]])^2/IF(Table6[[#This Row],[female declined expected]]&gt;0,Table6[[#This Row],[female declined expected]],1)</f>
        <v>8.1582035923665934</v>
      </c>
      <c r="W54">
        <f t="shared" si="0"/>
        <v>13.724243785908598</v>
      </c>
      <c r="Y54" s="3">
        <f>IF(PRODUCT(Table6[[#This Row],[maleMergedCount]:[female declined expected]])&gt;0,_xlfn.CHISQ.TEST(Table6[[#This Row],[maleMergedCount]:[femaleDeclinedCount]],Table6[[#This Row],[male merged expected]:[female declined expected]]),"FALSE")</f>
        <v>3.3055778312109864E-3</v>
      </c>
      <c r="AA54" s="2">
        <f>Table6[[#This Row],[maleMergedCount]]/Table6[[#This Row],[male merged expected]]-1</f>
        <v>5.3451952062348207E-2</v>
      </c>
      <c r="AB54" s="2">
        <f>Table6[[#This Row],[maleDeclinedCount]]/Table6[[#This Row],[male declined expected]]-1</f>
        <v>-0.19585129310344829</v>
      </c>
      <c r="AC54" s="2">
        <f>Table6[[#This Row],[femaleMergedCount]]/Table6[[#This Row],[female merged expected]]-1</f>
        <v>-0.63630825464514174</v>
      </c>
      <c r="AD54" s="2">
        <f>Table6[[#This Row],[femaleDeclinedCount]]/Table6[[#This Row],[female declined expected]]-1</f>
        <v>2.331473214285714</v>
      </c>
      <c r="AF54">
        <f>IF(OR(Table6[[#This Row],[maleMergedCount]]&lt;5,Table6[[#This Row],[maleDeclinedCount]]&lt;5,Table6[[#This Row],[femaleMergedCount]]&lt;5,Table6[[#This Row],[femaleDeclinedCount]]&lt;5,W54&lt;$X$1),0,1)</f>
        <v>0</v>
      </c>
    </row>
    <row r="55" spans="1:32" x14ac:dyDescent="0.2">
      <c r="A55" t="s">
        <v>57</v>
      </c>
      <c r="B55" s="4">
        <v>501</v>
      </c>
      <c r="C55" s="4">
        <v>281</v>
      </c>
      <c r="D55" s="22">
        <f>Table6[[#This Row],[mergedCount]]/Table6[[#This Row],[PRCount]]</f>
        <v>0.56087824351297411</v>
      </c>
      <c r="E55" s="4">
        <v>220</v>
      </c>
      <c r="F55" s="4">
        <v>280</v>
      </c>
      <c r="G55" s="4">
        <v>26</v>
      </c>
      <c r="H55" s="4">
        <v>195</v>
      </c>
      <c r="I55" s="2">
        <f>Table6[[#This Row],[malePullRequests]]/(Table6[[#This Row],[PRCount]]-Table6[[#This Row],[unknownPullRequests]])</f>
        <v>0.91503267973856206</v>
      </c>
      <c r="J55" s="2">
        <f>Table6[[#This Row],[femalePullRequests]]/(Table6[[#This Row],[PRCount]]-Table6[[#This Row],[unknownPullRequests]])</f>
        <v>8.4967320261437912E-2</v>
      </c>
      <c r="K55">
        <v>170</v>
      </c>
      <c r="L55">
        <v>110</v>
      </c>
      <c r="M55">
        <v>14</v>
      </c>
      <c r="N55">
        <v>12</v>
      </c>
      <c r="O55" s="5">
        <f>(Table6[[#This Row],[mergedCount]]/Table6[[#This Row],[PRCount]])*Table6[[#This Row],[malePullRequests]]</f>
        <v>157.04590818363275</v>
      </c>
      <c r="P55" s="5">
        <f>(Table6[[#This Row],[declinedCount]]/Table6[[#This Row],[PRCount]])*Table6[[#This Row],[malePullRequests]]</f>
        <v>122.95409181636727</v>
      </c>
      <c r="Q55" s="5">
        <f>(Table6[[#This Row],[mergedCount]]/Table6[[#This Row],[PRCount]])*Table6[[#This Row],[femalePullRequests]]</f>
        <v>14.582834331337327</v>
      </c>
      <c r="R55" s="5">
        <f>(Table6[[#This Row],[declinedCount]]/Table6[[#This Row],[PRCount]])*Table6[[#This Row],[femalePullRequests]]</f>
        <v>11.417165668662674</v>
      </c>
      <c r="S55">
        <f>(Table6[[#This Row],[maleMergedCount]]-Table6[[#This Row],[male merged expected]])^2/IF(Table6[[#This Row],[male merged expected]]&gt;0,Table6[[#This Row],[male merged expected]],1)</f>
        <v>1.0685314678218529</v>
      </c>
      <c r="T55">
        <f>(Table6[[#This Row],[maleDeclinedCount]]-Table6[[#This Row],[male declined expected]])^2/IF(Table6[[#This Row],[male declined expected]]&gt;0,Table6[[#This Row],[male declined expected]],1)</f>
        <v>1.3648061020815516</v>
      </c>
      <c r="U55">
        <f>(Table6[[#This Row],[femaleMergedCount]]-Table6[[#This Row],[female merged expected]])^2/IF(Table6[[#This Row],[female merged expected]]&gt;0,Table6[[#This Row],[female merged expected]],1)</f>
        <v>2.3294227313235719E-2</v>
      </c>
      <c r="V55">
        <f>(Table6[[#This Row],[femaleDeclinedCount]]-Table6[[#This Row],[female declined expected]])^2/IF(Table6[[#This Row],[female declined expected]]&gt;0,Table6[[#This Row],[female declined expected]],1)</f>
        <v>2.9753081250087268E-2</v>
      </c>
      <c r="W55">
        <f t="shared" si="0"/>
        <v>2.4863848784667275</v>
      </c>
      <c r="Y55" s="3">
        <f>IF(PRODUCT(Table6[[#This Row],[maleMergedCount]:[female declined expected]])&gt;0,_xlfn.CHISQ.TEST(Table6[[#This Row],[maleMergedCount]:[femaleDeclinedCount]],Table6[[#This Row],[male merged expected]:[female declined expected]]),"FALSE")</f>
        <v>0.47775666653293647</v>
      </c>
      <c r="AA55" s="2">
        <f>Table6[[#This Row],[maleMergedCount]]/Table6[[#This Row],[male merged expected]]-1</f>
        <v>8.248601931875954E-2</v>
      </c>
      <c r="AB55" s="2">
        <f>Table6[[#This Row],[maleDeclinedCount]]/Table6[[#This Row],[male declined expected]]-1</f>
        <v>-0.10535714285714282</v>
      </c>
      <c r="AC55" s="2">
        <f>Table6[[#This Row],[femaleMergedCount]]/Table6[[#This Row],[female merged expected]]-1</f>
        <v>-3.9967150287435138E-2</v>
      </c>
      <c r="AD55" s="2">
        <f>Table6[[#This Row],[femaleDeclinedCount]]/Table6[[#This Row],[female declined expected]]-1</f>
        <v>5.104895104895113E-2</v>
      </c>
      <c r="AF55">
        <f>IF(OR(Table6[[#This Row],[maleMergedCount]]&lt;5,Table6[[#This Row],[maleDeclinedCount]]&lt;5,Table6[[#This Row],[femaleMergedCount]]&lt;5,Table6[[#This Row],[femaleDeclinedCount]]&lt;5,W55&lt;$X$1),0,1)</f>
        <v>0</v>
      </c>
    </row>
    <row r="56" spans="1:32" x14ac:dyDescent="0.2">
      <c r="A56" t="s">
        <v>58</v>
      </c>
      <c r="B56" s="4">
        <v>460</v>
      </c>
      <c r="C56" s="4">
        <v>315</v>
      </c>
      <c r="D56" s="22">
        <f>Table6[[#This Row],[mergedCount]]/Table6[[#This Row],[PRCount]]</f>
        <v>0.68478260869565222</v>
      </c>
      <c r="E56" s="4">
        <v>145</v>
      </c>
      <c r="F56" s="4">
        <v>273</v>
      </c>
      <c r="G56" s="4">
        <v>26</v>
      </c>
      <c r="H56" s="4">
        <v>161</v>
      </c>
      <c r="I56" s="2">
        <f>Table6[[#This Row],[malePullRequests]]/(Table6[[#This Row],[PRCount]]-Table6[[#This Row],[unknownPullRequests]])</f>
        <v>0.91304347826086951</v>
      </c>
      <c r="J56" s="2">
        <f>Table6[[#This Row],[femalePullRequests]]/(Table6[[#This Row],[PRCount]]-Table6[[#This Row],[unknownPullRequests]])</f>
        <v>8.6956521739130432E-2</v>
      </c>
      <c r="K56">
        <v>187</v>
      </c>
      <c r="L56">
        <v>86</v>
      </c>
      <c r="M56">
        <v>18</v>
      </c>
      <c r="N56">
        <v>8</v>
      </c>
      <c r="O56" s="5">
        <f>(Table6[[#This Row],[mergedCount]]/Table6[[#This Row],[PRCount]])*Table6[[#This Row],[malePullRequests]]</f>
        <v>186.94565217391306</v>
      </c>
      <c r="P56" s="5">
        <f>(Table6[[#This Row],[declinedCount]]/Table6[[#This Row],[PRCount]])*Table6[[#This Row],[malePullRequests]]</f>
        <v>86.054347826086953</v>
      </c>
      <c r="Q56" s="5">
        <f>(Table6[[#This Row],[mergedCount]]/Table6[[#This Row],[PRCount]])*Table6[[#This Row],[femalePullRequests]]</f>
        <v>17.804347826086957</v>
      </c>
      <c r="R56" s="5">
        <f>(Table6[[#This Row],[declinedCount]]/Table6[[#This Row],[PRCount]])*Table6[[#This Row],[femalePullRequests]]</f>
        <v>8.195652173913043</v>
      </c>
      <c r="S56">
        <f>(Table6[[#This Row],[maleMergedCount]]-Table6[[#This Row],[male merged expected]])^2/IF(Table6[[#This Row],[male merged expected]]&gt;0,Table6[[#This Row],[male merged expected]],1)</f>
        <v>1.579970524068897E-5</v>
      </c>
      <c r="T56">
        <f>(Table6[[#This Row],[maleDeclinedCount]]-Table6[[#This Row],[male declined expected]])^2/IF(Table6[[#This Row],[male declined expected]]&gt;0,Table6[[#This Row],[male declined expected]],1)</f>
        <v>3.4323497591859511E-5</v>
      </c>
      <c r="U56">
        <f>(Table6[[#This Row],[femaleMergedCount]]-Table6[[#This Row],[female merged expected]])^2/IF(Table6[[#This Row],[female merged expected]]&gt;0,Table6[[#This Row],[female merged expected]],1)</f>
        <v>2.1500238891543136E-3</v>
      </c>
      <c r="V56">
        <f>(Table6[[#This Row],[femaleDeclinedCount]]-Table6[[#This Row],[female declined expected]])^2/IF(Table6[[#This Row],[female declined expected]]&gt;0,Table6[[#This Row],[female declined expected]],1)</f>
        <v>4.6707415523007511E-3</v>
      </c>
      <c r="W56">
        <f t="shared" si="0"/>
        <v>6.8708886442876132E-3</v>
      </c>
      <c r="Y56" s="3">
        <f>IF(PRODUCT(Table6[[#This Row],[maleMergedCount]:[female declined expected]])&gt;0,_xlfn.CHISQ.TEST(Table6[[#This Row],[maleMergedCount]:[femaleDeclinedCount]],Table6[[#This Row],[male merged expected]:[female declined expected]]),"FALSE")</f>
        <v>0.99984883781848322</v>
      </c>
      <c r="AA56" s="2">
        <f>Table6[[#This Row],[maleMergedCount]]/Table6[[#This Row],[male merged expected]]-1</f>
        <v>2.9071457642881882E-4</v>
      </c>
      <c r="AB56" s="2">
        <f>Table6[[#This Row],[maleDeclinedCount]]/Table6[[#This Row],[male declined expected]]-1</f>
        <v>-6.3155235569023471E-4</v>
      </c>
      <c r="AC56" s="2">
        <f>Table6[[#This Row],[femaleMergedCount]]/Table6[[#This Row],[female merged expected]]-1</f>
        <v>1.098901098901095E-2</v>
      </c>
      <c r="AD56" s="2">
        <f>Table6[[#This Row],[femaleDeclinedCount]]/Table6[[#This Row],[female declined expected]]-1</f>
        <v>-2.3872679045092826E-2</v>
      </c>
      <c r="AF56">
        <f>IF(OR(Table6[[#This Row],[maleMergedCount]]&lt;5,Table6[[#This Row],[maleDeclinedCount]]&lt;5,Table6[[#This Row],[femaleMergedCount]]&lt;5,Table6[[#This Row],[femaleDeclinedCount]]&lt;5,W56&lt;$X$1),0,1)</f>
        <v>0</v>
      </c>
    </row>
    <row r="57" spans="1:32" x14ac:dyDescent="0.2">
      <c r="A57" t="s">
        <v>59</v>
      </c>
      <c r="B57" s="4">
        <v>479</v>
      </c>
      <c r="C57" s="4">
        <v>342</v>
      </c>
      <c r="D57" s="22">
        <f>Table6[[#This Row],[mergedCount]]/Table6[[#This Row],[PRCount]]</f>
        <v>0.71398747390396655</v>
      </c>
      <c r="E57" s="4">
        <v>137</v>
      </c>
      <c r="F57" s="4">
        <v>288</v>
      </c>
      <c r="G57" s="4">
        <v>10</v>
      </c>
      <c r="H57" s="4">
        <v>181</v>
      </c>
      <c r="I57" s="2">
        <f>Table6[[#This Row],[malePullRequests]]/(Table6[[#This Row],[PRCount]]-Table6[[#This Row],[unknownPullRequests]])</f>
        <v>0.96644295302013428</v>
      </c>
      <c r="J57" s="2">
        <f>Table6[[#This Row],[femalePullRequests]]/(Table6[[#This Row],[PRCount]]-Table6[[#This Row],[unknownPullRequests]])</f>
        <v>3.3557046979865772E-2</v>
      </c>
      <c r="K57">
        <v>226</v>
      </c>
      <c r="L57">
        <v>62</v>
      </c>
      <c r="M57">
        <v>5</v>
      </c>
      <c r="N57">
        <v>5</v>
      </c>
      <c r="O57" s="5">
        <f>(Table6[[#This Row],[mergedCount]]/Table6[[#This Row],[PRCount]])*Table6[[#This Row],[malePullRequests]]</f>
        <v>205.62839248434236</v>
      </c>
      <c r="P57" s="5">
        <f>(Table6[[#This Row],[declinedCount]]/Table6[[#This Row],[PRCount]])*Table6[[#This Row],[malePullRequests]]</f>
        <v>82.371607515657615</v>
      </c>
      <c r="Q57" s="5">
        <f>(Table6[[#This Row],[mergedCount]]/Table6[[#This Row],[PRCount]])*Table6[[#This Row],[femalePullRequests]]</f>
        <v>7.1398747390396657</v>
      </c>
      <c r="R57" s="5">
        <f>(Table6[[#This Row],[declinedCount]]/Table6[[#This Row],[PRCount]])*Table6[[#This Row],[femalePullRequests]]</f>
        <v>2.8601252609603338</v>
      </c>
      <c r="S57">
        <f>(Table6[[#This Row],[maleMergedCount]]-Table6[[#This Row],[male merged expected]])^2/IF(Table6[[#This Row],[male merged expected]]&gt;0,Table6[[#This Row],[male merged expected]],1)</f>
        <v>2.0182154213144448</v>
      </c>
      <c r="T57">
        <f>(Table6[[#This Row],[maleDeclinedCount]]-Table6[[#This Row],[male declined expected]])^2/IF(Table6[[#This Row],[male declined expected]]&gt;0,Table6[[#This Row],[male declined expected]],1)</f>
        <v>5.0381728035732714</v>
      </c>
      <c r="U57">
        <f>(Table6[[#This Row],[femaleMergedCount]]-Table6[[#This Row],[female merged expected]])^2/IF(Table6[[#This Row],[female merged expected]]&gt;0,Table6[[#This Row],[female merged expected]],1)</f>
        <v>0.64133672734375946</v>
      </c>
      <c r="V57">
        <f>(Table6[[#This Row],[femaleDeclinedCount]]-Table6[[#This Row],[female declined expected]])^2/IF(Table6[[#This Row],[female declined expected]]&gt;0,Table6[[#This Row],[female declined expected]],1)</f>
        <v>1.6010011733690936</v>
      </c>
      <c r="W57">
        <f t="shared" si="0"/>
        <v>9.2987261256005684</v>
      </c>
      <c r="Y57" s="3">
        <f>IF(PRODUCT(Table6[[#This Row],[maleMergedCount]:[female declined expected]])&gt;0,_xlfn.CHISQ.TEST(Table6[[#This Row],[maleMergedCount]:[femaleDeclinedCount]],Table6[[#This Row],[male merged expected]:[female declined expected]]),"FALSE")</f>
        <v>2.5571850975576776E-2</v>
      </c>
      <c r="AA57" s="2">
        <f>Table6[[#This Row],[maleMergedCount]]/Table6[[#This Row],[male merged expected]]-1</f>
        <v>9.9070012995451817E-2</v>
      </c>
      <c r="AB57" s="2">
        <f>Table6[[#This Row],[maleDeclinedCount]]/Table6[[#This Row],[male declined expected]]-1</f>
        <v>-0.24731346309813462</v>
      </c>
      <c r="AC57" s="2">
        <f>Table6[[#This Row],[femaleMergedCount]]/Table6[[#This Row],[female merged expected]]-1</f>
        <v>-0.29970760233918126</v>
      </c>
      <c r="AD57" s="2">
        <f>Table6[[#This Row],[femaleDeclinedCount]]/Table6[[#This Row],[female declined expected]]-1</f>
        <v>0.74817518248175197</v>
      </c>
      <c r="AF57">
        <f>IF(OR(Table6[[#This Row],[maleMergedCount]]&lt;5,Table6[[#This Row],[maleDeclinedCount]]&lt;5,Table6[[#This Row],[femaleMergedCount]]&lt;5,Table6[[#This Row],[femaleDeclinedCount]]&lt;5,W57&lt;$X$1),0,1)</f>
        <v>1</v>
      </c>
    </row>
    <row r="58" spans="1:32" x14ac:dyDescent="0.2">
      <c r="A58" t="s">
        <v>60</v>
      </c>
      <c r="B58" s="4">
        <v>451</v>
      </c>
      <c r="C58" s="4">
        <v>337</v>
      </c>
      <c r="D58" s="22">
        <f>Table6[[#This Row],[mergedCount]]/Table6[[#This Row],[PRCount]]</f>
        <v>0.74722838137472281</v>
      </c>
      <c r="E58" s="4">
        <v>114</v>
      </c>
      <c r="F58" s="4">
        <v>274</v>
      </c>
      <c r="G58" s="4">
        <v>18</v>
      </c>
      <c r="H58" s="4">
        <v>159</v>
      </c>
      <c r="I58" s="2">
        <f>Table6[[#This Row],[malePullRequests]]/(Table6[[#This Row],[PRCount]]-Table6[[#This Row],[unknownPullRequests]])</f>
        <v>0.93835616438356162</v>
      </c>
      <c r="J58" s="2">
        <f>Table6[[#This Row],[femalePullRequests]]/(Table6[[#This Row],[PRCount]]-Table6[[#This Row],[unknownPullRequests]])</f>
        <v>6.1643835616438353E-2</v>
      </c>
      <c r="K58">
        <v>210</v>
      </c>
      <c r="L58">
        <v>64</v>
      </c>
      <c r="M58">
        <v>14</v>
      </c>
      <c r="N58">
        <v>4</v>
      </c>
      <c r="O58" s="5">
        <f>(Table6[[#This Row],[mergedCount]]/Table6[[#This Row],[PRCount]])*Table6[[#This Row],[malePullRequests]]</f>
        <v>204.74057649667404</v>
      </c>
      <c r="P58" s="5">
        <f>(Table6[[#This Row],[declinedCount]]/Table6[[#This Row],[PRCount]])*Table6[[#This Row],[malePullRequests]]</f>
        <v>69.259423503325934</v>
      </c>
      <c r="Q58" s="5">
        <f>(Table6[[#This Row],[mergedCount]]/Table6[[#This Row],[PRCount]])*Table6[[#This Row],[femalePullRequests]]</f>
        <v>13.45011086474501</v>
      </c>
      <c r="R58" s="5">
        <f>(Table6[[#This Row],[declinedCount]]/Table6[[#This Row],[PRCount]])*Table6[[#This Row],[femalePullRequests]]</f>
        <v>4.5498891352549888</v>
      </c>
      <c r="S58">
        <f>(Table6[[#This Row],[maleMergedCount]]-Table6[[#This Row],[male merged expected]])^2/IF(Table6[[#This Row],[male merged expected]]&gt;0,Table6[[#This Row],[male merged expected]],1)</f>
        <v>0.13510529305258107</v>
      </c>
      <c r="T58">
        <f>(Table6[[#This Row],[maleDeclinedCount]]-Table6[[#This Row],[male declined expected]])^2/IF(Table6[[#This Row],[male declined expected]]&gt;0,Table6[[#This Row],[male declined expected]],1)</f>
        <v>0.39939020840981865</v>
      </c>
      <c r="U58">
        <f>(Table6[[#This Row],[femaleMergedCount]]-Table6[[#This Row],[female merged expected]])^2/IF(Table6[[#This Row],[female merged expected]]&gt;0,Table6[[#This Row],[female merged expected]],1)</f>
        <v>2.2481454919755634E-2</v>
      </c>
      <c r="V58">
        <f>(Table6[[#This Row],[femaleDeclinedCount]]-Table6[[#This Row],[female declined expected]])^2/IF(Table6[[#This Row],[female declined expected]]&gt;0,Table6[[#This Row],[female declined expected]],1)</f>
        <v>6.6458336034715987E-2</v>
      </c>
      <c r="W58">
        <f t="shared" si="0"/>
        <v>0.62343529241687135</v>
      </c>
      <c r="Y58" s="3">
        <f>IF(PRODUCT(Table6[[#This Row],[maleMergedCount]:[female declined expected]])&gt;0,_xlfn.CHISQ.TEST(Table6[[#This Row],[maleMergedCount]:[femaleDeclinedCount]],Table6[[#This Row],[male merged expected]:[female declined expected]]),"FALSE")</f>
        <v>0.89104706135241385</v>
      </c>
      <c r="AA58" s="2">
        <f>Table6[[#This Row],[maleMergedCount]]/Table6[[#This Row],[male merged expected]]-1</f>
        <v>2.568823236370732E-2</v>
      </c>
      <c r="AB58" s="2">
        <f>Table6[[#This Row],[maleDeclinedCount]]/Table6[[#This Row],[male declined expected]]-1</f>
        <v>-7.5938020233064285E-2</v>
      </c>
      <c r="AC58" s="2">
        <f>Table6[[#This Row],[femaleMergedCount]]/Table6[[#This Row],[female merged expected]]-1</f>
        <v>4.088361358391035E-2</v>
      </c>
      <c r="AD58" s="2">
        <f>Table6[[#This Row],[femaleDeclinedCount]]/Table6[[#This Row],[female declined expected]]-1</f>
        <v>-0.12085769980506822</v>
      </c>
      <c r="AF58">
        <f>IF(OR(Table6[[#This Row],[maleMergedCount]]&lt;5,Table6[[#This Row],[maleDeclinedCount]]&lt;5,Table6[[#This Row],[femaleMergedCount]]&lt;5,Table6[[#This Row],[femaleDeclinedCount]]&lt;5,W58&lt;$X$1),0,1)</f>
        <v>0</v>
      </c>
    </row>
    <row r="59" spans="1:32" x14ac:dyDescent="0.2">
      <c r="A59" t="s">
        <v>61</v>
      </c>
      <c r="B59" s="4">
        <v>426</v>
      </c>
      <c r="C59" s="4">
        <v>255</v>
      </c>
      <c r="D59" s="22">
        <f>Table6[[#This Row],[mergedCount]]/Table6[[#This Row],[PRCount]]</f>
        <v>0.59859154929577463</v>
      </c>
      <c r="E59" s="4">
        <v>171</v>
      </c>
      <c r="F59" s="4">
        <v>277</v>
      </c>
      <c r="G59" s="4">
        <v>12</v>
      </c>
      <c r="H59" s="4">
        <v>137</v>
      </c>
      <c r="I59" s="2">
        <f>Table6[[#This Row],[malePullRequests]]/(Table6[[#This Row],[PRCount]]-Table6[[#This Row],[unknownPullRequests]])</f>
        <v>0.95847750865051906</v>
      </c>
      <c r="J59" s="2">
        <f>Table6[[#This Row],[femalePullRequests]]/(Table6[[#This Row],[PRCount]]-Table6[[#This Row],[unknownPullRequests]])</f>
        <v>4.1522491349480967E-2</v>
      </c>
      <c r="K59">
        <v>169</v>
      </c>
      <c r="L59">
        <v>108</v>
      </c>
      <c r="M59">
        <v>5</v>
      </c>
      <c r="N59">
        <v>7</v>
      </c>
      <c r="O59" s="5">
        <f>(Table6[[#This Row],[mergedCount]]/Table6[[#This Row],[PRCount]])*Table6[[#This Row],[malePullRequests]]</f>
        <v>165.80985915492957</v>
      </c>
      <c r="P59" s="5">
        <f>(Table6[[#This Row],[declinedCount]]/Table6[[#This Row],[PRCount]])*Table6[[#This Row],[malePullRequests]]</f>
        <v>111.19014084507043</v>
      </c>
      <c r="Q59" s="5">
        <f>(Table6[[#This Row],[mergedCount]]/Table6[[#This Row],[PRCount]])*Table6[[#This Row],[femalePullRequests]]</f>
        <v>7.183098591549296</v>
      </c>
      <c r="R59" s="5">
        <f>(Table6[[#This Row],[declinedCount]]/Table6[[#This Row],[PRCount]])*Table6[[#This Row],[femalePullRequests]]</f>
        <v>4.816901408450704</v>
      </c>
      <c r="S59">
        <f>(Table6[[#This Row],[maleMergedCount]]-Table6[[#This Row],[male merged expected]])^2/IF(Table6[[#This Row],[male merged expected]]&gt;0,Table6[[#This Row],[male merged expected]],1)</f>
        <v>6.1377524010061968E-2</v>
      </c>
      <c r="T59">
        <f>(Table6[[#This Row],[maleDeclinedCount]]-Table6[[#This Row],[male declined expected]])^2/IF(Table6[[#This Row],[male declined expected]]&gt;0,Table6[[#This Row],[male declined expected]],1)</f>
        <v>9.1527886681671347E-2</v>
      </c>
      <c r="U59">
        <f>(Table6[[#This Row],[femaleMergedCount]]-Table6[[#This Row],[female merged expected]])^2/IF(Table6[[#This Row],[female merged expected]]&gt;0,Table6[[#This Row],[female merged expected]],1)</f>
        <v>0.66349074841204103</v>
      </c>
      <c r="V59">
        <f>(Table6[[#This Row],[femaleDeclinedCount]]-Table6[[#This Row],[female declined expected]])^2/IF(Table6[[#This Row],[female declined expected]]&gt;0,Table6[[#This Row],[female declined expected]],1)</f>
        <v>0.98941602833374542</v>
      </c>
      <c r="W59">
        <f t="shared" si="0"/>
        <v>1.8058121874375197</v>
      </c>
      <c r="Y59" s="3">
        <f>IF(PRODUCT(Table6[[#This Row],[maleMergedCount]:[female declined expected]])&gt;0,_xlfn.CHISQ.TEST(Table6[[#This Row],[maleMergedCount]:[femaleDeclinedCount]],Table6[[#This Row],[male merged expected]:[female declined expected]]),"FALSE")</f>
        <v>0.61367095612959033</v>
      </c>
      <c r="AA59" s="2">
        <f>Table6[[#This Row],[maleMergedCount]]/Table6[[#This Row],[male merged expected]]-1</f>
        <v>1.9239753663198078E-2</v>
      </c>
      <c r="AB59" s="2">
        <f>Table6[[#This Row],[maleDeclinedCount]]/Table6[[#This Row],[male declined expected]]-1</f>
        <v>-2.8690860725821832E-2</v>
      </c>
      <c r="AC59" s="2">
        <f>Table6[[#This Row],[femaleMergedCount]]/Table6[[#This Row],[female merged expected]]-1</f>
        <v>-0.30392156862745101</v>
      </c>
      <c r="AD59" s="2">
        <f>Table6[[#This Row],[femaleDeclinedCount]]/Table6[[#This Row],[female declined expected]]-1</f>
        <v>0.45321637426900585</v>
      </c>
      <c r="AF59">
        <f>IF(OR(Table6[[#This Row],[maleMergedCount]]&lt;5,Table6[[#This Row],[maleDeclinedCount]]&lt;5,Table6[[#This Row],[femaleMergedCount]]&lt;5,Table6[[#This Row],[femaleDeclinedCount]]&lt;5,W59&lt;$X$1),0,1)</f>
        <v>0</v>
      </c>
    </row>
    <row r="60" spans="1:32" x14ac:dyDescent="0.2">
      <c r="A60" t="s">
        <v>62</v>
      </c>
      <c r="B60" s="4">
        <v>411</v>
      </c>
      <c r="C60" s="4">
        <v>162</v>
      </c>
      <c r="D60" s="22">
        <f>Table6[[#This Row],[mergedCount]]/Table6[[#This Row],[PRCount]]</f>
        <v>0.39416058394160586</v>
      </c>
      <c r="E60" s="4">
        <v>249</v>
      </c>
      <c r="F60" s="4">
        <v>251</v>
      </c>
      <c r="G60" s="4">
        <v>14</v>
      </c>
      <c r="H60" s="4">
        <v>146</v>
      </c>
      <c r="I60" s="2">
        <f>Table6[[#This Row],[malePullRequests]]/(Table6[[#This Row],[PRCount]]-Table6[[#This Row],[unknownPullRequests]])</f>
        <v>0.94716981132075473</v>
      </c>
      <c r="J60" s="2">
        <f>Table6[[#This Row],[femalePullRequests]]/(Table6[[#This Row],[PRCount]]-Table6[[#This Row],[unknownPullRequests]])</f>
        <v>5.2830188679245285E-2</v>
      </c>
      <c r="K60">
        <v>114</v>
      </c>
      <c r="L60">
        <v>137</v>
      </c>
      <c r="M60">
        <v>4</v>
      </c>
      <c r="N60">
        <v>10</v>
      </c>
      <c r="O60" s="5">
        <f>(Table6[[#This Row],[mergedCount]]/Table6[[#This Row],[PRCount]])*Table6[[#This Row],[malePullRequests]]</f>
        <v>98.934306569343065</v>
      </c>
      <c r="P60" s="5">
        <f>(Table6[[#This Row],[declinedCount]]/Table6[[#This Row],[PRCount]])*Table6[[#This Row],[malePullRequests]]</f>
        <v>152.06569343065695</v>
      </c>
      <c r="Q60" s="5">
        <f>(Table6[[#This Row],[mergedCount]]/Table6[[#This Row],[PRCount]])*Table6[[#This Row],[femalePullRequests]]</f>
        <v>5.5182481751824817</v>
      </c>
      <c r="R60" s="5">
        <f>(Table6[[#This Row],[declinedCount]]/Table6[[#This Row],[PRCount]])*Table6[[#This Row],[femalePullRequests]]</f>
        <v>8.4817518248175183</v>
      </c>
      <c r="S60">
        <f>(Table6[[#This Row],[maleMergedCount]]-Table6[[#This Row],[male merged expected]])^2/IF(Table6[[#This Row],[male merged expected]]&gt;0,Table6[[#This Row],[male merged expected]],1)</f>
        <v>2.2942003276431988</v>
      </c>
      <c r="T60">
        <f>(Table6[[#This Row],[maleDeclinedCount]]-Table6[[#This Row],[male declined expected]])^2/IF(Table6[[#This Row],[male declined expected]]&gt;0,Table6[[#This Row],[male declined expected]],1)</f>
        <v>1.4926122613582284</v>
      </c>
      <c r="U60">
        <f>(Table6[[#This Row],[femaleMergedCount]]-Table6[[#This Row],[female merged expected]])^2/IF(Table6[[#This Row],[female merged expected]]&gt;0,Table6[[#This Row],[female merged expected]],1)</f>
        <v>0.41771907465338115</v>
      </c>
      <c r="V60">
        <f>(Table6[[#This Row],[femaleDeclinedCount]]-Table6[[#This Row],[female declined expected]])^2/IF(Table6[[#This Row],[female declined expected]]&gt;0,Table6[[#This Row],[female declined expected]],1)</f>
        <v>0.27176903652147688</v>
      </c>
      <c r="W60">
        <f t="shared" si="0"/>
        <v>4.4763007001762851</v>
      </c>
      <c r="Y60" s="3">
        <f>IF(PRODUCT(Table6[[#This Row],[maleMergedCount]:[female declined expected]])&gt;0,_xlfn.CHISQ.TEST(Table6[[#This Row],[maleMergedCount]:[femaleDeclinedCount]],Table6[[#This Row],[male merged expected]:[female declined expected]]),"FALSE")</f>
        <v>0.21441397723596703</v>
      </c>
      <c r="AA60" s="2">
        <f>Table6[[#This Row],[maleMergedCount]]/Table6[[#This Row],[male merged expected]]-1</f>
        <v>0.1522797698096503</v>
      </c>
      <c r="AB60" s="2">
        <f>Table6[[#This Row],[maleDeclinedCount]]/Table6[[#This Row],[male declined expected]]-1</f>
        <v>-9.9073585177362977E-2</v>
      </c>
      <c r="AC60" s="2">
        <f>Table6[[#This Row],[femaleMergedCount]]/Table6[[#This Row],[female merged expected]]-1</f>
        <v>-0.27513227513227512</v>
      </c>
      <c r="AD60" s="2">
        <f>Table6[[#This Row],[femaleDeclinedCount]]/Table6[[#This Row],[female declined expected]]-1</f>
        <v>0.17900172117039581</v>
      </c>
      <c r="AF60">
        <f>IF(OR(Table6[[#This Row],[maleMergedCount]]&lt;5,Table6[[#This Row],[maleDeclinedCount]]&lt;5,Table6[[#This Row],[femaleMergedCount]]&lt;5,Table6[[#This Row],[femaleDeclinedCount]]&lt;5,W60&lt;$X$1),0,1)</f>
        <v>0</v>
      </c>
    </row>
    <row r="61" spans="1:32" x14ac:dyDescent="0.2">
      <c r="A61" t="s">
        <v>63</v>
      </c>
      <c r="B61" s="4">
        <v>421</v>
      </c>
      <c r="C61" s="4">
        <v>202</v>
      </c>
      <c r="D61" s="22">
        <f>Table6[[#This Row],[mergedCount]]/Table6[[#This Row],[PRCount]]</f>
        <v>0.47980997624703087</v>
      </c>
      <c r="E61" s="4">
        <v>219</v>
      </c>
      <c r="F61" s="4">
        <v>252</v>
      </c>
      <c r="G61" s="4">
        <v>9</v>
      </c>
      <c r="H61" s="4">
        <v>160</v>
      </c>
      <c r="I61" s="2">
        <f>Table6[[#This Row],[malePullRequests]]/(Table6[[#This Row],[PRCount]]-Table6[[#This Row],[unknownPullRequests]])</f>
        <v>0.96551724137931039</v>
      </c>
      <c r="J61" s="2">
        <f>Table6[[#This Row],[femalePullRequests]]/(Table6[[#This Row],[PRCount]]-Table6[[#This Row],[unknownPullRequests]])</f>
        <v>3.4482758620689655E-2</v>
      </c>
      <c r="K61">
        <v>113</v>
      </c>
      <c r="L61">
        <v>139</v>
      </c>
      <c r="M61">
        <v>4</v>
      </c>
      <c r="N61">
        <v>5</v>
      </c>
      <c r="O61" s="5">
        <f>(Table6[[#This Row],[mergedCount]]/Table6[[#This Row],[PRCount]])*Table6[[#This Row],[malePullRequests]]</f>
        <v>120.91211401425178</v>
      </c>
      <c r="P61" s="5">
        <f>(Table6[[#This Row],[declinedCount]]/Table6[[#This Row],[PRCount]])*Table6[[#This Row],[malePullRequests]]</f>
        <v>131.08788598574822</v>
      </c>
      <c r="Q61" s="5">
        <f>(Table6[[#This Row],[mergedCount]]/Table6[[#This Row],[PRCount]])*Table6[[#This Row],[femalePullRequests]]</f>
        <v>4.3182897862232776</v>
      </c>
      <c r="R61" s="5">
        <f>(Table6[[#This Row],[declinedCount]]/Table6[[#This Row],[PRCount]])*Table6[[#This Row],[femalePullRequests]]</f>
        <v>4.6817102137767215</v>
      </c>
      <c r="S61">
        <f>(Table6[[#This Row],[maleMergedCount]]-Table6[[#This Row],[male merged expected]])^2/IF(Table6[[#This Row],[male merged expected]]&gt;0,Table6[[#This Row],[male merged expected]],1)</f>
        <v>0.51774422012951249</v>
      </c>
      <c r="T61">
        <f>(Table6[[#This Row],[maleDeclinedCount]]-Table6[[#This Row],[male declined expected]])^2/IF(Table6[[#This Row],[male declined expected]]&gt;0,Table6[[#This Row],[male declined expected]],1)</f>
        <v>0.47755402952585169</v>
      </c>
      <c r="U61">
        <f>(Table6[[#This Row],[femaleMergedCount]]-Table6[[#This Row],[female merged expected]])^2/IF(Table6[[#This Row],[female merged expected]]&gt;0,Table6[[#This Row],[female merged expected]],1)</f>
        <v>2.3460303274983042E-2</v>
      </c>
      <c r="V61">
        <f>(Table6[[#This Row],[femaleDeclinedCount]]-Table6[[#This Row],[female declined expected]])^2/IF(Table6[[#This Row],[female declined expected]]&gt;0,Table6[[#This Row],[female declined expected]],1)</f>
        <v>2.1639183842678544E-2</v>
      </c>
      <c r="W61">
        <f t="shared" si="0"/>
        <v>1.0403977367730257</v>
      </c>
      <c r="Y61" s="3">
        <f>IF(PRODUCT(Table6[[#This Row],[maleMergedCount]:[female declined expected]])&gt;0,_xlfn.CHISQ.TEST(Table6[[#This Row],[maleMergedCount]:[femaleDeclinedCount]],Table6[[#This Row],[male merged expected]:[female declined expected]]),"FALSE")</f>
        <v>0.79147819028211486</v>
      </c>
      <c r="AA61" s="2">
        <f>Table6[[#This Row],[maleMergedCount]]/Table6[[#This Row],[male merged expected]]-1</f>
        <v>-6.5436900832940514E-2</v>
      </c>
      <c r="AB61" s="2">
        <f>Table6[[#This Row],[maleDeclinedCount]]/Table6[[#This Row],[male declined expected]]-1</f>
        <v>6.0357324055954287E-2</v>
      </c>
      <c r="AC61" s="2">
        <f>Table6[[#This Row],[femaleMergedCount]]/Table6[[#This Row],[female merged expected]]-1</f>
        <v>-7.3707370737073674E-2</v>
      </c>
      <c r="AD61" s="2">
        <f>Table6[[#This Row],[femaleDeclinedCount]]/Table6[[#This Row],[female declined expected]]-1</f>
        <v>6.7985794013191381E-2</v>
      </c>
      <c r="AF61">
        <f>IF(OR(Table6[[#This Row],[maleMergedCount]]&lt;5,Table6[[#This Row],[maleDeclinedCount]]&lt;5,Table6[[#This Row],[femaleMergedCount]]&lt;5,Table6[[#This Row],[femaleDeclinedCount]]&lt;5,W61&lt;$X$1),0,1)</f>
        <v>0</v>
      </c>
    </row>
    <row r="62" spans="1:32" x14ac:dyDescent="0.2">
      <c r="A62" t="s">
        <v>64</v>
      </c>
      <c r="B62" s="4">
        <v>399</v>
      </c>
      <c r="C62" s="4">
        <v>215</v>
      </c>
      <c r="D62" s="22">
        <f>Table6[[#This Row],[mergedCount]]/Table6[[#This Row],[PRCount]]</f>
        <v>0.53884711779448624</v>
      </c>
      <c r="E62" s="4">
        <v>184</v>
      </c>
      <c r="F62" s="4">
        <v>249</v>
      </c>
      <c r="G62" s="4">
        <v>9</v>
      </c>
      <c r="H62" s="4">
        <v>141</v>
      </c>
      <c r="I62" s="2">
        <f>Table6[[#This Row],[malePullRequests]]/(Table6[[#This Row],[PRCount]]-Table6[[#This Row],[unknownPullRequests]])</f>
        <v>0.96511627906976749</v>
      </c>
      <c r="J62" s="2">
        <f>Table6[[#This Row],[femalePullRequests]]/(Table6[[#This Row],[PRCount]]-Table6[[#This Row],[unknownPullRequests]])</f>
        <v>3.4883720930232558E-2</v>
      </c>
      <c r="K62">
        <v>147</v>
      </c>
      <c r="L62">
        <v>102</v>
      </c>
      <c r="M62">
        <v>8</v>
      </c>
      <c r="N62">
        <v>1</v>
      </c>
      <c r="O62" s="5">
        <f>(Table6[[#This Row],[mergedCount]]/Table6[[#This Row],[PRCount]])*Table6[[#This Row],[malePullRequests]]</f>
        <v>134.17293233082708</v>
      </c>
      <c r="P62" s="5">
        <f>(Table6[[#This Row],[declinedCount]]/Table6[[#This Row],[PRCount]])*Table6[[#This Row],[malePullRequests]]</f>
        <v>114.82706766917292</v>
      </c>
      <c r="Q62" s="5">
        <f>(Table6[[#This Row],[mergedCount]]/Table6[[#This Row],[PRCount]])*Table6[[#This Row],[femalePullRequests]]</f>
        <v>4.8496240601503757</v>
      </c>
      <c r="R62" s="5">
        <f>(Table6[[#This Row],[declinedCount]]/Table6[[#This Row],[PRCount]])*Table6[[#This Row],[femalePullRequests]]</f>
        <v>4.1503759398496243</v>
      </c>
      <c r="S62">
        <f>(Table6[[#This Row],[maleMergedCount]]-Table6[[#This Row],[male merged expected]])^2/IF(Table6[[#This Row],[male merged expected]]&gt;0,Table6[[#This Row],[male merged expected]],1)</f>
        <v>1.2262806076553083</v>
      </c>
      <c r="T62">
        <f>(Table6[[#This Row],[maleDeclinedCount]]-Table6[[#This Row],[male declined expected]])^2/IF(Table6[[#This Row],[male declined expected]]&gt;0,Table6[[#This Row],[male declined expected]],1)</f>
        <v>1.4328822317711485</v>
      </c>
      <c r="U62">
        <f>(Table6[[#This Row],[femaleMergedCount]]-Table6[[#This Row],[female merged expected]])^2/IF(Table6[[#This Row],[female merged expected]]&gt;0,Table6[[#This Row],[female merged expected]],1)</f>
        <v>2.046523284956578</v>
      </c>
      <c r="V62">
        <f>(Table6[[#This Row],[femaleDeclinedCount]]-Table6[[#This Row],[female declined expected]])^2/IF(Table6[[#This Row],[female declined expected]]&gt;0,Table6[[#This Row],[female declined expected]],1)</f>
        <v>2.3913179688351316</v>
      </c>
      <c r="W62">
        <f t="shared" si="0"/>
        <v>7.0970040932181657</v>
      </c>
      <c r="Y62" s="3">
        <f>IF(PRODUCT(Table6[[#This Row],[maleMergedCount]:[female declined expected]])&gt;0,_xlfn.CHISQ.TEST(Table6[[#This Row],[maleMergedCount]:[femaleDeclinedCount]],Table6[[#This Row],[male merged expected]:[female declined expected]]),"FALSE")</f>
        <v>6.8869357406381976E-2</v>
      </c>
      <c r="AA62" s="2">
        <f>Table6[[#This Row],[maleMergedCount]]/Table6[[#This Row],[male merged expected]]-1</f>
        <v>9.5601008685906264E-2</v>
      </c>
      <c r="AB62" s="2">
        <f>Table6[[#This Row],[maleDeclinedCount]]/Table6[[#This Row],[male declined expected]]-1</f>
        <v>-0.11170770036668398</v>
      </c>
      <c r="AC62" s="2">
        <f>Table6[[#This Row],[femaleMergedCount]]/Table6[[#This Row],[female merged expected]]-1</f>
        <v>0.64961240310077528</v>
      </c>
      <c r="AD62" s="2">
        <f>Table6[[#This Row],[femaleDeclinedCount]]/Table6[[#This Row],[female declined expected]]-1</f>
        <v>-0.75905797101449279</v>
      </c>
      <c r="AF62">
        <f>IF(OR(Table6[[#This Row],[maleMergedCount]]&lt;5,Table6[[#This Row],[maleDeclinedCount]]&lt;5,Table6[[#This Row],[femaleMergedCount]]&lt;5,Table6[[#This Row],[femaleDeclinedCount]]&lt;5,W62&lt;$X$1),0,1)</f>
        <v>0</v>
      </c>
    </row>
    <row r="63" spans="1:32" x14ac:dyDescent="0.2">
      <c r="A63" t="s">
        <v>65</v>
      </c>
      <c r="B63" s="4">
        <v>373</v>
      </c>
      <c r="C63" s="4">
        <v>105</v>
      </c>
      <c r="D63" s="22">
        <f>Table6[[#This Row],[mergedCount]]/Table6[[#This Row],[PRCount]]</f>
        <v>0.28150134048257375</v>
      </c>
      <c r="E63" s="4">
        <v>268</v>
      </c>
      <c r="F63" s="4">
        <v>224</v>
      </c>
      <c r="G63" s="4">
        <v>25</v>
      </c>
      <c r="H63" s="4">
        <v>124</v>
      </c>
      <c r="I63" s="2">
        <f>Table6[[#This Row],[malePullRequests]]/(Table6[[#This Row],[PRCount]]-Table6[[#This Row],[unknownPullRequests]])</f>
        <v>0.89959839357429716</v>
      </c>
      <c r="J63" s="2">
        <f>Table6[[#This Row],[femalePullRequests]]/(Table6[[#This Row],[PRCount]]-Table6[[#This Row],[unknownPullRequests]])</f>
        <v>0.10040160642570281</v>
      </c>
      <c r="K63">
        <v>76</v>
      </c>
      <c r="L63">
        <v>148</v>
      </c>
      <c r="M63">
        <v>6</v>
      </c>
      <c r="N63">
        <v>19</v>
      </c>
      <c r="O63" s="5">
        <f>(Table6[[#This Row],[mergedCount]]/Table6[[#This Row],[PRCount]])*Table6[[#This Row],[malePullRequests]]</f>
        <v>63.056300268096521</v>
      </c>
      <c r="P63" s="5">
        <f>(Table6[[#This Row],[declinedCount]]/Table6[[#This Row],[PRCount]])*Table6[[#This Row],[malePullRequests]]</f>
        <v>160.94369973190351</v>
      </c>
      <c r="Q63" s="5">
        <f>(Table6[[#This Row],[mergedCount]]/Table6[[#This Row],[PRCount]])*Table6[[#This Row],[femalePullRequests]]</f>
        <v>7.0375335120643436</v>
      </c>
      <c r="R63" s="5">
        <f>(Table6[[#This Row],[declinedCount]]/Table6[[#This Row],[PRCount]])*Table6[[#This Row],[femalePullRequests]]</f>
        <v>17.962466487935657</v>
      </c>
      <c r="S63">
        <f>(Table6[[#This Row],[maleMergedCount]]-Table6[[#This Row],[male merged expected]])^2/IF(Table6[[#This Row],[male merged expected]]&gt;0,Table6[[#This Row],[male merged expected]],1)</f>
        <v>2.6569805402053555</v>
      </c>
      <c r="T63">
        <f>(Table6[[#This Row],[maleDeclinedCount]]-Table6[[#This Row],[male declined expected]])^2/IF(Table6[[#This Row],[male declined expected]]&gt;0,Table6[[#This Row],[male declined expected]],1)</f>
        <v>1.0409811817968788</v>
      </c>
      <c r="U63">
        <f>(Table6[[#This Row],[femaleMergedCount]]-Table6[[#This Row],[female merged expected]])^2/IF(Table6[[#This Row],[female merged expected]]&gt;0,Table6[[#This Row],[female merged expected]],1)</f>
        <v>0.15296208349291471</v>
      </c>
      <c r="V63">
        <f>(Table6[[#This Row],[femaleDeclinedCount]]-Table6[[#This Row],[female declined expected]])^2/IF(Table6[[#This Row],[female declined expected]]&gt;0,Table6[[#This Row],[female declined expected]],1)</f>
        <v>5.9929174502820967E-2</v>
      </c>
      <c r="W63">
        <f t="shared" si="0"/>
        <v>3.9108529799979701</v>
      </c>
      <c r="Y63" s="3">
        <f>IF(PRODUCT(Table6[[#This Row],[maleMergedCount]:[female declined expected]])&gt;0,_xlfn.CHISQ.TEST(Table6[[#This Row],[maleMergedCount]:[femaleDeclinedCount]],Table6[[#This Row],[male merged expected]:[female declined expected]]),"FALSE")</f>
        <v>0.27125269611023461</v>
      </c>
      <c r="AA63" s="2">
        <f>Table6[[#This Row],[maleMergedCount]]/Table6[[#This Row],[male merged expected]]-1</f>
        <v>0.20527210884353719</v>
      </c>
      <c r="AB63" s="2">
        <f>Table6[[#This Row],[maleDeclinedCount]]/Table6[[#This Row],[male declined expected]]-1</f>
        <v>-8.0423773987206904E-2</v>
      </c>
      <c r="AC63" s="2">
        <f>Table6[[#This Row],[femaleMergedCount]]/Table6[[#This Row],[female merged expected]]-1</f>
        <v>-0.14742857142857146</v>
      </c>
      <c r="AD63" s="2">
        <f>Table6[[#This Row],[femaleDeclinedCount]]/Table6[[#This Row],[female declined expected]]-1</f>
        <v>5.7761194029850804E-2</v>
      </c>
      <c r="AF63">
        <f>IF(OR(Table6[[#This Row],[maleMergedCount]]&lt;5,Table6[[#This Row],[maleDeclinedCount]]&lt;5,Table6[[#This Row],[femaleMergedCount]]&lt;5,Table6[[#This Row],[femaleDeclinedCount]]&lt;5,W63&lt;$X$1),0,1)</f>
        <v>0</v>
      </c>
    </row>
    <row r="64" spans="1:32" x14ac:dyDescent="0.2">
      <c r="A64" t="s">
        <v>66</v>
      </c>
      <c r="B64" s="4">
        <v>357</v>
      </c>
      <c r="C64" s="4">
        <v>286</v>
      </c>
      <c r="D64" s="22">
        <f>Table6[[#This Row],[mergedCount]]/Table6[[#This Row],[PRCount]]</f>
        <v>0.80112044817927175</v>
      </c>
      <c r="E64" s="4">
        <v>71</v>
      </c>
      <c r="F64" s="4">
        <v>218</v>
      </c>
      <c r="G64" s="4">
        <v>17</v>
      </c>
      <c r="H64" s="4">
        <v>122</v>
      </c>
      <c r="I64" s="2">
        <f>Table6[[#This Row],[malePullRequests]]/(Table6[[#This Row],[PRCount]]-Table6[[#This Row],[unknownPullRequests]])</f>
        <v>0.92765957446808511</v>
      </c>
      <c r="J64" s="2">
        <f>Table6[[#This Row],[femalePullRequests]]/(Table6[[#This Row],[PRCount]]-Table6[[#This Row],[unknownPullRequests]])</f>
        <v>7.2340425531914887E-2</v>
      </c>
      <c r="K64">
        <v>176</v>
      </c>
      <c r="L64">
        <v>42</v>
      </c>
      <c r="M64">
        <v>12</v>
      </c>
      <c r="N64">
        <v>5</v>
      </c>
      <c r="O64" s="5">
        <f>(Table6[[#This Row],[mergedCount]]/Table6[[#This Row],[PRCount]])*Table6[[#This Row],[malePullRequests]]</f>
        <v>174.64425770308125</v>
      </c>
      <c r="P64" s="5">
        <f>(Table6[[#This Row],[declinedCount]]/Table6[[#This Row],[PRCount]])*Table6[[#This Row],[malePullRequests]]</f>
        <v>43.355742296918763</v>
      </c>
      <c r="Q64" s="5">
        <f>(Table6[[#This Row],[mergedCount]]/Table6[[#This Row],[PRCount]])*Table6[[#This Row],[femalePullRequests]]</f>
        <v>13.61904761904762</v>
      </c>
      <c r="R64" s="5">
        <f>(Table6[[#This Row],[declinedCount]]/Table6[[#This Row],[PRCount]])*Table6[[#This Row],[femalePullRequests]]</f>
        <v>3.3809523809523809</v>
      </c>
      <c r="S64">
        <f>(Table6[[#This Row],[maleMergedCount]]-Table6[[#This Row],[male merged expected]])^2/IF(Table6[[#This Row],[male merged expected]]&gt;0,Table6[[#This Row],[male merged expected]],1)</f>
        <v>1.0524463843405803E-2</v>
      </c>
      <c r="T64">
        <f>(Table6[[#This Row],[maleDeclinedCount]]-Table6[[#This Row],[male declined expected]])^2/IF(Table6[[#This Row],[male declined expected]]&gt;0,Table6[[#This Row],[male declined expected]],1)</f>
        <v>4.2394319143860895E-2</v>
      </c>
      <c r="U64">
        <f>(Table6[[#This Row],[femaleMergedCount]]-Table6[[#This Row],[female merged expected]])^2/IF(Table6[[#This Row],[female merged expected]]&gt;0,Table6[[#This Row],[female merged expected]],1)</f>
        <v>0.19247419247419278</v>
      </c>
      <c r="V64">
        <f>(Table6[[#This Row],[femaleDeclinedCount]]-Table6[[#This Row],[female declined expected]])^2/IF(Table6[[#This Row],[female declined expected]]&gt;0,Table6[[#This Row],[female declined expected]],1)</f>
        <v>0.77531857813547955</v>
      </c>
      <c r="W64">
        <f t="shared" si="0"/>
        <v>1.0207115535969391</v>
      </c>
      <c r="Y64" s="3">
        <f>IF(PRODUCT(Table6[[#This Row],[maleMergedCount]:[female declined expected]])&gt;0,_xlfn.CHISQ.TEST(Table6[[#This Row],[maleMergedCount]:[femaleDeclinedCount]],Table6[[#This Row],[male merged expected]:[female declined expected]]),"FALSE")</f>
        <v>0.79624054458444493</v>
      </c>
      <c r="AA64" s="2">
        <f>Table6[[#This Row],[maleMergedCount]]/Table6[[#This Row],[male merged expected]]-1</f>
        <v>7.7628793225121839E-3</v>
      </c>
      <c r="AB64" s="2">
        <f>Table6[[#This Row],[maleDeclinedCount]]/Table6[[#This Row],[male declined expected]]-1</f>
        <v>-3.1270189947021465E-2</v>
      </c>
      <c r="AC64" s="2">
        <f>Table6[[#This Row],[femaleMergedCount]]/Table6[[#This Row],[female merged expected]]-1</f>
        <v>-0.11888111888111896</v>
      </c>
      <c r="AD64" s="2">
        <f>Table6[[#This Row],[femaleDeclinedCount]]/Table6[[#This Row],[female declined expected]]-1</f>
        <v>0.47887323943661975</v>
      </c>
      <c r="AF64">
        <f>IF(OR(Table6[[#This Row],[maleMergedCount]]&lt;5,Table6[[#This Row],[maleDeclinedCount]]&lt;5,Table6[[#This Row],[femaleMergedCount]]&lt;5,Table6[[#This Row],[femaleDeclinedCount]]&lt;5,W64&lt;$X$1),0,1)</f>
        <v>0</v>
      </c>
    </row>
    <row r="65" spans="1:32" x14ac:dyDescent="0.2">
      <c r="A65" t="s">
        <v>67</v>
      </c>
      <c r="B65" s="4">
        <v>293</v>
      </c>
      <c r="C65" s="4">
        <v>120</v>
      </c>
      <c r="D65" s="22">
        <f>Table6[[#This Row],[mergedCount]]/Table6[[#This Row],[PRCount]]</f>
        <v>0.40955631399317405</v>
      </c>
      <c r="E65" s="4">
        <v>173</v>
      </c>
      <c r="F65" s="4">
        <v>221</v>
      </c>
      <c r="G65" s="4">
        <v>7</v>
      </c>
      <c r="H65" s="4">
        <v>65</v>
      </c>
      <c r="I65" s="2">
        <f>Table6[[#This Row],[malePullRequests]]/(Table6[[#This Row],[PRCount]]-Table6[[#This Row],[unknownPullRequests]])</f>
        <v>0.9692982456140351</v>
      </c>
      <c r="J65" s="2">
        <f>Table6[[#This Row],[femalePullRequests]]/(Table6[[#This Row],[PRCount]]-Table6[[#This Row],[unknownPullRequests]])</f>
        <v>3.0701754385964911E-2</v>
      </c>
      <c r="K65">
        <v>101</v>
      </c>
      <c r="L65">
        <v>120</v>
      </c>
      <c r="M65">
        <v>0</v>
      </c>
      <c r="N65">
        <v>7</v>
      </c>
      <c r="O65" s="5">
        <f>(Table6[[#This Row],[mergedCount]]/Table6[[#This Row],[PRCount]])*Table6[[#This Row],[malePullRequests]]</f>
        <v>90.511945392491469</v>
      </c>
      <c r="P65" s="5">
        <f>(Table6[[#This Row],[declinedCount]]/Table6[[#This Row],[PRCount]])*Table6[[#This Row],[malePullRequests]]</f>
        <v>130.48805460750853</v>
      </c>
      <c r="Q65" s="5">
        <f>(Table6[[#This Row],[mergedCount]]/Table6[[#This Row],[PRCount]])*Table6[[#This Row],[femalePullRequests]]</f>
        <v>2.8668941979522184</v>
      </c>
      <c r="R65" s="5">
        <f>(Table6[[#This Row],[declinedCount]]/Table6[[#This Row],[PRCount]])*Table6[[#This Row],[femalePullRequests]]</f>
        <v>4.1331058020477816</v>
      </c>
      <c r="S65">
        <f>(Table6[[#This Row],[maleMergedCount]]-Table6[[#This Row],[male merged expected]])^2/IF(Table6[[#This Row],[male merged expected]]&gt;0,Table6[[#This Row],[male merged expected]],1)</f>
        <v>1.2153013502591896</v>
      </c>
      <c r="T65">
        <f>(Table6[[#This Row],[maleDeclinedCount]]-Table6[[#This Row],[male declined expected]])^2/IF(Table6[[#This Row],[male declined expected]]&gt;0,Table6[[#This Row],[male declined expected]],1)</f>
        <v>0.84298359555550728</v>
      </c>
      <c r="U65">
        <f>(Table6[[#This Row],[femaleMergedCount]]-Table6[[#This Row],[female merged expected]])^2/IF(Table6[[#This Row],[female merged expected]]&gt;0,Table6[[#This Row],[female merged expected]],1)</f>
        <v>2.8668941979522184</v>
      </c>
      <c r="V65">
        <f>(Table6[[#This Row],[femaleDeclinedCount]]-Table6[[#This Row],[female declined expected]])^2/IF(Table6[[#This Row],[female declined expected]]&gt;0,Table6[[#This Row],[female declined expected]],1)</f>
        <v>1.9885971315275504</v>
      </c>
      <c r="W65">
        <f t="shared" si="0"/>
        <v>6.9137762752944649</v>
      </c>
      <c r="Y65" s="3" t="str">
        <f>IF(PRODUCT(Table6[[#This Row],[maleMergedCount]:[female declined expected]])&gt;0,_xlfn.CHISQ.TEST(Table6[[#This Row],[maleMergedCount]:[femaleDeclinedCount]],Table6[[#This Row],[male merged expected]:[female declined expected]]),"FALSE")</f>
        <v>FALSE</v>
      </c>
      <c r="AA65" s="2">
        <f>Table6[[#This Row],[maleMergedCount]]/Table6[[#This Row],[male merged expected]]-1</f>
        <v>0.11587481146304679</v>
      </c>
      <c r="AB65" s="2">
        <f>Table6[[#This Row],[maleDeclinedCount]]/Table6[[#This Row],[male declined expected]]-1</f>
        <v>-8.0375591766275178E-2</v>
      </c>
      <c r="AC65" s="2">
        <f>Table6[[#This Row],[femaleMergedCount]]/Table6[[#This Row],[female merged expected]]-1</f>
        <v>-1</v>
      </c>
      <c r="AD65" s="2">
        <f>Table6[[#This Row],[femaleDeclinedCount]]/Table6[[#This Row],[female declined expected]]-1</f>
        <v>0.69364161849710992</v>
      </c>
      <c r="AF65">
        <f>IF(OR(Table6[[#This Row],[maleMergedCount]]&lt;5,Table6[[#This Row],[maleDeclinedCount]]&lt;5,Table6[[#This Row],[femaleMergedCount]]&lt;5,Table6[[#This Row],[femaleDeclinedCount]]&lt;5,W65&lt;$X$1),0,1)</f>
        <v>0</v>
      </c>
    </row>
    <row r="66" spans="1:32" x14ac:dyDescent="0.2">
      <c r="A66" t="s">
        <v>68</v>
      </c>
      <c r="B66" s="4">
        <v>324</v>
      </c>
      <c r="C66" s="4">
        <v>237</v>
      </c>
      <c r="D66" s="22">
        <f>Table6[[#This Row],[mergedCount]]/Table6[[#This Row],[PRCount]]</f>
        <v>0.73148148148148151</v>
      </c>
      <c r="E66" s="4">
        <v>87</v>
      </c>
      <c r="F66" s="4">
        <v>197</v>
      </c>
      <c r="G66" s="4">
        <v>8</v>
      </c>
      <c r="H66" s="4">
        <v>119</v>
      </c>
      <c r="I66" s="2">
        <f>Table6[[#This Row],[malePullRequests]]/(Table6[[#This Row],[PRCount]]-Table6[[#This Row],[unknownPullRequests]])</f>
        <v>0.96097560975609753</v>
      </c>
      <c r="J66" s="2">
        <f>Table6[[#This Row],[femalePullRequests]]/(Table6[[#This Row],[PRCount]]-Table6[[#This Row],[unknownPullRequests]])</f>
        <v>3.9024390243902439E-2</v>
      </c>
      <c r="K66">
        <v>153</v>
      </c>
      <c r="L66">
        <v>44</v>
      </c>
      <c r="M66">
        <v>5</v>
      </c>
      <c r="N66">
        <v>3</v>
      </c>
      <c r="O66" s="5">
        <f>(Table6[[#This Row],[mergedCount]]/Table6[[#This Row],[PRCount]])*Table6[[#This Row],[malePullRequests]]</f>
        <v>144.10185185185185</v>
      </c>
      <c r="P66" s="5">
        <f>(Table6[[#This Row],[declinedCount]]/Table6[[#This Row],[PRCount]])*Table6[[#This Row],[malePullRequests]]</f>
        <v>52.898148148148152</v>
      </c>
      <c r="Q66" s="5">
        <f>(Table6[[#This Row],[mergedCount]]/Table6[[#This Row],[PRCount]])*Table6[[#This Row],[femalePullRequests]]</f>
        <v>5.8518518518518521</v>
      </c>
      <c r="R66" s="5">
        <f>(Table6[[#This Row],[declinedCount]]/Table6[[#This Row],[PRCount]])*Table6[[#This Row],[femalePullRequests]]</f>
        <v>2.1481481481481484</v>
      </c>
      <c r="S66">
        <f>(Table6[[#This Row],[maleMergedCount]]-Table6[[#This Row],[male merged expected]])^2/IF(Table6[[#This Row],[male merged expected]]&gt;0,Table6[[#This Row],[male merged expected]],1)</f>
        <v>0.54945192895780881</v>
      </c>
      <c r="T66">
        <f>(Table6[[#This Row],[maleDeclinedCount]]-Table6[[#This Row],[male declined expected]])^2/IF(Table6[[#This Row],[male declined expected]]&gt;0,Table6[[#This Row],[male declined expected]],1)</f>
        <v>1.4967828409540309</v>
      </c>
      <c r="U66">
        <f>(Table6[[#This Row],[femaleMergedCount]]-Table6[[#This Row],[female merged expected]])^2/IF(Table6[[#This Row],[female merged expected]]&gt;0,Table6[[#This Row],[female merged expected]],1)</f>
        <v>0.12400375058602914</v>
      </c>
      <c r="V66">
        <f>(Table6[[#This Row],[femaleDeclinedCount]]-Table6[[#This Row],[female declined expected]])^2/IF(Table6[[#This Row],[female declined expected]]&gt;0,Table6[[#This Row],[female declined expected]],1)</f>
        <v>0.33780332056194107</v>
      </c>
      <c r="W66">
        <f t="shared" si="0"/>
        <v>2.5080418410598098</v>
      </c>
      <c r="Y66" s="3">
        <f>IF(PRODUCT(Table6[[#This Row],[maleMergedCount]:[female declined expected]])&gt;0,_xlfn.CHISQ.TEST(Table6[[#This Row],[maleMergedCount]:[femaleDeclinedCount]],Table6[[#This Row],[male merged expected]:[female declined expected]]),"FALSE")</f>
        <v>0.47383949555546834</v>
      </c>
      <c r="AA66" s="2">
        <f>Table6[[#This Row],[maleMergedCount]]/Table6[[#This Row],[male merged expected]]-1</f>
        <v>6.174902011180361E-2</v>
      </c>
      <c r="AB66" s="2">
        <f>Table6[[#This Row],[maleDeclinedCount]]/Table6[[#This Row],[male declined expected]]-1</f>
        <v>-0.16821284789077551</v>
      </c>
      <c r="AC66" s="2">
        <f>Table6[[#This Row],[femaleMergedCount]]/Table6[[#This Row],[female merged expected]]-1</f>
        <v>-0.14556962025316456</v>
      </c>
      <c r="AD66" s="2">
        <f>Table6[[#This Row],[femaleDeclinedCount]]/Table6[[#This Row],[female declined expected]]-1</f>
        <v>0.39655172413793083</v>
      </c>
      <c r="AF66">
        <f>IF(OR(Table6[[#This Row],[maleMergedCount]]&lt;5,Table6[[#This Row],[maleDeclinedCount]]&lt;5,Table6[[#This Row],[femaleMergedCount]]&lt;5,Table6[[#This Row],[femaleDeclinedCount]]&lt;5,W66&lt;$X$1),0,1)</f>
        <v>0</v>
      </c>
    </row>
    <row r="67" spans="1:32" x14ac:dyDescent="0.2">
      <c r="A67" t="s">
        <v>69</v>
      </c>
      <c r="B67" s="4">
        <v>414</v>
      </c>
      <c r="C67" s="4">
        <v>298</v>
      </c>
      <c r="D67" s="22">
        <f>Table6[[#This Row],[mergedCount]]/Table6[[#This Row],[PRCount]]</f>
        <v>0.71980676328502413</v>
      </c>
      <c r="E67" s="4">
        <v>116</v>
      </c>
      <c r="F67" s="4">
        <v>179</v>
      </c>
      <c r="G67" s="4">
        <v>24</v>
      </c>
      <c r="H67" s="4">
        <v>211</v>
      </c>
      <c r="I67" s="2">
        <f>Table6[[#This Row],[malePullRequests]]/(Table6[[#This Row],[PRCount]]-Table6[[#This Row],[unknownPullRequests]])</f>
        <v>0.88177339901477836</v>
      </c>
      <c r="J67" s="2">
        <f>Table6[[#This Row],[femalePullRequests]]/(Table6[[#This Row],[PRCount]]-Table6[[#This Row],[unknownPullRequests]])</f>
        <v>0.11822660098522167</v>
      </c>
      <c r="K67">
        <v>140</v>
      </c>
      <c r="L67">
        <v>39</v>
      </c>
      <c r="M67">
        <v>8</v>
      </c>
      <c r="N67">
        <v>16</v>
      </c>
      <c r="O67" s="5">
        <f>(Table6[[#This Row],[mergedCount]]/Table6[[#This Row],[PRCount]])*Table6[[#This Row],[malePullRequests]]</f>
        <v>128.84541062801932</v>
      </c>
      <c r="P67" s="5">
        <f>(Table6[[#This Row],[declinedCount]]/Table6[[#This Row],[PRCount]])*Table6[[#This Row],[malePullRequests]]</f>
        <v>50.154589371980677</v>
      </c>
      <c r="Q67" s="5">
        <f>(Table6[[#This Row],[mergedCount]]/Table6[[#This Row],[PRCount]])*Table6[[#This Row],[femalePullRequests]]</f>
        <v>17.275362318840578</v>
      </c>
      <c r="R67" s="5">
        <f>(Table6[[#This Row],[declinedCount]]/Table6[[#This Row],[PRCount]])*Table6[[#This Row],[femalePullRequests]]</f>
        <v>6.7246376811594208</v>
      </c>
      <c r="S67">
        <f>(Table6[[#This Row],[maleMergedCount]]-Table6[[#This Row],[male merged expected]])^2/IF(Table6[[#This Row],[male merged expected]]&gt;0,Table6[[#This Row],[male merged expected]],1)</f>
        <v>0.96569108244547963</v>
      </c>
      <c r="T67">
        <f>(Table6[[#This Row],[maleDeclinedCount]]-Table6[[#This Row],[male declined expected]])^2/IF(Table6[[#This Row],[male declined expected]]&gt;0,Table6[[#This Row],[male declined expected]],1)</f>
        <v>2.4808270911099388</v>
      </c>
      <c r="U67">
        <f>(Table6[[#This Row],[femaleMergedCount]]-Table6[[#This Row],[female merged expected]])^2/IF(Table6[[#This Row],[female merged expected]]&gt;0,Table6[[#This Row],[female merged expected]],1)</f>
        <v>4.9800603054177603</v>
      </c>
      <c r="V67">
        <f>(Table6[[#This Row],[femaleDeclinedCount]]-Table6[[#This Row],[female declined expected]])^2/IF(Table6[[#This Row],[female declined expected]]&gt;0,Table6[[#This Row],[female declined expected]],1)</f>
        <v>12.793603198400795</v>
      </c>
      <c r="W67">
        <f t="shared" ref="W67:W101" si="1">SUM(S67:V67)</f>
        <v>21.220181677373972</v>
      </c>
      <c r="Y67" s="3">
        <f>IF(PRODUCT(Table6[[#This Row],[maleMergedCount]:[female declined expected]])&gt;0,_xlfn.CHISQ.TEST(Table6[[#This Row],[maleMergedCount]:[femaleDeclinedCount]],Table6[[#This Row],[male merged expected]:[female declined expected]]),"FALSE")</f>
        <v>9.4753260041610131E-5</v>
      </c>
      <c r="AA67" s="2">
        <f>Table6[[#This Row],[maleMergedCount]]/Table6[[#This Row],[male merged expected]]-1</f>
        <v>8.6573431817329682E-2</v>
      </c>
      <c r="AB67" s="2">
        <f>Table6[[#This Row],[maleDeclinedCount]]/Table6[[#This Row],[male declined expected]]-1</f>
        <v>-0.22240416104796767</v>
      </c>
      <c r="AC67" s="2">
        <f>Table6[[#This Row],[femaleMergedCount]]/Table6[[#This Row],[female merged expected]]-1</f>
        <v>-0.53691275167785224</v>
      </c>
      <c r="AD67" s="2">
        <f>Table6[[#This Row],[femaleDeclinedCount]]/Table6[[#This Row],[female declined expected]]-1</f>
        <v>1.3793103448275859</v>
      </c>
      <c r="AF67">
        <f>IF(OR(Table6[[#This Row],[maleMergedCount]]&lt;5,Table6[[#This Row],[maleDeclinedCount]]&lt;5,Table6[[#This Row],[femaleMergedCount]]&lt;5,Table6[[#This Row],[femaleDeclinedCount]]&lt;5,W67&lt;$X$1),0,1)</f>
        <v>1</v>
      </c>
    </row>
    <row r="68" spans="1:32" x14ac:dyDescent="0.2">
      <c r="A68" t="s">
        <v>70</v>
      </c>
      <c r="B68" s="4">
        <v>326</v>
      </c>
      <c r="C68" s="4">
        <v>205</v>
      </c>
      <c r="D68" s="22">
        <f>Table6[[#This Row],[mergedCount]]/Table6[[#This Row],[PRCount]]</f>
        <v>0.62883435582822089</v>
      </c>
      <c r="E68" s="4">
        <v>121</v>
      </c>
      <c r="F68" s="4">
        <v>194</v>
      </c>
      <c r="G68" s="4">
        <v>7</v>
      </c>
      <c r="H68" s="4">
        <v>125</v>
      </c>
      <c r="I68" s="2">
        <f>Table6[[#This Row],[malePullRequests]]/(Table6[[#This Row],[PRCount]]-Table6[[#This Row],[unknownPullRequests]])</f>
        <v>0.96517412935323388</v>
      </c>
      <c r="J68" s="2">
        <f>Table6[[#This Row],[femalePullRequests]]/(Table6[[#This Row],[PRCount]]-Table6[[#This Row],[unknownPullRequests]])</f>
        <v>3.482587064676617E-2</v>
      </c>
      <c r="K68">
        <v>126</v>
      </c>
      <c r="L68">
        <v>68</v>
      </c>
      <c r="M68">
        <v>6</v>
      </c>
      <c r="N68">
        <v>1</v>
      </c>
      <c r="O68" s="5">
        <f>(Table6[[#This Row],[mergedCount]]/Table6[[#This Row],[PRCount]])*Table6[[#This Row],[malePullRequests]]</f>
        <v>121.99386503067485</v>
      </c>
      <c r="P68" s="5">
        <f>(Table6[[#This Row],[declinedCount]]/Table6[[#This Row],[PRCount]])*Table6[[#This Row],[malePullRequests]]</f>
        <v>72.00613496932516</v>
      </c>
      <c r="Q68" s="5">
        <f>(Table6[[#This Row],[mergedCount]]/Table6[[#This Row],[PRCount]])*Table6[[#This Row],[femalePullRequests]]</f>
        <v>4.4018404907975466</v>
      </c>
      <c r="R68" s="5">
        <f>(Table6[[#This Row],[declinedCount]]/Table6[[#This Row],[PRCount]])*Table6[[#This Row],[femalePullRequests]]</f>
        <v>2.5981595092024543</v>
      </c>
      <c r="S68">
        <f>(Table6[[#This Row],[maleMergedCount]]-Table6[[#This Row],[male merged expected]])^2/IF(Table6[[#This Row],[male merged expected]]&gt;0,Table6[[#This Row],[male merged expected]],1)</f>
        <v>0.13155675810758435</v>
      </c>
      <c r="T68">
        <f>(Table6[[#This Row],[maleDeclinedCount]]-Table6[[#This Row],[male declined expected]])^2/IF(Table6[[#This Row],[male declined expected]]&gt;0,Table6[[#This Row],[male declined expected]],1)</f>
        <v>0.2228854166285536</v>
      </c>
      <c r="U68">
        <f>(Table6[[#This Row],[femaleMergedCount]]-Table6[[#This Row],[female merged expected]])^2/IF(Table6[[#This Row],[female merged expected]]&gt;0,Table6[[#This Row],[female merged expected]],1)</f>
        <v>0.58023770334109959</v>
      </c>
      <c r="V68">
        <f>(Table6[[#This Row],[femaleDeclinedCount]]-Table6[[#This Row],[female declined expected]])^2/IF(Table6[[#This Row],[female declined expected]]&gt;0,Table6[[#This Row],[female declined expected]],1)</f>
        <v>0.98304734863574827</v>
      </c>
      <c r="W68">
        <f t="shared" si="1"/>
        <v>1.9177272267129859</v>
      </c>
      <c r="Y68" s="3">
        <f>IF(PRODUCT(Table6[[#This Row],[maleMergedCount]:[female declined expected]])&gt;0,_xlfn.CHISQ.TEST(Table6[[#This Row],[maleMergedCount]:[femaleDeclinedCount]],Table6[[#This Row],[male merged expected]:[female declined expected]]),"FALSE")</f>
        <v>0.5896570519054849</v>
      </c>
      <c r="AA68" s="2">
        <f>Table6[[#This Row],[maleMergedCount]]/Table6[[#This Row],[male merged expected]]-1</f>
        <v>3.2838823233592995E-2</v>
      </c>
      <c r="AB68" s="2">
        <f>Table6[[#This Row],[maleDeclinedCount]]/Table6[[#This Row],[male declined expected]]-1</f>
        <v>-5.5636022833773668E-2</v>
      </c>
      <c r="AC68" s="2">
        <f>Table6[[#This Row],[femaleMergedCount]]/Table6[[#This Row],[female merged expected]]-1</f>
        <v>0.36306620209059215</v>
      </c>
      <c r="AD68" s="2">
        <f>Table6[[#This Row],[femaleDeclinedCount]]/Table6[[#This Row],[female declined expected]]-1</f>
        <v>-0.61511216056670603</v>
      </c>
      <c r="AF68">
        <f>IF(OR(Table6[[#This Row],[maleMergedCount]]&lt;5,Table6[[#This Row],[maleDeclinedCount]]&lt;5,Table6[[#This Row],[femaleMergedCount]]&lt;5,Table6[[#This Row],[femaleDeclinedCount]]&lt;5,W68&lt;$X$1),0,1)</f>
        <v>0</v>
      </c>
    </row>
    <row r="69" spans="1:32" x14ac:dyDescent="0.2">
      <c r="A69" t="s">
        <v>71</v>
      </c>
      <c r="B69" s="4">
        <v>311</v>
      </c>
      <c r="C69" s="4">
        <v>158</v>
      </c>
      <c r="D69" s="22">
        <f>Table6[[#This Row],[mergedCount]]/Table6[[#This Row],[PRCount]]</f>
        <v>0.50803858520900325</v>
      </c>
      <c r="E69" s="4">
        <v>153</v>
      </c>
      <c r="F69" s="4">
        <v>183</v>
      </c>
      <c r="G69" s="4">
        <v>8</v>
      </c>
      <c r="H69" s="4">
        <v>120</v>
      </c>
      <c r="I69" s="2">
        <f>Table6[[#This Row],[malePullRequests]]/(Table6[[#This Row],[PRCount]]-Table6[[#This Row],[unknownPullRequests]])</f>
        <v>0.95811518324607325</v>
      </c>
      <c r="J69" s="2">
        <f>Table6[[#This Row],[femalePullRequests]]/(Table6[[#This Row],[PRCount]]-Table6[[#This Row],[unknownPullRequests]])</f>
        <v>4.1884816753926704E-2</v>
      </c>
      <c r="K69">
        <v>124</v>
      </c>
      <c r="L69">
        <v>59</v>
      </c>
      <c r="M69">
        <v>2</v>
      </c>
      <c r="N69">
        <v>6</v>
      </c>
      <c r="O69" s="5">
        <f>(Table6[[#This Row],[mergedCount]]/Table6[[#This Row],[PRCount]])*Table6[[#This Row],[malePullRequests]]</f>
        <v>92.971061093247599</v>
      </c>
      <c r="P69" s="5">
        <f>(Table6[[#This Row],[declinedCount]]/Table6[[#This Row],[PRCount]])*Table6[[#This Row],[malePullRequests]]</f>
        <v>90.028938906752416</v>
      </c>
      <c r="Q69" s="5">
        <f>(Table6[[#This Row],[mergedCount]]/Table6[[#This Row],[PRCount]])*Table6[[#This Row],[femalePullRequests]]</f>
        <v>4.064308681672026</v>
      </c>
      <c r="R69" s="5">
        <f>(Table6[[#This Row],[declinedCount]]/Table6[[#This Row],[PRCount]])*Table6[[#This Row],[femalePullRequests]]</f>
        <v>3.9356913183279745</v>
      </c>
      <c r="S69">
        <f>(Table6[[#This Row],[maleMergedCount]]-Table6[[#This Row],[male merged expected]])^2/IF(Table6[[#This Row],[male merged expected]]&gt;0,Table6[[#This Row],[male merged expected]],1)</f>
        <v>10.355857385701063</v>
      </c>
      <c r="T69">
        <f>(Table6[[#This Row],[maleDeclinedCount]]-Table6[[#This Row],[male declined expected]])^2/IF(Table6[[#This Row],[male declined expected]]&gt;0,Table6[[#This Row],[male declined expected]],1)</f>
        <v>10.694284097652089</v>
      </c>
      <c r="U69">
        <f>(Table6[[#This Row],[femaleMergedCount]]-Table6[[#This Row],[female merged expected]])^2/IF(Table6[[#This Row],[female merged expected]]&gt;0,Table6[[#This Row],[female merged expected]],1)</f>
        <v>1.0484858968618995</v>
      </c>
      <c r="V69">
        <f>(Table6[[#This Row],[femaleDeclinedCount]]-Table6[[#This Row],[female declined expected]])^2/IF(Table6[[#This Row],[female declined expected]]&gt;0,Table6[[#This Row],[female declined expected]],1)</f>
        <v>1.0827501418573857</v>
      </c>
      <c r="W69">
        <f t="shared" si="1"/>
        <v>23.181377522072435</v>
      </c>
      <c r="Y69" s="3">
        <f>IF(PRODUCT(Table6[[#This Row],[maleMergedCount]:[female declined expected]])&gt;0,_xlfn.CHISQ.TEST(Table6[[#This Row],[maleMergedCount]:[femaleDeclinedCount]],Table6[[#This Row],[male merged expected]:[female declined expected]]),"FALSE")</f>
        <v>3.7015824032914065E-5</v>
      </c>
      <c r="AA69" s="2">
        <f>Table6[[#This Row],[maleMergedCount]]/Table6[[#This Row],[male merged expected]]-1</f>
        <v>0.3337483571972053</v>
      </c>
      <c r="AB69" s="2">
        <f>Table6[[#This Row],[maleDeclinedCount]]/Table6[[#This Row],[male declined expected]]-1</f>
        <v>-0.34465516625593773</v>
      </c>
      <c r="AC69" s="2">
        <f>Table6[[#This Row],[femaleMergedCount]]/Table6[[#This Row],[female merged expected]]-1</f>
        <v>-0.50791139240506333</v>
      </c>
      <c r="AD69" s="2">
        <f>Table6[[#This Row],[femaleDeclinedCount]]/Table6[[#This Row],[female declined expected]]-1</f>
        <v>0.52450980392156854</v>
      </c>
      <c r="AF69">
        <f>IF(OR(Table6[[#This Row],[maleMergedCount]]&lt;5,Table6[[#This Row],[maleDeclinedCount]]&lt;5,Table6[[#This Row],[femaleMergedCount]]&lt;5,Table6[[#This Row],[femaleDeclinedCount]]&lt;5,W69&lt;$X$1),0,1)</f>
        <v>0</v>
      </c>
    </row>
    <row r="70" spans="1:32" x14ac:dyDescent="0.2">
      <c r="A70" t="s">
        <v>72</v>
      </c>
      <c r="B70" s="4">
        <v>565</v>
      </c>
      <c r="C70" s="4">
        <v>368</v>
      </c>
      <c r="D70" s="22">
        <f>Table6[[#This Row],[mergedCount]]/Table6[[#This Row],[PRCount]]</f>
        <v>0.65132743362831858</v>
      </c>
      <c r="E70" s="4">
        <v>197</v>
      </c>
      <c r="F70" s="4">
        <v>155</v>
      </c>
      <c r="G70" s="4">
        <v>34</v>
      </c>
      <c r="H70" s="4">
        <v>376</v>
      </c>
      <c r="I70" s="2">
        <f>Table6[[#This Row],[malePullRequests]]/(Table6[[#This Row],[PRCount]]-Table6[[#This Row],[unknownPullRequests]])</f>
        <v>0.82010582010582012</v>
      </c>
      <c r="J70" s="2">
        <f>Table6[[#This Row],[femalePullRequests]]/(Table6[[#This Row],[PRCount]]-Table6[[#This Row],[unknownPullRequests]])</f>
        <v>0.17989417989417988</v>
      </c>
      <c r="K70">
        <v>91</v>
      </c>
      <c r="L70">
        <v>64</v>
      </c>
      <c r="M70">
        <v>19</v>
      </c>
      <c r="N70">
        <v>15</v>
      </c>
      <c r="O70" s="5">
        <f>(Table6[[#This Row],[mergedCount]]/Table6[[#This Row],[PRCount]])*Table6[[#This Row],[malePullRequests]]</f>
        <v>100.95575221238938</v>
      </c>
      <c r="P70" s="5">
        <f>(Table6[[#This Row],[declinedCount]]/Table6[[#This Row],[PRCount]])*Table6[[#This Row],[malePullRequests]]</f>
        <v>54.044247787610622</v>
      </c>
      <c r="Q70" s="5">
        <f>(Table6[[#This Row],[mergedCount]]/Table6[[#This Row],[PRCount]])*Table6[[#This Row],[femalePullRequests]]</f>
        <v>22.145132743362833</v>
      </c>
      <c r="R70" s="5">
        <f>(Table6[[#This Row],[declinedCount]]/Table6[[#This Row],[PRCount]])*Table6[[#This Row],[femalePullRequests]]</f>
        <v>11.854867256637169</v>
      </c>
      <c r="S70">
        <f>(Table6[[#This Row],[maleMergedCount]]-Table6[[#This Row],[male merged expected]])^2/IF(Table6[[#This Row],[male merged expected]]&gt;0,Table6[[#This Row],[male merged expected]],1)</f>
        <v>0.98178657424071369</v>
      </c>
      <c r="T70">
        <f>(Table6[[#This Row],[maleDeclinedCount]]-Table6[[#This Row],[male declined expected]])^2/IF(Table6[[#This Row],[male declined expected]]&gt;0,Table6[[#This Row],[male declined expected]],1)</f>
        <v>1.833997255434427</v>
      </c>
      <c r="U70">
        <f>(Table6[[#This Row],[femaleMergedCount]]-Table6[[#This Row],[female merged expected]])^2/IF(Table6[[#This Row],[female merged expected]]&gt;0,Table6[[#This Row],[female merged expected]],1)</f>
        <v>0.44668325487178356</v>
      </c>
      <c r="V70">
        <f>(Table6[[#This Row],[femaleDeclinedCount]]-Table6[[#This Row],[female declined expected]])^2/IF(Table6[[#This Row],[female declined expected]]&gt;0,Table6[[#This Row],[female declined expected]],1)</f>
        <v>0.83441338981124946</v>
      </c>
      <c r="W70">
        <f t="shared" si="1"/>
        <v>4.0968804743581737</v>
      </c>
      <c r="Y70" s="3">
        <f>IF(PRODUCT(Table6[[#This Row],[maleMergedCount]:[female declined expected]])&gt;0,_xlfn.CHISQ.TEST(Table6[[#This Row],[maleMergedCount]:[femaleDeclinedCount]],Table6[[#This Row],[male merged expected]:[female declined expected]]),"FALSE")</f>
        <v>0.25119103141740245</v>
      </c>
      <c r="AA70" s="2">
        <f>Table6[[#This Row],[maleMergedCount]]/Table6[[#This Row],[male merged expected]]-1</f>
        <v>-9.8615007012622713E-2</v>
      </c>
      <c r="AB70" s="2">
        <f>Table6[[#This Row],[maleDeclinedCount]]/Table6[[#This Row],[male declined expected]]-1</f>
        <v>0.18421483543474704</v>
      </c>
      <c r="AC70" s="2">
        <f>Table6[[#This Row],[femaleMergedCount]]/Table6[[#This Row],[female merged expected]]-1</f>
        <v>-0.14202365728900257</v>
      </c>
      <c r="AD70" s="2">
        <f>Table6[[#This Row],[femaleDeclinedCount]]/Table6[[#This Row],[female declined expected]]-1</f>
        <v>0.26530307554493882</v>
      </c>
      <c r="AF70">
        <f>IF(OR(Table6[[#This Row],[maleMergedCount]]&lt;5,Table6[[#This Row],[maleDeclinedCount]]&lt;5,Table6[[#This Row],[femaleMergedCount]]&lt;5,Table6[[#This Row],[femaleDeclinedCount]]&lt;5,W70&lt;$X$1),0,1)</f>
        <v>0</v>
      </c>
    </row>
    <row r="71" spans="1:32" x14ac:dyDescent="0.2">
      <c r="A71" t="s">
        <v>73</v>
      </c>
      <c r="B71" s="4">
        <v>636</v>
      </c>
      <c r="C71" s="4">
        <v>436</v>
      </c>
      <c r="D71" s="22">
        <f>Table6[[#This Row],[mergedCount]]/Table6[[#This Row],[PRCount]]</f>
        <v>0.68553459119496851</v>
      </c>
      <c r="E71" s="4">
        <v>200</v>
      </c>
      <c r="F71" s="4">
        <v>162</v>
      </c>
      <c r="G71" s="4">
        <v>17</v>
      </c>
      <c r="H71" s="4">
        <v>457</v>
      </c>
      <c r="I71" s="2">
        <f>Table6[[#This Row],[malePullRequests]]/(Table6[[#This Row],[PRCount]]-Table6[[#This Row],[unknownPullRequests]])</f>
        <v>0.9050279329608939</v>
      </c>
      <c r="J71" s="2">
        <f>Table6[[#This Row],[femalePullRequests]]/(Table6[[#This Row],[PRCount]]-Table6[[#This Row],[unknownPullRequests]])</f>
        <v>9.4972067039106142E-2</v>
      </c>
      <c r="K71">
        <v>119</v>
      </c>
      <c r="L71">
        <v>43</v>
      </c>
      <c r="M71">
        <v>11</v>
      </c>
      <c r="N71">
        <v>6</v>
      </c>
      <c r="O71" s="5">
        <f>(Table6[[#This Row],[mergedCount]]/Table6[[#This Row],[PRCount]])*Table6[[#This Row],[malePullRequests]]</f>
        <v>111.0566037735849</v>
      </c>
      <c r="P71" s="5">
        <f>(Table6[[#This Row],[declinedCount]]/Table6[[#This Row],[PRCount]])*Table6[[#This Row],[malePullRequests]]</f>
        <v>50.943396226415089</v>
      </c>
      <c r="Q71" s="5">
        <f>(Table6[[#This Row],[mergedCount]]/Table6[[#This Row],[PRCount]])*Table6[[#This Row],[femalePullRequests]]</f>
        <v>11.654088050314465</v>
      </c>
      <c r="R71" s="5">
        <f>(Table6[[#This Row],[declinedCount]]/Table6[[#This Row],[PRCount]])*Table6[[#This Row],[femalePullRequests]]</f>
        <v>5.3459119496855347</v>
      </c>
      <c r="S71">
        <f>(Table6[[#This Row],[maleMergedCount]]-Table6[[#This Row],[male merged expected]])^2/IF(Table6[[#This Row],[male merged expected]]&gt;0,Table6[[#This Row],[male merged expected]],1)</f>
        <v>0.5681566108258177</v>
      </c>
      <c r="T71">
        <f>(Table6[[#This Row],[maleDeclinedCount]]-Table6[[#This Row],[male declined expected]])^2/IF(Table6[[#This Row],[male declined expected]]&gt;0,Table6[[#This Row],[male declined expected]],1)</f>
        <v>1.238581411600278</v>
      </c>
      <c r="U71">
        <f>(Table6[[#This Row],[femaleMergedCount]]-Table6[[#This Row],[female merged expected]])^2/IF(Table6[[#This Row],[female merged expected]]&gt;0,Table6[[#This Row],[female merged expected]],1)</f>
        <v>3.6710824194659673E-2</v>
      </c>
      <c r="V71">
        <f>(Table6[[#This Row],[femaleDeclinedCount]]-Table6[[#This Row],[female declined expected]])^2/IF(Table6[[#This Row],[female declined expected]]&gt;0,Table6[[#This Row],[female declined expected]],1)</f>
        <v>8.0029596744358084E-2</v>
      </c>
      <c r="W71">
        <f t="shared" si="1"/>
        <v>1.9234784433651135</v>
      </c>
      <c r="Y71" s="3">
        <f>IF(PRODUCT(Table6[[#This Row],[maleMergedCount]:[female declined expected]])&gt;0,_xlfn.CHISQ.TEST(Table6[[#This Row],[maleMergedCount]:[femaleDeclinedCount]],Table6[[#This Row],[male merged expected]:[female declined expected]]),"FALSE")</f>
        <v>0.58843992763322561</v>
      </c>
      <c r="AA71" s="2">
        <f>Table6[[#This Row],[maleMergedCount]]/Table6[[#This Row],[male merged expected]]-1</f>
        <v>7.1525654094461544E-2</v>
      </c>
      <c r="AB71" s="2">
        <f>Table6[[#This Row],[maleDeclinedCount]]/Table6[[#This Row],[male declined expected]]-1</f>
        <v>-0.1559259259259258</v>
      </c>
      <c r="AC71" s="2">
        <f>Table6[[#This Row],[femaleMergedCount]]/Table6[[#This Row],[female merged expected]]-1</f>
        <v>-5.6125202374527783E-2</v>
      </c>
      <c r="AD71" s="2">
        <f>Table6[[#This Row],[femaleDeclinedCount]]/Table6[[#This Row],[female declined expected]]-1</f>
        <v>0.12235294117647055</v>
      </c>
      <c r="AF71">
        <f>IF(OR(Table6[[#This Row],[maleMergedCount]]&lt;5,Table6[[#This Row],[maleDeclinedCount]]&lt;5,Table6[[#This Row],[femaleMergedCount]]&lt;5,Table6[[#This Row],[femaleDeclinedCount]]&lt;5,W71&lt;$X$1),0,1)</f>
        <v>0</v>
      </c>
    </row>
    <row r="72" spans="1:32" x14ac:dyDescent="0.2">
      <c r="A72" t="s">
        <v>74</v>
      </c>
      <c r="B72" s="4">
        <v>239</v>
      </c>
      <c r="C72" s="4">
        <v>168</v>
      </c>
      <c r="D72" s="22">
        <f>Table6[[#This Row],[mergedCount]]/Table6[[#This Row],[PRCount]]</f>
        <v>0.70292887029288698</v>
      </c>
      <c r="E72" s="4">
        <v>71</v>
      </c>
      <c r="F72" s="4">
        <v>151</v>
      </c>
      <c r="G72" s="4">
        <v>16</v>
      </c>
      <c r="H72" s="4">
        <v>72</v>
      </c>
      <c r="I72" s="2">
        <f>Table6[[#This Row],[malePullRequests]]/(Table6[[#This Row],[PRCount]]-Table6[[#This Row],[unknownPullRequests]])</f>
        <v>0.90419161676646709</v>
      </c>
      <c r="J72" s="2">
        <f>Table6[[#This Row],[femalePullRequests]]/(Table6[[#This Row],[PRCount]]-Table6[[#This Row],[unknownPullRequests]])</f>
        <v>9.580838323353294E-2</v>
      </c>
      <c r="K72">
        <v>113</v>
      </c>
      <c r="L72">
        <v>38</v>
      </c>
      <c r="M72">
        <v>11</v>
      </c>
      <c r="N72">
        <v>5</v>
      </c>
      <c r="O72" s="5">
        <f>(Table6[[#This Row],[mergedCount]]/Table6[[#This Row],[PRCount]])*Table6[[#This Row],[malePullRequests]]</f>
        <v>106.14225941422593</v>
      </c>
      <c r="P72" s="5">
        <f>(Table6[[#This Row],[declinedCount]]/Table6[[#This Row],[PRCount]])*Table6[[#This Row],[malePullRequests]]</f>
        <v>44.85774058577406</v>
      </c>
      <c r="Q72" s="5">
        <f>(Table6[[#This Row],[mergedCount]]/Table6[[#This Row],[PRCount]])*Table6[[#This Row],[femalePullRequests]]</f>
        <v>11.246861924686192</v>
      </c>
      <c r="R72" s="5">
        <f>(Table6[[#This Row],[declinedCount]]/Table6[[#This Row],[PRCount]])*Table6[[#This Row],[femalePullRequests]]</f>
        <v>4.7531380753138075</v>
      </c>
      <c r="S72">
        <f>(Table6[[#This Row],[maleMergedCount]]-Table6[[#This Row],[male merged expected]])^2/IF(Table6[[#This Row],[male merged expected]]&gt;0,Table6[[#This Row],[male merged expected]],1)</f>
        <v>0.44307146089891641</v>
      </c>
      <c r="T72">
        <f>(Table6[[#This Row],[maleDeclinedCount]]-Table6[[#This Row],[male declined expected]])^2/IF(Table6[[#This Row],[male declined expected]]&gt;0,Table6[[#This Row],[male declined expected]],1)</f>
        <v>1.0483944426903913</v>
      </c>
      <c r="U72">
        <f>(Table6[[#This Row],[femaleMergedCount]]-Table6[[#This Row],[female merged expected]])^2/IF(Table6[[#This Row],[female merged expected]]&gt;0,Table6[[#This Row],[female merged expected]],1)</f>
        <v>5.4184723052400508E-3</v>
      </c>
      <c r="V72">
        <f>(Table6[[#This Row],[femaleDeclinedCount]]-Table6[[#This Row],[female declined expected]])^2/IF(Table6[[#This Row],[female declined expected]]&gt;0,Table6[[#This Row],[female declined expected]],1)</f>
        <v>1.2821173905356831E-2</v>
      </c>
      <c r="W72">
        <f t="shared" si="1"/>
        <v>1.5097055497999043</v>
      </c>
      <c r="Y72" s="3">
        <f>IF(PRODUCT(Table6[[#This Row],[maleMergedCount]:[female declined expected]])&gt;0,_xlfn.CHISQ.TEST(Table6[[#This Row],[maleMergedCount]:[femaleDeclinedCount]],Table6[[#This Row],[male merged expected]:[female declined expected]]),"FALSE")</f>
        <v>0.68003211298400035</v>
      </c>
      <c r="AA72" s="2">
        <f>Table6[[#This Row],[maleMergedCount]]/Table6[[#This Row],[male merged expected]]-1</f>
        <v>6.4608956165247644E-2</v>
      </c>
      <c r="AB72" s="2">
        <f>Table6[[#This Row],[maleDeclinedCount]]/Table6[[#This Row],[male declined expected]]-1</f>
        <v>-0.15287753008114913</v>
      </c>
      <c r="AC72" s="2">
        <f>Table6[[#This Row],[femaleMergedCount]]/Table6[[#This Row],[female merged expected]]-1</f>
        <v>-2.1949404761904656E-2</v>
      </c>
      <c r="AD72" s="2">
        <f>Table6[[#This Row],[femaleDeclinedCount]]/Table6[[#This Row],[female declined expected]]-1</f>
        <v>5.1936619718309762E-2</v>
      </c>
      <c r="AF72">
        <f>IF(OR(Table6[[#This Row],[maleMergedCount]]&lt;5,Table6[[#This Row],[maleDeclinedCount]]&lt;5,Table6[[#This Row],[femaleMergedCount]]&lt;5,Table6[[#This Row],[femaleDeclinedCount]]&lt;5,W72&lt;$X$1),0,1)</f>
        <v>0</v>
      </c>
    </row>
    <row r="73" spans="1:32" x14ac:dyDescent="0.2">
      <c r="A73" t="s">
        <v>75</v>
      </c>
      <c r="B73" s="4">
        <v>238</v>
      </c>
      <c r="C73" s="4">
        <v>58</v>
      </c>
      <c r="D73" s="22">
        <f>Table6[[#This Row],[mergedCount]]/Table6[[#This Row],[PRCount]]</f>
        <v>0.24369747899159663</v>
      </c>
      <c r="E73" s="4">
        <v>180</v>
      </c>
      <c r="F73" s="4">
        <v>139</v>
      </c>
      <c r="G73" s="4">
        <v>18</v>
      </c>
      <c r="H73" s="4">
        <v>81</v>
      </c>
      <c r="I73" s="2">
        <f>Table6[[#This Row],[malePullRequests]]/(Table6[[#This Row],[PRCount]]-Table6[[#This Row],[unknownPullRequests]])</f>
        <v>0.88535031847133761</v>
      </c>
      <c r="J73" s="2">
        <f>Table6[[#This Row],[femalePullRequests]]/(Table6[[#This Row],[PRCount]]-Table6[[#This Row],[unknownPullRequests]])</f>
        <v>0.11464968152866242</v>
      </c>
      <c r="K73">
        <v>38</v>
      </c>
      <c r="L73">
        <v>101</v>
      </c>
      <c r="M73">
        <v>1</v>
      </c>
      <c r="N73">
        <v>17</v>
      </c>
      <c r="O73" s="5">
        <f>(Table6[[#This Row],[mergedCount]]/Table6[[#This Row],[PRCount]])*Table6[[#This Row],[malePullRequests]]</f>
        <v>33.87394957983193</v>
      </c>
      <c r="P73" s="5">
        <f>(Table6[[#This Row],[declinedCount]]/Table6[[#This Row],[PRCount]])*Table6[[#This Row],[malePullRequests]]</f>
        <v>105.12605042016807</v>
      </c>
      <c r="Q73" s="5">
        <f>(Table6[[#This Row],[mergedCount]]/Table6[[#This Row],[PRCount]])*Table6[[#This Row],[femalePullRequests]]</f>
        <v>4.386554621848739</v>
      </c>
      <c r="R73" s="5">
        <f>(Table6[[#This Row],[declinedCount]]/Table6[[#This Row],[PRCount]])*Table6[[#This Row],[femalePullRequests]]</f>
        <v>13.61344537815126</v>
      </c>
      <c r="S73">
        <f>(Table6[[#This Row],[maleMergedCount]]-Table6[[#This Row],[male merged expected]])^2/IF(Table6[[#This Row],[male merged expected]]&gt;0,Table6[[#This Row],[male merged expected]],1)</f>
        <v>0.50257771180911048</v>
      </c>
      <c r="T73">
        <f>(Table6[[#This Row],[maleDeclinedCount]]-Table6[[#This Row],[male declined expected]])^2/IF(Table6[[#This Row],[male declined expected]]&gt;0,Table6[[#This Row],[male declined expected]],1)</f>
        <v>0.16194170713849113</v>
      </c>
      <c r="U73">
        <f>(Table6[[#This Row],[femaleMergedCount]]-Table6[[#This Row],[female merged expected]])^2/IF(Table6[[#This Row],[female merged expected]]&gt;0,Table6[[#This Row],[female merged expected]],1)</f>
        <v>2.6145239705077428</v>
      </c>
      <c r="V73">
        <f>(Table6[[#This Row],[femaleDeclinedCount]]-Table6[[#This Row],[female declined expected]])^2/IF(Table6[[#This Row],[female declined expected]]&gt;0,Table6[[#This Row],[female declined expected]],1)</f>
        <v>0.84245772383027306</v>
      </c>
      <c r="W73">
        <f t="shared" si="1"/>
        <v>4.1215011132856176</v>
      </c>
      <c r="Y73" s="3">
        <f>IF(PRODUCT(Table6[[#This Row],[maleMergedCount]:[female declined expected]])&gt;0,_xlfn.CHISQ.TEST(Table6[[#This Row],[maleMergedCount]:[femaleDeclinedCount]],Table6[[#This Row],[male merged expected]:[female declined expected]]),"FALSE")</f>
        <v>0.24863956803517409</v>
      </c>
      <c r="AA73" s="2">
        <f>Table6[[#This Row],[maleMergedCount]]/Table6[[#This Row],[male merged expected]]-1</f>
        <v>0.12180600347308368</v>
      </c>
      <c r="AB73" s="2">
        <f>Table6[[#This Row],[maleDeclinedCount]]/Table6[[#This Row],[male declined expected]]-1</f>
        <v>-3.9248601119104776E-2</v>
      </c>
      <c r="AC73" s="2">
        <f>Table6[[#This Row],[femaleMergedCount]]/Table6[[#This Row],[female merged expected]]-1</f>
        <v>-0.77203065134099613</v>
      </c>
      <c r="AD73" s="2">
        <f>Table6[[#This Row],[femaleDeclinedCount]]/Table6[[#This Row],[female declined expected]]-1</f>
        <v>0.24876543209876556</v>
      </c>
      <c r="AF73">
        <f>IF(OR(Table6[[#This Row],[maleMergedCount]]&lt;5,Table6[[#This Row],[maleDeclinedCount]]&lt;5,Table6[[#This Row],[femaleMergedCount]]&lt;5,Table6[[#This Row],[femaleDeclinedCount]]&lt;5,W73&lt;$X$1),0,1)</f>
        <v>0</v>
      </c>
    </row>
    <row r="74" spans="1:32" x14ac:dyDescent="0.2">
      <c r="A74" t="s">
        <v>76</v>
      </c>
      <c r="B74" s="4">
        <v>421</v>
      </c>
      <c r="C74" s="4">
        <v>279</v>
      </c>
      <c r="D74" s="22">
        <f>Table6[[#This Row],[mergedCount]]/Table6[[#This Row],[PRCount]]</f>
        <v>0.66270783847980996</v>
      </c>
      <c r="E74" s="4">
        <v>142</v>
      </c>
      <c r="F74" s="4">
        <v>148</v>
      </c>
      <c r="G74" s="4">
        <v>5</v>
      </c>
      <c r="H74" s="4">
        <v>268</v>
      </c>
      <c r="I74" s="2">
        <f>Table6[[#This Row],[malePullRequests]]/(Table6[[#This Row],[PRCount]]-Table6[[#This Row],[unknownPullRequests]])</f>
        <v>0.9673202614379085</v>
      </c>
      <c r="J74" s="2">
        <f>Table6[[#This Row],[femalePullRequests]]/(Table6[[#This Row],[PRCount]]-Table6[[#This Row],[unknownPullRequests]])</f>
        <v>3.2679738562091505E-2</v>
      </c>
      <c r="K74">
        <v>76</v>
      </c>
      <c r="L74">
        <v>72</v>
      </c>
      <c r="M74">
        <v>3</v>
      </c>
      <c r="N74">
        <v>2</v>
      </c>
      <c r="O74" s="5">
        <f>(Table6[[#This Row],[mergedCount]]/Table6[[#This Row],[PRCount]])*Table6[[#This Row],[malePullRequests]]</f>
        <v>98.080760095011868</v>
      </c>
      <c r="P74" s="5">
        <f>(Table6[[#This Row],[declinedCount]]/Table6[[#This Row],[PRCount]])*Table6[[#This Row],[malePullRequests]]</f>
        <v>49.919239904988125</v>
      </c>
      <c r="Q74" s="5">
        <f>(Table6[[#This Row],[mergedCount]]/Table6[[#This Row],[PRCount]])*Table6[[#This Row],[femalePullRequests]]</f>
        <v>3.31353919239905</v>
      </c>
      <c r="R74" s="5">
        <f>(Table6[[#This Row],[declinedCount]]/Table6[[#This Row],[PRCount]])*Table6[[#This Row],[femalePullRequests]]</f>
        <v>1.6864608076009502</v>
      </c>
      <c r="S74">
        <f>(Table6[[#This Row],[maleMergedCount]]-Table6[[#This Row],[male merged expected]])^2/IF(Table6[[#This Row],[male merged expected]]&gt;0,Table6[[#This Row],[male merged expected]],1)</f>
        <v>4.9710051788053438</v>
      </c>
      <c r="T74">
        <f>(Table6[[#This Row],[maleDeclinedCount]]-Table6[[#This Row],[male declined expected]])^2/IF(Table6[[#This Row],[male declined expected]]&gt;0,Table6[[#This Row],[male declined expected]],1)</f>
        <v>9.766974963990787</v>
      </c>
      <c r="U74">
        <f>(Table6[[#This Row],[femaleMergedCount]]-Table6[[#This Row],[female merged expected]])^2/IF(Table6[[#This Row],[female merged expected]]&gt;0,Table6[[#This Row],[female merged expected]],1)</f>
        <v>2.9668224657114422E-2</v>
      </c>
      <c r="V74">
        <f>(Table6[[#This Row],[femaleDeclinedCount]]-Table6[[#This Row],[female declined expected]])^2/IF(Table6[[#This Row],[female declined expected]]&gt;0,Table6[[#This Row],[female declined expected]],1)</f>
        <v>5.829179351644305E-2</v>
      </c>
      <c r="W74">
        <f t="shared" si="1"/>
        <v>14.825940160969688</v>
      </c>
      <c r="Y74" s="3">
        <f>IF(PRODUCT(Table6[[#This Row],[maleMergedCount]:[female declined expected]])&gt;0,_xlfn.CHISQ.TEST(Table6[[#This Row],[maleMergedCount]:[femaleDeclinedCount]],Table6[[#This Row],[male merged expected]:[female declined expected]]),"FALSE")</f>
        <v>1.9716014227081175E-3</v>
      </c>
      <c r="AA74" s="2">
        <f>Table6[[#This Row],[maleMergedCount]]/Table6[[#This Row],[male merged expected]]-1</f>
        <v>-0.22512835416061217</v>
      </c>
      <c r="AB74" s="2">
        <f>Table6[[#This Row],[maleDeclinedCount]]/Table6[[#This Row],[male declined expected]]-1</f>
        <v>0.44232965359725918</v>
      </c>
      <c r="AC74" s="2">
        <f>Table6[[#This Row],[femaleMergedCount]]/Table6[[#This Row],[female merged expected]]-1</f>
        <v>-9.4623655913978588E-2</v>
      </c>
      <c r="AD74" s="2">
        <f>Table6[[#This Row],[femaleDeclinedCount]]/Table6[[#This Row],[female declined expected]]-1</f>
        <v>0.18591549295774645</v>
      </c>
      <c r="AF74">
        <f>IF(OR(Table6[[#This Row],[maleMergedCount]]&lt;5,Table6[[#This Row],[maleDeclinedCount]]&lt;5,Table6[[#This Row],[femaleMergedCount]]&lt;5,Table6[[#This Row],[femaleDeclinedCount]]&lt;5,W74&lt;$X$1),0,1)</f>
        <v>0</v>
      </c>
    </row>
    <row r="75" spans="1:32" x14ac:dyDescent="0.2">
      <c r="A75" t="s">
        <v>77</v>
      </c>
      <c r="B75" s="4">
        <v>240</v>
      </c>
      <c r="C75" s="4">
        <v>143</v>
      </c>
      <c r="D75" s="22">
        <f>Table6[[#This Row],[mergedCount]]/Table6[[#This Row],[PRCount]]</f>
        <v>0.59583333333333333</v>
      </c>
      <c r="E75" s="4">
        <v>97</v>
      </c>
      <c r="F75" s="4">
        <v>136</v>
      </c>
      <c r="G75" s="4">
        <v>8</v>
      </c>
      <c r="H75" s="4">
        <v>96</v>
      </c>
      <c r="I75" s="2">
        <f>Table6[[#This Row],[malePullRequests]]/(Table6[[#This Row],[PRCount]]-Table6[[#This Row],[unknownPullRequests]])</f>
        <v>0.94444444444444442</v>
      </c>
      <c r="J75" s="2">
        <f>Table6[[#This Row],[femalePullRequests]]/(Table6[[#This Row],[PRCount]]-Table6[[#This Row],[unknownPullRequests]])</f>
        <v>5.5555555555555552E-2</v>
      </c>
      <c r="K75">
        <v>82</v>
      </c>
      <c r="L75">
        <v>54</v>
      </c>
      <c r="M75">
        <v>2</v>
      </c>
      <c r="N75">
        <v>6</v>
      </c>
      <c r="O75" s="5">
        <f>(Table6[[#This Row],[mergedCount]]/Table6[[#This Row],[PRCount]])*Table6[[#This Row],[malePullRequests]]</f>
        <v>81.033333333333331</v>
      </c>
      <c r="P75" s="5">
        <f>(Table6[[#This Row],[declinedCount]]/Table6[[#This Row],[PRCount]])*Table6[[#This Row],[malePullRequests]]</f>
        <v>54.966666666666669</v>
      </c>
      <c r="Q75" s="5">
        <f>(Table6[[#This Row],[mergedCount]]/Table6[[#This Row],[PRCount]])*Table6[[#This Row],[femalePullRequests]]</f>
        <v>4.7666666666666666</v>
      </c>
      <c r="R75" s="5">
        <f>(Table6[[#This Row],[declinedCount]]/Table6[[#This Row],[PRCount]])*Table6[[#This Row],[femalePullRequests]]</f>
        <v>3.2333333333333334</v>
      </c>
      <c r="S75">
        <f>(Table6[[#This Row],[maleMergedCount]]-Table6[[#This Row],[male merged expected]])^2/IF(Table6[[#This Row],[male merged expected]]&gt;0,Table6[[#This Row],[male merged expected]],1)</f>
        <v>1.1531605649252753E-2</v>
      </c>
      <c r="T75">
        <f>(Table6[[#This Row],[maleDeclinedCount]]-Table6[[#This Row],[male declined expected]])^2/IF(Table6[[#This Row],[male declined expected]]&gt;0,Table6[[#This Row],[male declined expected]],1)</f>
        <v>1.700020214271282E-2</v>
      </c>
      <c r="U75">
        <f>(Table6[[#This Row],[femaleMergedCount]]-Table6[[#This Row],[female merged expected]])^2/IF(Table6[[#This Row],[female merged expected]]&gt;0,Table6[[#This Row],[female merged expected]],1)</f>
        <v>1.6058275058275058</v>
      </c>
      <c r="V75">
        <f>(Table6[[#This Row],[femaleDeclinedCount]]-Table6[[#This Row],[female declined expected]])^2/IF(Table6[[#This Row],[female declined expected]]&gt;0,Table6[[#This Row],[female declined expected]],1)</f>
        <v>2.3673539518900339</v>
      </c>
      <c r="W75">
        <f t="shared" si="1"/>
        <v>4.0017132655095056</v>
      </c>
      <c r="Y75" s="3">
        <f>IF(PRODUCT(Table6[[#This Row],[maleMergedCount]:[female declined expected]])&gt;0,_xlfn.CHISQ.TEST(Table6[[#This Row],[maleMergedCount]:[femaleDeclinedCount]],Table6[[#This Row],[male merged expected]:[female declined expected]]),"FALSE")</f>
        <v>0.26127918764715824</v>
      </c>
      <c r="AA75" s="2">
        <f>Table6[[#This Row],[maleMergedCount]]/Table6[[#This Row],[male merged expected]]-1</f>
        <v>1.1929247223364969E-2</v>
      </c>
      <c r="AB75" s="2">
        <f>Table6[[#This Row],[maleDeclinedCount]]/Table6[[#This Row],[male declined expected]]-1</f>
        <v>-1.7586416009702899E-2</v>
      </c>
      <c r="AC75" s="2">
        <f>Table6[[#This Row],[femaleMergedCount]]/Table6[[#This Row],[female merged expected]]-1</f>
        <v>-0.58041958041958042</v>
      </c>
      <c r="AD75" s="2">
        <f>Table6[[#This Row],[femaleDeclinedCount]]/Table6[[#This Row],[female declined expected]]-1</f>
        <v>0.85567010309278357</v>
      </c>
      <c r="AF75">
        <f>IF(OR(Table6[[#This Row],[maleMergedCount]]&lt;5,Table6[[#This Row],[maleDeclinedCount]]&lt;5,Table6[[#This Row],[femaleMergedCount]]&lt;5,Table6[[#This Row],[femaleDeclinedCount]]&lt;5,W75&lt;$X$1),0,1)</f>
        <v>0</v>
      </c>
    </row>
    <row r="76" spans="1:32" x14ac:dyDescent="0.2">
      <c r="A76" t="s">
        <v>78</v>
      </c>
      <c r="B76" s="4">
        <v>225</v>
      </c>
      <c r="C76" s="4">
        <v>161</v>
      </c>
      <c r="D76" s="22">
        <f>Table6[[#This Row],[mergedCount]]/Table6[[#This Row],[PRCount]]</f>
        <v>0.7155555555555555</v>
      </c>
      <c r="E76" s="4">
        <v>64</v>
      </c>
      <c r="F76" s="4">
        <v>124</v>
      </c>
      <c r="G76" s="4">
        <v>16</v>
      </c>
      <c r="H76" s="4">
        <v>85</v>
      </c>
      <c r="I76" s="2">
        <f>Table6[[#This Row],[malePullRequests]]/(Table6[[#This Row],[PRCount]]-Table6[[#This Row],[unknownPullRequests]])</f>
        <v>0.88571428571428568</v>
      </c>
      <c r="J76" s="2">
        <f>Table6[[#This Row],[femalePullRequests]]/(Table6[[#This Row],[PRCount]]-Table6[[#This Row],[unknownPullRequests]])</f>
        <v>0.11428571428571428</v>
      </c>
      <c r="K76">
        <v>94</v>
      </c>
      <c r="L76">
        <v>30</v>
      </c>
      <c r="M76">
        <v>14</v>
      </c>
      <c r="N76">
        <v>2</v>
      </c>
      <c r="O76" s="5">
        <f>(Table6[[#This Row],[mergedCount]]/Table6[[#This Row],[PRCount]])*Table6[[#This Row],[malePullRequests]]</f>
        <v>88.728888888888889</v>
      </c>
      <c r="P76" s="5">
        <f>(Table6[[#This Row],[declinedCount]]/Table6[[#This Row],[PRCount]])*Table6[[#This Row],[malePullRequests]]</f>
        <v>35.271111111111111</v>
      </c>
      <c r="Q76" s="5">
        <f>(Table6[[#This Row],[mergedCount]]/Table6[[#This Row],[PRCount]])*Table6[[#This Row],[femalePullRequests]]</f>
        <v>11.448888888888888</v>
      </c>
      <c r="R76" s="5">
        <f>(Table6[[#This Row],[declinedCount]]/Table6[[#This Row],[PRCount]])*Table6[[#This Row],[femalePullRequests]]</f>
        <v>4.5511111111111111</v>
      </c>
      <c r="S76">
        <f>(Table6[[#This Row],[maleMergedCount]]-Table6[[#This Row],[male merged expected]])^2/IF(Table6[[#This Row],[male merged expected]]&gt;0,Table6[[#This Row],[male merged expected]],1)</f>
        <v>0.3131405418642445</v>
      </c>
      <c r="T76">
        <f>(Table6[[#This Row],[maleDeclinedCount]]-Table6[[#This Row],[male declined expected]])^2/IF(Table6[[#This Row],[male declined expected]]&gt;0,Table6[[#This Row],[male declined expected]],1)</f>
        <v>0.78774417562724008</v>
      </c>
      <c r="U76">
        <f>(Table6[[#This Row],[femaleMergedCount]]-Table6[[#This Row],[female merged expected]])^2/IF(Table6[[#This Row],[female merged expected]]&gt;0,Table6[[#This Row],[female merged expected]],1)</f>
        <v>0.56845410628019366</v>
      </c>
      <c r="V76">
        <f>(Table6[[#This Row],[femaleDeclinedCount]]-Table6[[#This Row],[female declined expected]])^2/IF(Table6[[#This Row],[female declined expected]]&gt;0,Table6[[#This Row],[female declined expected]],1)</f>
        <v>1.4300173611111111</v>
      </c>
      <c r="W76">
        <f t="shared" si="1"/>
        <v>3.0993561848827893</v>
      </c>
      <c r="Y76" s="3">
        <f>IF(PRODUCT(Table6[[#This Row],[maleMergedCount]:[female declined expected]])&gt;0,_xlfn.CHISQ.TEST(Table6[[#This Row],[maleMergedCount]:[femaleDeclinedCount]],Table6[[#This Row],[male merged expected]:[female declined expected]]),"FALSE")</f>
        <v>0.37655864225886604</v>
      </c>
      <c r="AA76" s="2">
        <f>Table6[[#This Row],[maleMergedCount]]/Table6[[#This Row],[male merged expected]]-1</f>
        <v>5.9406932478461183E-2</v>
      </c>
      <c r="AB76" s="2">
        <f>Table6[[#This Row],[maleDeclinedCount]]/Table6[[#This Row],[male declined expected]]-1</f>
        <v>-0.149445564516129</v>
      </c>
      <c r="AC76" s="2">
        <f>Table6[[#This Row],[femaleMergedCount]]/Table6[[#This Row],[female merged expected]]-1</f>
        <v>0.22282608695652173</v>
      </c>
      <c r="AD76" s="2">
        <f>Table6[[#This Row],[femaleDeclinedCount]]/Table6[[#This Row],[female declined expected]]-1</f>
        <v>-0.560546875</v>
      </c>
      <c r="AF76">
        <f>IF(OR(Table6[[#This Row],[maleMergedCount]]&lt;5,Table6[[#This Row],[maleDeclinedCount]]&lt;5,Table6[[#This Row],[femaleMergedCount]]&lt;5,Table6[[#This Row],[femaleDeclinedCount]]&lt;5,W76&lt;$X$1),0,1)</f>
        <v>0</v>
      </c>
    </row>
    <row r="77" spans="1:32" x14ac:dyDescent="0.2">
      <c r="A77" t="s">
        <v>79</v>
      </c>
      <c r="B77" s="4">
        <v>205</v>
      </c>
      <c r="C77" s="4">
        <v>83</v>
      </c>
      <c r="D77" s="22">
        <f>Table6[[#This Row],[mergedCount]]/Table6[[#This Row],[PRCount]]</f>
        <v>0.40487804878048783</v>
      </c>
      <c r="E77" s="4">
        <v>122</v>
      </c>
      <c r="F77" s="4">
        <v>134</v>
      </c>
      <c r="G77" s="4">
        <v>5</v>
      </c>
      <c r="H77" s="4">
        <v>66</v>
      </c>
      <c r="I77" s="2">
        <f>Table6[[#This Row],[malePullRequests]]/(Table6[[#This Row],[PRCount]]-Table6[[#This Row],[unknownPullRequests]])</f>
        <v>0.96402877697841727</v>
      </c>
      <c r="J77" s="2">
        <f>Table6[[#This Row],[femalePullRequests]]/(Table6[[#This Row],[PRCount]]-Table6[[#This Row],[unknownPullRequests]])</f>
        <v>3.5971223021582732E-2</v>
      </c>
      <c r="K77">
        <v>65</v>
      </c>
      <c r="L77">
        <v>69</v>
      </c>
      <c r="M77">
        <v>1</v>
      </c>
      <c r="N77">
        <v>4</v>
      </c>
      <c r="O77" s="5">
        <f>(Table6[[#This Row],[mergedCount]]/Table6[[#This Row],[PRCount]])*Table6[[#This Row],[malePullRequests]]</f>
        <v>54.25365853658537</v>
      </c>
      <c r="P77" s="5">
        <f>(Table6[[#This Row],[declinedCount]]/Table6[[#This Row],[PRCount]])*Table6[[#This Row],[malePullRequests]]</f>
        <v>79.746341463414637</v>
      </c>
      <c r="Q77" s="5">
        <f>(Table6[[#This Row],[mergedCount]]/Table6[[#This Row],[PRCount]])*Table6[[#This Row],[femalePullRequests]]</f>
        <v>2.024390243902439</v>
      </c>
      <c r="R77" s="5">
        <f>(Table6[[#This Row],[declinedCount]]/Table6[[#This Row],[PRCount]])*Table6[[#This Row],[femalePullRequests]]</f>
        <v>2.975609756097561</v>
      </c>
      <c r="S77">
        <f>(Table6[[#This Row],[maleMergedCount]]-Table6[[#This Row],[male merged expected]])^2/IF(Table6[[#This Row],[male merged expected]]&gt;0,Table6[[#This Row],[male merged expected]],1)</f>
        <v>2.1285911026706006</v>
      </c>
      <c r="T77">
        <f>(Table6[[#This Row],[maleDeclinedCount]]-Table6[[#This Row],[male declined expected]])^2/IF(Table6[[#This Row],[male declined expected]]&gt;0,Table6[[#This Row],[male declined expected]],1)</f>
        <v>1.4481398485381973</v>
      </c>
      <c r="U77">
        <f>(Table6[[#This Row],[femaleMergedCount]]-Table6[[#This Row],[female merged expected]])^2/IF(Table6[[#This Row],[female merged expected]]&gt;0,Table6[[#This Row],[female merged expected]],1)</f>
        <v>0.5183661475168968</v>
      </c>
      <c r="V77">
        <f>(Table6[[#This Row],[femaleDeclinedCount]]-Table6[[#This Row],[female declined expected]])^2/IF(Table6[[#This Row],[female declined expected]]&gt;0,Table6[[#This Row],[female declined expected]],1)</f>
        <v>0.35265893642542984</v>
      </c>
      <c r="W77">
        <f t="shared" si="1"/>
        <v>4.4477560351511247</v>
      </c>
      <c r="Y77" s="3">
        <f>IF(PRODUCT(Table6[[#This Row],[maleMergedCount]:[female declined expected]])&gt;0,_xlfn.CHISQ.TEST(Table6[[#This Row],[maleMergedCount]:[femaleDeclinedCount]],Table6[[#This Row],[male merged expected]:[female declined expected]]),"FALSE")</f>
        <v>0.21699793779167792</v>
      </c>
      <c r="AA77" s="2">
        <f>Table6[[#This Row],[maleMergedCount]]/Table6[[#This Row],[male merged expected]]-1</f>
        <v>0.19807588563208056</v>
      </c>
      <c r="AB77" s="2">
        <f>Table6[[#This Row],[maleDeclinedCount]]/Table6[[#This Row],[male declined expected]]-1</f>
        <v>-0.13475654514313684</v>
      </c>
      <c r="AC77" s="2">
        <f>Table6[[#This Row],[femaleMergedCount]]/Table6[[#This Row],[female merged expected]]-1</f>
        <v>-0.50602409638554224</v>
      </c>
      <c r="AD77" s="2">
        <f>Table6[[#This Row],[femaleDeclinedCount]]/Table6[[#This Row],[female declined expected]]-1</f>
        <v>0.34426229508196715</v>
      </c>
      <c r="AF77">
        <f>IF(OR(Table6[[#This Row],[maleMergedCount]]&lt;5,Table6[[#This Row],[maleDeclinedCount]]&lt;5,Table6[[#This Row],[femaleMergedCount]]&lt;5,Table6[[#This Row],[femaleDeclinedCount]]&lt;5,W77&lt;$X$1),0,1)</f>
        <v>0</v>
      </c>
    </row>
    <row r="78" spans="1:32" x14ac:dyDescent="0.2">
      <c r="A78" t="s">
        <v>80</v>
      </c>
      <c r="B78" s="4">
        <v>242</v>
      </c>
      <c r="C78" s="4">
        <v>115</v>
      </c>
      <c r="D78" s="22">
        <f>Table6[[#This Row],[mergedCount]]/Table6[[#This Row],[PRCount]]</f>
        <v>0.47520661157024796</v>
      </c>
      <c r="E78" s="4">
        <v>127</v>
      </c>
      <c r="F78" s="4">
        <v>127</v>
      </c>
      <c r="G78" s="4">
        <v>10</v>
      </c>
      <c r="H78" s="4">
        <v>105</v>
      </c>
      <c r="I78" s="2">
        <f>Table6[[#This Row],[malePullRequests]]/(Table6[[#This Row],[PRCount]]-Table6[[#This Row],[unknownPullRequests]])</f>
        <v>0.92700729927007297</v>
      </c>
      <c r="J78" s="2">
        <f>Table6[[#This Row],[femalePullRequests]]/(Table6[[#This Row],[PRCount]]-Table6[[#This Row],[unknownPullRequests]])</f>
        <v>7.2992700729927001E-2</v>
      </c>
      <c r="K78">
        <v>60</v>
      </c>
      <c r="L78">
        <v>67</v>
      </c>
      <c r="M78">
        <v>2</v>
      </c>
      <c r="N78">
        <v>8</v>
      </c>
      <c r="O78" s="5">
        <f>(Table6[[#This Row],[mergedCount]]/Table6[[#This Row],[PRCount]])*Table6[[#This Row],[malePullRequests]]</f>
        <v>60.351239669421489</v>
      </c>
      <c r="P78" s="5">
        <f>(Table6[[#This Row],[declinedCount]]/Table6[[#This Row],[PRCount]])*Table6[[#This Row],[malePullRequests]]</f>
        <v>66.648760330578511</v>
      </c>
      <c r="Q78" s="5">
        <f>(Table6[[#This Row],[mergedCount]]/Table6[[#This Row],[PRCount]])*Table6[[#This Row],[femalePullRequests]]</f>
        <v>4.7520661157024797</v>
      </c>
      <c r="R78" s="5">
        <f>(Table6[[#This Row],[declinedCount]]/Table6[[#This Row],[PRCount]])*Table6[[#This Row],[femalePullRequests]]</f>
        <v>5.2479338842975212</v>
      </c>
      <c r="S78">
        <f>(Table6[[#This Row],[maleMergedCount]]-Table6[[#This Row],[male merged expected]])^2/IF(Table6[[#This Row],[male merged expected]]&gt;0,Table6[[#This Row],[male merged expected]],1)</f>
        <v>2.0441884218299626E-3</v>
      </c>
      <c r="T78">
        <f>(Table6[[#This Row],[maleDeclinedCount]]-Table6[[#This Row],[male declined expected]])^2/IF(Table6[[#This Row],[male declined expected]]&gt;0,Table6[[#This Row],[male declined expected]],1)</f>
        <v>1.8510367599247695E-3</v>
      </c>
      <c r="U78">
        <f>(Table6[[#This Row],[femaleMergedCount]]-Table6[[#This Row],[female merged expected]])^2/IF(Table6[[#This Row],[female merged expected]]&gt;0,Table6[[#This Row],[female merged expected]],1)</f>
        <v>1.5938052461372623</v>
      </c>
      <c r="V78">
        <f>(Table6[[#This Row],[femaleDeclinedCount]]-Table6[[#This Row],[female declined expected]])^2/IF(Table6[[#This Row],[female declined expected]]&gt;0,Table6[[#This Row],[female declined expected]],1)</f>
        <v>1.4432094748487012</v>
      </c>
      <c r="W78">
        <f t="shared" si="1"/>
        <v>3.0409099461677185</v>
      </c>
      <c r="Y78" s="3">
        <f>IF(PRODUCT(Table6[[#This Row],[maleMergedCount]:[female declined expected]])&gt;0,_xlfn.CHISQ.TEST(Table6[[#This Row],[maleMergedCount]:[femaleDeclinedCount]],Table6[[#This Row],[male merged expected]:[female declined expected]]),"FALSE")</f>
        <v>0.38536057519168915</v>
      </c>
      <c r="AA78" s="2">
        <f>Table6[[#This Row],[maleMergedCount]]/Table6[[#This Row],[male merged expected]]-1</f>
        <v>-5.8199246833275931E-3</v>
      </c>
      <c r="AB78" s="2">
        <f>Table6[[#This Row],[maleDeclinedCount]]/Table6[[#This Row],[male declined expected]]-1</f>
        <v>5.2700105400211861E-3</v>
      </c>
      <c r="AC78" s="2">
        <f>Table6[[#This Row],[femaleMergedCount]]/Table6[[#This Row],[female merged expected]]-1</f>
        <v>-0.57913043478260873</v>
      </c>
      <c r="AD78" s="2">
        <f>Table6[[#This Row],[femaleDeclinedCount]]/Table6[[#This Row],[female declined expected]]-1</f>
        <v>0.52440944881889751</v>
      </c>
      <c r="AF78">
        <f>IF(OR(Table6[[#This Row],[maleMergedCount]]&lt;5,Table6[[#This Row],[maleDeclinedCount]]&lt;5,Table6[[#This Row],[femaleMergedCount]]&lt;5,Table6[[#This Row],[femaleDeclinedCount]]&lt;5,W78&lt;$X$1),0,1)</f>
        <v>0</v>
      </c>
    </row>
    <row r="79" spans="1:32" x14ac:dyDescent="0.2">
      <c r="A79" t="s">
        <v>81</v>
      </c>
      <c r="B79" s="4">
        <v>229</v>
      </c>
      <c r="C79" s="4">
        <v>132</v>
      </c>
      <c r="D79" s="22">
        <f>Table6[[#This Row],[mergedCount]]/Table6[[#This Row],[PRCount]]</f>
        <v>0.57641921397379914</v>
      </c>
      <c r="E79" s="4">
        <v>97</v>
      </c>
      <c r="F79" s="4">
        <v>117</v>
      </c>
      <c r="G79" s="4">
        <v>11</v>
      </c>
      <c r="H79" s="4">
        <v>101</v>
      </c>
      <c r="I79" s="2">
        <f>Table6[[#This Row],[malePullRequests]]/(Table6[[#This Row],[PRCount]]-Table6[[#This Row],[unknownPullRequests]])</f>
        <v>0.9140625</v>
      </c>
      <c r="J79" s="2">
        <f>Table6[[#This Row],[femalePullRequests]]/(Table6[[#This Row],[PRCount]]-Table6[[#This Row],[unknownPullRequests]])</f>
        <v>8.59375E-2</v>
      </c>
      <c r="K79">
        <v>74</v>
      </c>
      <c r="L79">
        <v>43</v>
      </c>
      <c r="M79">
        <v>7</v>
      </c>
      <c r="N79">
        <v>4</v>
      </c>
      <c r="O79" s="5">
        <f>(Table6[[#This Row],[mergedCount]]/Table6[[#This Row],[PRCount]])*Table6[[#This Row],[malePullRequests]]</f>
        <v>67.441048034934497</v>
      </c>
      <c r="P79" s="5">
        <f>(Table6[[#This Row],[declinedCount]]/Table6[[#This Row],[PRCount]])*Table6[[#This Row],[malePullRequests]]</f>
        <v>49.558951965065503</v>
      </c>
      <c r="Q79" s="5">
        <f>(Table6[[#This Row],[mergedCount]]/Table6[[#This Row],[PRCount]])*Table6[[#This Row],[femalePullRequests]]</f>
        <v>6.3406113537117905</v>
      </c>
      <c r="R79" s="5">
        <f>(Table6[[#This Row],[declinedCount]]/Table6[[#This Row],[PRCount]])*Table6[[#This Row],[femalePullRequests]]</f>
        <v>4.6593886462882095</v>
      </c>
      <c r="S79">
        <f>(Table6[[#This Row],[maleMergedCount]]-Table6[[#This Row],[male merged expected]])^2/IF(Table6[[#This Row],[male merged expected]]&gt;0,Table6[[#This Row],[male merged expected]],1)</f>
        <v>0.63788823177469489</v>
      </c>
      <c r="T79">
        <f>(Table6[[#This Row],[maleDeclinedCount]]-Table6[[#This Row],[male declined expected]])^2/IF(Table6[[#This Row],[male declined expected]]&gt;0,Table6[[#This Row],[male declined expected]],1)</f>
        <v>0.86805408860061573</v>
      </c>
      <c r="U79">
        <f>(Table6[[#This Row],[femaleMergedCount]]-Table6[[#This Row],[female merged expected]])^2/IF(Table6[[#This Row],[female merged expected]]&gt;0,Table6[[#This Row],[female merged expected]],1)</f>
        <v>6.857278621867742E-2</v>
      </c>
      <c r="V79">
        <f>(Table6[[#This Row],[femaleDeclinedCount]]-Table6[[#This Row],[female declined expected]])^2/IF(Table6[[#This Row],[female declined expected]]&gt;0,Table6[[#This Row],[female declined expected]],1)</f>
        <v>9.3315544132633196E-2</v>
      </c>
      <c r="W79">
        <f t="shared" si="1"/>
        <v>1.6678306507266212</v>
      </c>
      <c r="Y79" s="3">
        <f>IF(PRODUCT(Table6[[#This Row],[maleMergedCount]:[female declined expected]])&gt;0,_xlfn.CHISQ.TEST(Table6[[#This Row],[maleMergedCount]:[femaleDeclinedCount]],Table6[[#This Row],[male merged expected]:[female declined expected]]),"FALSE")</f>
        <v>0.64410929897299196</v>
      </c>
      <c r="AA79" s="2">
        <f>Table6[[#This Row],[maleMergedCount]]/Table6[[#This Row],[male merged expected]]-1</f>
        <v>9.7254597254597286E-2</v>
      </c>
      <c r="AB79" s="2">
        <f>Table6[[#This Row],[maleDeclinedCount]]/Table6[[#This Row],[male declined expected]]-1</f>
        <v>-0.13234646224336943</v>
      </c>
      <c r="AC79" s="2">
        <f>Table6[[#This Row],[femaleMergedCount]]/Table6[[#This Row],[female merged expected]]-1</f>
        <v>0.10399449035812669</v>
      </c>
      <c r="AD79" s="2">
        <f>Table6[[#This Row],[femaleDeclinedCount]]/Table6[[#This Row],[female declined expected]]-1</f>
        <v>-0.14151827553889407</v>
      </c>
      <c r="AF79">
        <f>IF(OR(Table6[[#This Row],[maleMergedCount]]&lt;5,Table6[[#This Row],[maleDeclinedCount]]&lt;5,Table6[[#This Row],[femaleMergedCount]]&lt;5,Table6[[#This Row],[femaleDeclinedCount]]&lt;5,W79&lt;$X$1),0,1)</f>
        <v>0</v>
      </c>
    </row>
    <row r="80" spans="1:32" x14ac:dyDescent="0.2">
      <c r="A80" t="s">
        <v>82</v>
      </c>
      <c r="B80" s="4">
        <v>164</v>
      </c>
      <c r="C80" s="4">
        <v>124</v>
      </c>
      <c r="D80" s="22">
        <f>Table6[[#This Row],[mergedCount]]/Table6[[#This Row],[PRCount]]</f>
        <v>0.75609756097560976</v>
      </c>
      <c r="E80" s="4">
        <v>40</v>
      </c>
      <c r="F80" s="4">
        <v>109</v>
      </c>
      <c r="G80" s="4">
        <v>3</v>
      </c>
      <c r="H80" s="4">
        <v>52</v>
      </c>
      <c r="I80" s="2">
        <f>Table6[[#This Row],[malePullRequests]]/(Table6[[#This Row],[PRCount]]-Table6[[#This Row],[unknownPullRequests]])</f>
        <v>0.9732142857142857</v>
      </c>
      <c r="J80" s="2">
        <f>Table6[[#This Row],[femalePullRequests]]/(Table6[[#This Row],[PRCount]]-Table6[[#This Row],[unknownPullRequests]])</f>
        <v>2.6785714285714284E-2</v>
      </c>
      <c r="K80">
        <v>89</v>
      </c>
      <c r="L80">
        <v>20</v>
      </c>
      <c r="M80">
        <v>3</v>
      </c>
      <c r="N80">
        <v>0</v>
      </c>
      <c r="O80" s="5">
        <f>(Table6[[#This Row],[mergedCount]]/Table6[[#This Row],[PRCount]])*Table6[[#This Row],[malePullRequests]]</f>
        <v>82.41463414634147</v>
      </c>
      <c r="P80" s="5">
        <f>(Table6[[#This Row],[declinedCount]]/Table6[[#This Row],[PRCount]])*Table6[[#This Row],[malePullRequests]]</f>
        <v>26.585365853658537</v>
      </c>
      <c r="Q80" s="5">
        <f>(Table6[[#This Row],[mergedCount]]/Table6[[#This Row],[PRCount]])*Table6[[#This Row],[femalePullRequests]]</f>
        <v>2.2682926829268295</v>
      </c>
      <c r="R80" s="5">
        <f>(Table6[[#This Row],[declinedCount]]/Table6[[#This Row],[PRCount]])*Table6[[#This Row],[femalePullRequests]]</f>
        <v>0.73170731707317072</v>
      </c>
      <c r="S80">
        <f>(Table6[[#This Row],[maleMergedCount]]-Table6[[#This Row],[male merged expected]])^2/IF(Table6[[#This Row],[male merged expected]]&gt;0,Table6[[#This Row],[male merged expected]],1)</f>
        <v>0.52620561719082604</v>
      </c>
      <c r="T80">
        <f>(Table6[[#This Row],[maleDeclinedCount]]-Table6[[#This Row],[male declined expected]])^2/IF(Table6[[#This Row],[male declined expected]]&gt;0,Table6[[#This Row],[male declined expected]],1)</f>
        <v>1.6312374132915644</v>
      </c>
      <c r="U80">
        <f>(Table6[[#This Row],[femaleMergedCount]]-Table6[[#This Row],[female merged expected]])^2/IF(Table6[[#This Row],[female merged expected]]&gt;0,Table6[[#This Row],[female merged expected]],1)</f>
        <v>0.23603461841070006</v>
      </c>
      <c r="V80">
        <f>(Table6[[#This Row],[femaleDeclinedCount]]-Table6[[#This Row],[female declined expected]])^2/IF(Table6[[#This Row],[female declined expected]]&gt;0,Table6[[#This Row],[female declined expected]],1)</f>
        <v>0.73170731707317072</v>
      </c>
      <c r="W80">
        <f t="shared" si="1"/>
        <v>3.1251849659662616</v>
      </c>
      <c r="Y80" s="3" t="str">
        <f>IF(PRODUCT(Table6[[#This Row],[maleMergedCount]:[female declined expected]])&gt;0,_xlfn.CHISQ.TEST(Table6[[#This Row],[maleMergedCount]:[femaleDeclinedCount]],Table6[[#This Row],[male merged expected]:[female declined expected]]),"FALSE")</f>
        <v>FALSE</v>
      </c>
      <c r="AA80" s="2">
        <f>Table6[[#This Row],[maleMergedCount]]/Table6[[#This Row],[male merged expected]]-1</f>
        <v>7.9905297425273636E-2</v>
      </c>
      <c r="AB80" s="2">
        <f>Table6[[#This Row],[maleDeclinedCount]]/Table6[[#This Row],[male declined expected]]-1</f>
        <v>-0.24770642201834869</v>
      </c>
      <c r="AC80" s="2">
        <f>Table6[[#This Row],[femaleMergedCount]]/Table6[[#This Row],[female merged expected]]-1</f>
        <v>0.32258064516129026</v>
      </c>
      <c r="AD80" s="2">
        <f>Table6[[#This Row],[femaleDeclinedCount]]/Table6[[#This Row],[female declined expected]]-1</f>
        <v>-1</v>
      </c>
      <c r="AF80">
        <f>IF(OR(Table6[[#This Row],[maleMergedCount]]&lt;5,Table6[[#This Row],[maleDeclinedCount]]&lt;5,Table6[[#This Row],[femaleMergedCount]]&lt;5,Table6[[#This Row],[femaleDeclinedCount]]&lt;5,W80&lt;$X$1),0,1)</f>
        <v>0</v>
      </c>
    </row>
    <row r="81" spans="1:32" x14ac:dyDescent="0.2">
      <c r="A81" t="s">
        <v>83</v>
      </c>
      <c r="B81" s="4">
        <v>178</v>
      </c>
      <c r="C81" s="4">
        <v>84</v>
      </c>
      <c r="D81" s="22">
        <f>Table6[[#This Row],[mergedCount]]/Table6[[#This Row],[PRCount]]</f>
        <v>0.47191011235955055</v>
      </c>
      <c r="E81" s="4">
        <v>94</v>
      </c>
      <c r="F81" s="4">
        <v>79</v>
      </c>
      <c r="G81" s="4">
        <v>14</v>
      </c>
      <c r="H81" s="4">
        <v>85</v>
      </c>
      <c r="I81" s="2">
        <f>Table6[[#This Row],[malePullRequests]]/(Table6[[#This Row],[PRCount]]-Table6[[#This Row],[unknownPullRequests]])</f>
        <v>0.84946236559139787</v>
      </c>
      <c r="J81" s="2">
        <f>Table6[[#This Row],[femalePullRequests]]/(Table6[[#This Row],[PRCount]]-Table6[[#This Row],[unknownPullRequests]])</f>
        <v>0.15053763440860216</v>
      </c>
      <c r="K81">
        <v>40</v>
      </c>
      <c r="L81">
        <v>39</v>
      </c>
      <c r="M81">
        <v>6</v>
      </c>
      <c r="N81">
        <v>8</v>
      </c>
      <c r="O81" s="5">
        <f>(Table6[[#This Row],[mergedCount]]/Table6[[#This Row],[PRCount]])*Table6[[#This Row],[malePullRequests]]</f>
        <v>37.280898876404493</v>
      </c>
      <c r="P81" s="5">
        <f>(Table6[[#This Row],[declinedCount]]/Table6[[#This Row],[PRCount]])*Table6[[#This Row],[malePullRequests]]</f>
        <v>41.7191011235955</v>
      </c>
      <c r="Q81" s="5">
        <f>(Table6[[#This Row],[mergedCount]]/Table6[[#This Row],[PRCount]])*Table6[[#This Row],[femalePullRequests]]</f>
        <v>6.606741573033708</v>
      </c>
      <c r="R81" s="5">
        <f>(Table6[[#This Row],[declinedCount]]/Table6[[#This Row],[PRCount]])*Table6[[#This Row],[femalePullRequests]]</f>
        <v>7.3932584269662911</v>
      </c>
      <c r="S81">
        <f>(Table6[[#This Row],[maleMergedCount]]-Table6[[#This Row],[male merged expected]])^2/IF(Table6[[#This Row],[male merged expected]]&gt;0,Table6[[#This Row],[male merged expected]],1)</f>
        <v>0.19831900901450067</v>
      </c>
      <c r="T81">
        <f>(Table6[[#This Row],[maleDeclinedCount]]-Table6[[#This Row],[male declined expected]])^2/IF(Table6[[#This Row],[male declined expected]]&gt;0,Table6[[#This Row],[male declined expected]],1)</f>
        <v>0.17722124209806353</v>
      </c>
      <c r="U81">
        <f>(Table6[[#This Row],[femaleMergedCount]]-Table6[[#This Row],[female merged expected]])^2/IF(Table6[[#This Row],[female merged expected]]&gt;0,Table6[[#This Row],[female merged expected]],1)</f>
        <v>5.5721164870442583E-2</v>
      </c>
      <c r="V81">
        <f>(Table6[[#This Row],[femaleDeclinedCount]]-Table6[[#This Row],[female declined expected]])^2/IF(Table6[[#This Row],[female declined expected]]&gt;0,Table6[[#This Row],[female declined expected]],1)</f>
        <v>4.9793381373587145E-2</v>
      </c>
      <c r="W81">
        <f t="shared" si="1"/>
        <v>0.4810547973565939</v>
      </c>
      <c r="Y81" s="3">
        <f>IF(PRODUCT(Table6[[#This Row],[maleMergedCount]:[female declined expected]])&gt;0,_xlfn.CHISQ.TEST(Table6[[#This Row],[maleMergedCount]:[femaleDeclinedCount]],Table6[[#This Row],[male merged expected]:[female declined expected]]),"FALSE")</f>
        <v>0.92303343496834223</v>
      </c>
      <c r="AA81" s="2">
        <f>Table6[[#This Row],[maleMergedCount]]/Table6[[#This Row],[male merged expected]]-1</f>
        <v>7.2935503315250116E-2</v>
      </c>
      <c r="AB81" s="2">
        <f>Table6[[#This Row],[maleDeclinedCount]]/Table6[[#This Row],[male declined expected]]-1</f>
        <v>-6.5176407217882981E-2</v>
      </c>
      <c r="AC81" s="2">
        <f>Table6[[#This Row],[femaleMergedCount]]/Table6[[#This Row],[female merged expected]]-1</f>
        <v>-9.1836734693877542E-2</v>
      </c>
      <c r="AD81" s="2">
        <f>Table6[[#This Row],[femaleDeclinedCount]]/Table6[[#This Row],[female declined expected]]-1</f>
        <v>8.2066869300912115E-2</v>
      </c>
      <c r="AF81">
        <f>IF(OR(Table6[[#This Row],[maleMergedCount]]&lt;5,Table6[[#This Row],[maleDeclinedCount]]&lt;5,Table6[[#This Row],[femaleMergedCount]]&lt;5,Table6[[#This Row],[femaleDeclinedCount]]&lt;5,W81&lt;$X$1),0,1)</f>
        <v>0</v>
      </c>
    </row>
    <row r="82" spans="1:32" x14ac:dyDescent="0.2">
      <c r="A82" t="s">
        <v>84</v>
      </c>
      <c r="B82" s="4">
        <v>138</v>
      </c>
      <c r="C82" s="4">
        <v>126</v>
      </c>
      <c r="D82" s="22">
        <f>Table6[[#This Row],[mergedCount]]/Table6[[#This Row],[PRCount]]</f>
        <v>0.91304347826086951</v>
      </c>
      <c r="E82" s="4">
        <v>12</v>
      </c>
      <c r="F82" s="4">
        <v>87</v>
      </c>
      <c r="G82" s="4">
        <v>6</v>
      </c>
      <c r="H82" s="4">
        <v>45</v>
      </c>
      <c r="I82" s="2">
        <f>Table6[[#This Row],[malePullRequests]]/(Table6[[#This Row],[PRCount]]-Table6[[#This Row],[unknownPullRequests]])</f>
        <v>0.93548387096774188</v>
      </c>
      <c r="J82" s="2">
        <f>Table6[[#This Row],[femalePullRequests]]/(Table6[[#This Row],[PRCount]]-Table6[[#This Row],[unknownPullRequests]])</f>
        <v>6.4516129032258063E-2</v>
      </c>
      <c r="K82">
        <v>82</v>
      </c>
      <c r="L82">
        <v>5</v>
      </c>
      <c r="M82">
        <v>3</v>
      </c>
      <c r="N82">
        <v>3</v>
      </c>
      <c r="O82" s="5">
        <f>(Table6[[#This Row],[mergedCount]]/Table6[[#This Row],[PRCount]])*Table6[[#This Row],[malePullRequests]]</f>
        <v>79.434782608695642</v>
      </c>
      <c r="P82" s="5">
        <f>(Table6[[#This Row],[declinedCount]]/Table6[[#This Row],[PRCount]])*Table6[[#This Row],[malePullRequests]]</f>
        <v>7.5652173913043477</v>
      </c>
      <c r="Q82" s="5">
        <f>(Table6[[#This Row],[mergedCount]]/Table6[[#This Row],[PRCount]])*Table6[[#This Row],[femalePullRequests]]</f>
        <v>5.4782608695652169</v>
      </c>
      <c r="R82" s="5">
        <f>(Table6[[#This Row],[declinedCount]]/Table6[[#This Row],[PRCount]])*Table6[[#This Row],[femalePullRequests]]</f>
        <v>0.52173913043478259</v>
      </c>
      <c r="S82">
        <f>(Table6[[#This Row],[maleMergedCount]]-Table6[[#This Row],[male merged expected]])^2/IF(Table6[[#This Row],[male merged expected]]&gt;0,Table6[[#This Row],[male merged expected]],1)</f>
        <v>8.2839532614645744E-2</v>
      </c>
      <c r="T82">
        <f>(Table6[[#This Row],[maleDeclinedCount]]-Table6[[#This Row],[male declined expected]])^2/IF(Table6[[#This Row],[male declined expected]]&gt;0,Table6[[#This Row],[male declined expected]],1)</f>
        <v>0.86981509245377298</v>
      </c>
      <c r="U82">
        <f>(Table6[[#This Row],[femaleMergedCount]]-Table6[[#This Row],[female merged expected]])^2/IF(Table6[[#This Row],[female merged expected]]&gt;0,Table6[[#This Row],[female merged expected]],1)</f>
        <v>1.1211180124223599</v>
      </c>
      <c r="V82">
        <f>(Table6[[#This Row],[femaleDeclinedCount]]-Table6[[#This Row],[female declined expected]])^2/IF(Table6[[#This Row],[female declined expected]]&gt;0,Table6[[#This Row],[female declined expected]],1)</f>
        <v>11.771739130434781</v>
      </c>
      <c r="W82">
        <f t="shared" si="1"/>
        <v>13.84551176792556</v>
      </c>
      <c r="Y82" s="3">
        <f>IF(PRODUCT(Table6[[#This Row],[maleMergedCount]:[female declined expected]])&gt;0,_xlfn.CHISQ.TEST(Table6[[#This Row],[maleMergedCount]:[femaleDeclinedCount]],Table6[[#This Row],[male merged expected]:[female declined expected]]),"FALSE")</f>
        <v>3.1231605307868019E-3</v>
      </c>
      <c r="AA82" s="2">
        <f>Table6[[#This Row],[maleMergedCount]]/Table6[[#This Row],[male merged expected]]-1</f>
        <v>3.2293377120963473E-2</v>
      </c>
      <c r="AB82" s="2">
        <f>Table6[[#This Row],[maleDeclinedCount]]/Table6[[#This Row],[male declined expected]]-1</f>
        <v>-0.33908045977011492</v>
      </c>
      <c r="AC82" s="2">
        <f>Table6[[#This Row],[femaleMergedCount]]/Table6[[#This Row],[female merged expected]]-1</f>
        <v>-0.45238095238095233</v>
      </c>
      <c r="AD82" s="2">
        <f>Table6[[#This Row],[femaleDeclinedCount]]/Table6[[#This Row],[female declined expected]]-1</f>
        <v>4.75</v>
      </c>
      <c r="AF82">
        <f>IF(OR(Table6[[#This Row],[maleMergedCount]]&lt;5,Table6[[#This Row],[maleDeclinedCount]]&lt;5,Table6[[#This Row],[femaleMergedCount]]&lt;5,Table6[[#This Row],[femaleDeclinedCount]]&lt;5,W82&lt;$X$1),0,1)</f>
        <v>0</v>
      </c>
    </row>
    <row r="83" spans="1:32" x14ac:dyDescent="0.2">
      <c r="A83" t="s">
        <v>85</v>
      </c>
      <c r="B83" s="4">
        <v>214</v>
      </c>
      <c r="C83" s="4">
        <v>7</v>
      </c>
      <c r="D83" s="22">
        <f>Table6[[#This Row],[mergedCount]]/Table6[[#This Row],[PRCount]]</f>
        <v>3.2710280373831772E-2</v>
      </c>
      <c r="E83" s="4">
        <v>207</v>
      </c>
      <c r="F83" s="4">
        <v>76</v>
      </c>
      <c r="G83" s="4">
        <v>12</v>
      </c>
      <c r="H83" s="4">
        <v>126</v>
      </c>
      <c r="I83" s="2">
        <f>Table6[[#This Row],[malePullRequests]]/(Table6[[#This Row],[PRCount]]-Table6[[#This Row],[unknownPullRequests]])</f>
        <v>0.86363636363636365</v>
      </c>
      <c r="J83" s="2">
        <f>Table6[[#This Row],[femalePullRequests]]/(Table6[[#This Row],[PRCount]]-Table6[[#This Row],[unknownPullRequests]])</f>
        <v>0.13636363636363635</v>
      </c>
      <c r="K83">
        <v>4</v>
      </c>
      <c r="L83">
        <v>72</v>
      </c>
      <c r="M83">
        <v>0</v>
      </c>
      <c r="N83">
        <v>12</v>
      </c>
      <c r="O83" s="5">
        <f>(Table6[[#This Row],[mergedCount]]/Table6[[#This Row],[PRCount]])*Table6[[#This Row],[malePullRequests]]</f>
        <v>2.4859813084112146</v>
      </c>
      <c r="P83" s="5">
        <f>(Table6[[#This Row],[declinedCount]]/Table6[[#This Row],[PRCount]])*Table6[[#This Row],[malePullRequests]]</f>
        <v>73.514018691588788</v>
      </c>
      <c r="Q83" s="5">
        <f>(Table6[[#This Row],[mergedCount]]/Table6[[#This Row],[PRCount]])*Table6[[#This Row],[femalePullRequests]]</f>
        <v>0.39252336448598124</v>
      </c>
      <c r="R83" s="5">
        <f>(Table6[[#This Row],[declinedCount]]/Table6[[#This Row],[PRCount]])*Table6[[#This Row],[femalePullRequests]]</f>
        <v>11.607476635514018</v>
      </c>
      <c r="S83">
        <f>(Table6[[#This Row],[maleMergedCount]]-Table6[[#This Row],[male merged expected]])^2/IF(Table6[[#This Row],[male merged expected]]&gt;0,Table6[[#This Row],[male merged expected]],1)</f>
        <v>0.92207153397512531</v>
      </c>
      <c r="T83">
        <f>(Table6[[#This Row],[maleDeclinedCount]]-Table6[[#This Row],[male declined expected]])^2/IF(Table6[[#This Row],[male declined expected]]&gt;0,Table6[[#This Row],[male declined expected]],1)</f>
        <v>3.1181162984666177E-2</v>
      </c>
      <c r="U83">
        <f>(Table6[[#This Row],[femaleMergedCount]]-Table6[[#This Row],[female merged expected]])^2/IF(Table6[[#This Row],[female merged expected]]&gt;0,Table6[[#This Row],[female merged expected]],1)</f>
        <v>0.39252336448598124</v>
      </c>
      <c r="V83">
        <f>(Table6[[#This Row],[femaleDeclinedCount]]-Table6[[#This Row],[female declined expected]])^2/IF(Table6[[#This Row],[female declined expected]]&gt;0,Table6[[#This Row],[female declined expected]],1)</f>
        <v>1.3273736963294071E-2</v>
      </c>
      <c r="W83">
        <f t="shared" si="1"/>
        <v>1.3590497984090668</v>
      </c>
      <c r="Y83" s="3" t="str">
        <f>IF(PRODUCT(Table6[[#This Row],[maleMergedCount]:[female declined expected]])&gt;0,_xlfn.CHISQ.TEST(Table6[[#This Row],[maleMergedCount]:[femaleDeclinedCount]],Table6[[#This Row],[male merged expected]:[female declined expected]]),"FALSE")</f>
        <v>FALSE</v>
      </c>
      <c r="AA83" s="2">
        <f>Table6[[#This Row],[maleMergedCount]]/Table6[[#This Row],[male merged expected]]-1</f>
        <v>0.60902255639097769</v>
      </c>
      <c r="AB83" s="2">
        <f>Table6[[#This Row],[maleDeclinedCount]]/Table6[[#This Row],[male declined expected]]-1</f>
        <v>-2.0594965675057253E-2</v>
      </c>
      <c r="AC83" s="2">
        <f>Table6[[#This Row],[femaleMergedCount]]/Table6[[#This Row],[female merged expected]]-1</f>
        <v>-1</v>
      </c>
      <c r="AD83" s="2">
        <f>Table6[[#This Row],[femaleDeclinedCount]]/Table6[[#This Row],[female declined expected]]-1</f>
        <v>3.3816425120772875E-2</v>
      </c>
      <c r="AF83">
        <f>IF(OR(Table6[[#This Row],[maleMergedCount]]&lt;5,Table6[[#This Row],[maleDeclinedCount]]&lt;5,Table6[[#This Row],[femaleMergedCount]]&lt;5,Table6[[#This Row],[femaleDeclinedCount]]&lt;5,W83&lt;$X$1),0,1)</f>
        <v>0</v>
      </c>
    </row>
    <row r="84" spans="1:32" x14ac:dyDescent="0.2">
      <c r="A84" t="s">
        <v>86</v>
      </c>
      <c r="B84" s="4">
        <v>112</v>
      </c>
      <c r="C84" s="4">
        <v>20</v>
      </c>
      <c r="D84" s="22">
        <f>Table6[[#This Row],[mergedCount]]/Table6[[#This Row],[PRCount]]</f>
        <v>0.17857142857142858</v>
      </c>
      <c r="E84" s="4">
        <v>92</v>
      </c>
      <c r="F84" s="4">
        <v>81</v>
      </c>
      <c r="G84" s="4">
        <v>0</v>
      </c>
      <c r="H84" s="4">
        <v>31</v>
      </c>
      <c r="I84" s="2">
        <f>Table6[[#This Row],[malePullRequests]]/(Table6[[#This Row],[PRCount]]-Table6[[#This Row],[unknownPullRequests]])</f>
        <v>1</v>
      </c>
      <c r="J84" s="2">
        <f>Table6[[#This Row],[femalePullRequests]]/(Table6[[#This Row],[PRCount]]-Table6[[#This Row],[unknownPullRequests]])</f>
        <v>0</v>
      </c>
      <c r="K84">
        <v>20</v>
      </c>
      <c r="L84">
        <v>61</v>
      </c>
      <c r="M84">
        <v>0</v>
      </c>
      <c r="N84">
        <v>0</v>
      </c>
      <c r="O84" s="5">
        <f>(Table6[[#This Row],[mergedCount]]/Table6[[#This Row],[PRCount]])*Table6[[#This Row],[malePullRequests]]</f>
        <v>14.464285714285715</v>
      </c>
      <c r="P84" s="5">
        <f>(Table6[[#This Row],[declinedCount]]/Table6[[#This Row],[PRCount]])*Table6[[#This Row],[malePullRequests]]</f>
        <v>66.535714285714278</v>
      </c>
      <c r="Q84" s="5">
        <f>(Table6[[#This Row],[mergedCount]]/Table6[[#This Row],[PRCount]])*Table6[[#This Row],[femalePullRequests]]</f>
        <v>0</v>
      </c>
      <c r="R84" s="5">
        <f>(Table6[[#This Row],[declinedCount]]/Table6[[#This Row],[PRCount]])*Table6[[#This Row],[femalePullRequests]]</f>
        <v>0</v>
      </c>
      <c r="S84">
        <f>(Table6[[#This Row],[maleMergedCount]]-Table6[[#This Row],[male merged expected]])^2/IF(Table6[[#This Row],[male merged expected]]&gt;0,Table6[[#This Row],[male merged expected]],1)</f>
        <v>2.1186067019400343</v>
      </c>
      <c r="T84">
        <f>(Table6[[#This Row],[maleDeclinedCount]]-Table6[[#This Row],[male declined expected]])^2/IF(Table6[[#This Row],[male declined expected]]&gt;0,Table6[[#This Row],[male declined expected]],1)</f>
        <v>0.46056667433478898</v>
      </c>
      <c r="U84">
        <f>(Table6[[#This Row],[femaleMergedCount]]-Table6[[#This Row],[female merged expected]])^2/IF(Table6[[#This Row],[female merged expected]]&gt;0,Table6[[#This Row],[female merged expected]],1)</f>
        <v>0</v>
      </c>
      <c r="V84">
        <f>(Table6[[#This Row],[femaleDeclinedCount]]-Table6[[#This Row],[female declined expected]])^2/IF(Table6[[#This Row],[female declined expected]]&gt;0,Table6[[#This Row],[female declined expected]],1)</f>
        <v>0</v>
      </c>
      <c r="W84">
        <f t="shared" si="1"/>
        <v>2.5791733762748232</v>
      </c>
      <c r="Y84" s="3" t="str">
        <f>IF(PRODUCT(Table6[[#This Row],[maleMergedCount]:[female declined expected]])&gt;0,_xlfn.CHISQ.TEST(Table6[[#This Row],[maleMergedCount]:[femaleDeclinedCount]],Table6[[#This Row],[male merged expected]:[female declined expected]]),"FALSE")</f>
        <v>FALSE</v>
      </c>
      <c r="AA84" s="2">
        <f>Table6[[#This Row],[maleMergedCount]]/Table6[[#This Row],[male merged expected]]-1</f>
        <v>0.38271604938271597</v>
      </c>
      <c r="AB84" s="2">
        <f>Table6[[#This Row],[maleDeclinedCount]]/Table6[[#This Row],[male declined expected]]-1</f>
        <v>-8.3199141170155588E-2</v>
      </c>
      <c r="AC84" s="2" t="e">
        <f>Table6[[#This Row],[femaleMergedCount]]/Table6[[#This Row],[female merged expected]]-1</f>
        <v>#DIV/0!</v>
      </c>
      <c r="AD84" s="2" t="e">
        <f>Table6[[#This Row],[femaleDeclinedCount]]/Table6[[#This Row],[female declined expected]]-1</f>
        <v>#DIV/0!</v>
      </c>
      <c r="AF84">
        <f>IF(OR(Table6[[#This Row],[maleMergedCount]]&lt;5,Table6[[#This Row],[maleDeclinedCount]]&lt;5,Table6[[#This Row],[femaleMergedCount]]&lt;5,Table6[[#This Row],[femaleDeclinedCount]]&lt;5,W84&lt;$X$1),0,1)</f>
        <v>0</v>
      </c>
    </row>
    <row r="85" spans="1:32" x14ac:dyDescent="0.2">
      <c r="A85" t="s">
        <v>87</v>
      </c>
      <c r="B85" s="4">
        <v>111</v>
      </c>
      <c r="C85" s="4">
        <v>81</v>
      </c>
      <c r="D85" s="22">
        <f>Table6[[#This Row],[mergedCount]]/Table6[[#This Row],[PRCount]]</f>
        <v>0.72972972972972971</v>
      </c>
      <c r="E85" s="4">
        <v>30</v>
      </c>
      <c r="F85" s="4">
        <v>63</v>
      </c>
      <c r="G85" s="4">
        <v>10</v>
      </c>
      <c r="H85" s="4">
        <v>38</v>
      </c>
      <c r="I85" s="2">
        <f>Table6[[#This Row],[malePullRequests]]/(Table6[[#This Row],[PRCount]]-Table6[[#This Row],[unknownPullRequests]])</f>
        <v>0.86301369863013699</v>
      </c>
      <c r="J85" s="2">
        <f>Table6[[#This Row],[femalePullRequests]]/(Table6[[#This Row],[PRCount]]-Table6[[#This Row],[unknownPullRequests]])</f>
        <v>0.13698630136986301</v>
      </c>
      <c r="K85">
        <v>42</v>
      </c>
      <c r="L85">
        <v>21</v>
      </c>
      <c r="M85">
        <v>8</v>
      </c>
      <c r="N85">
        <v>2</v>
      </c>
      <c r="O85" s="5">
        <f>(Table6[[#This Row],[mergedCount]]/Table6[[#This Row],[PRCount]])*Table6[[#This Row],[malePullRequests]]</f>
        <v>45.972972972972975</v>
      </c>
      <c r="P85" s="5">
        <f>(Table6[[#This Row],[declinedCount]]/Table6[[#This Row],[PRCount]])*Table6[[#This Row],[malePullRequests]]</f>
        <v>17.027027027027028</v>
      </c>
      <c r="Q85" s="5">
        <f>(Table6[[#This Row],[mergedCount]]/Table6[[#This Row],[PRCount]])*Table6[[#This Row],[femalePullRequests]]</f>
        <v>7.2972972972972974</v>
      </c>
      <c r="R85" s="5">
        <f>(Table6[[#This Row],[declinedCount]]/Table6[[#This Row],[PRCount]])*Table6[[#This Row],[femalePullRequests]]</f>
        <v>2.7027027027027026</v>
      </c>
      <c r="S85">
        <f>(Table6[[#This Row],[maleMergedCount]]-Table6[[#This Row],[male merged expected]])^2/IF(Table6[[#This Row],[male merged expected]]&gt;0,Table6[[#This Row],[male merged expected]],1)</f>
        <v>0.34334334334334377</v>
      </c>
      <c r="T85">
        <f>(Table6[[#This Row],[maleDeclinedCount]]-Table6[[#This Row],[male declined expected]])^2/IF(Table6[[#This Row],[male declined expected]]&gt;0,Table6[[#This Row],[male declined expected]],1)</f>
        <v>0.92702702702702644</v>
      </c>
      <c r="U85">
        <f>(Table6[[#This Row],[femaleMergedCount]]-Table6[[#This Row],[female merged expected]])^2/IF(Table6[[#This Row],[female merged expected]]&gt;0,Table6[[#This Row],[female merged expected]],1)</f>
        <v>6.7667667667667644E-2</v>
      </c>
      <c r="V85">
        <f>(Table6[[#This Row],[femaleDeclinedCount]]-Table6[[#This Row],[female declined expected]])^2/IF(Table6[[#This Row],[female declined expected]]&gt;0,Table6[[#This Row],[female declined expected]],1)</f>
        <v>0.18270270270270267</v>
      </c>
      <c r="W85">
        <f t="shared" si="1"/>
        <v>1.5207407407407405</v>
      </c>
      <c r="Y85" s="3">
        <f>IF(PRODUCT(Table6[[#This Row],[maleMergedCount]:[female declined expected]])&gt;0,_xlfn.CHISQ.TEST(Table6[[#This Row],[maleMergedCount]:[femaleDeclinedCount]],Table6[[#This Row],[male merged expected]:[female declined expected]]),"FALSE")</f>
        <v>0.67749171783873163</v>
      </c>
      <c r="AA85" s="2">
        <f>Table6[[#This Row],[maleMergedCount]]/Table6[[#This Row],[male merged expected]]-1</f>
        <v>-8.6419753086419804E-2</v>
      </c>
      <c r="AB85" s="2">
        <f>Table6[[#This Row],[maleDeclinedCount]]/Table6[[#This Row],[male declined expected]]-1</f>
        <v>0.23333333333333317</v>
      </c>
      <c r="AC85" s="2">
        <f>Table6[[#This Row],[femaleMergedCount]]/Table6[[#This Row],[female merged expected]]-1</f>
        <v>9.6296296296296324E-2</v>
      </c>
      <c r="AD85" s="2">
        <f>Table6[[#This Row],[femaleDeclinedCount]]/Table6[[#This Row],[female declined expected]]-1</f>
        <v>-0.26</v>
      </c>
      <c r="AF85">
        <f>IF(OR(Table6[[#This Row],[maleMergedCount]]&lt;5,Table6[[#This Row],[maleDeclinedCount]]&lt;5,Table6[[#This Row],[femaleMergedCount]]&lt;5,Table6[[#This Row],[femaleDeclinedCount]]&lt;5,W85&lt;$X$1),0,1)</f>
        <v>0</v>
      </c>
    </row>
    <row r="86" spans="1:32" x14ac:dyDescent="0.2">
      <c r="A86" t="s">
        <v>88</v>
      </c>
      <c r="B86" s="4">
        <v>91</v>
      </c>
      <c r="C86" s="4">
        <v>55</v>
      </c>
      <c r="D86" s="22">
        <f>Table6[[#This Row],[mergedCount]]/Table6[[#This Row],[PRCount]]</f>
        <v>0.60439560439560436</v>
      </c>
      <c r="E86" s="4">
        <v>36</v>
      </c>
      <c r="F86" s="4">
        <v>63</v>
      </c>
      <c r="G86" s="4">
        <v>6</v>
      </c>
      <c r="H86" s="4">
        <v>22</v>
      </c>
      <c r="I86" s="2">
        <f>Table6[[#This Row],[malePullRequests]]/(Table6[[#This Row],[PRCount]]-Table6[[#This Row],[unknownPullRequests]])</f>
        <v>0.91304347826086951</v>
      </c>
      <c r="J86" s="2">
        <f>Table6[[#This Row],[femalePullRequests]]/(Table6[[#This Row],[PRCount]]-Table6[[#This Row],[unknownPullRequests]])</f>
        <v>8.6956521739130432E-2</v>
      </c>
      <c r="K86">
        <v>39</v>
      </c>
      <c r="L86">
        <v>24</v>
      </c>
      <c r="M86">
        <v>4</v>
      </c>
      <c r="N86">
        <v>2</v>
      </c>
      <c r="O86" s="5">
        <f>(Table6[[#This Row],[mergedCount]]/Table6[[#This Row],[PRCount]])*Table6[[#This Row],[malePullRequests]]</f>
        <v>38.076923076923073</v>
      </c>
      <c r="P86" s="5">
        <f>(Table6[[#This Row],[declinedCount]]/Table6[[#This Row],[PRCount]])*Table6[[#This Row],[malePullRequests]]</f>
        <v>24.923076923076923</v>
      </c>
      <c r="Q86" s="5">
        <f>(Table6[[#This Row],[mergedCount]]/Table6[[#This Row],[PRCount]])*Table6[[#This Row],[femalePullRequests]]</f>
        <v>3.6263736263736259</v>
      </c>
      <c r="R86" s="5">
        <f>(Table6[[#This Row],[declinedCount]]/Table6[[#This Row],[PRCount]])*Table6[[#This Row],[femalePullRequests]]</f>
        <v>2.3736263736263736</v>
      </c>
      <c r="S86">
        <f>(Table6[[#This Row],[maleMergedCount]]-Table6[[#This Row],[male merged expected]])^2/IF(Table6[[#This Row],[male merged expected]]&gt;0,Table6[[#This Row],[male merged expected]],1)</f>
        <v>2.2377622377622565E-2</v>
      </c>
      <c r="T86">
        <f>(Table6[[#This Row],[maleDeclinedCount]]-Table6[[#This Row],[male declined expected]])^2/IF(Table6[[#This Row],[male declined expected]]&gt;0,Table6[[#This Row],[male declined expected]],1)</f>
        <v>3.4188034188034205E-2</v>
      </c>
      <c r="U86">
        <f>(Table6[[#This Row],[femaleMergedCount]]-Table6[[#This Row],[female merged expected]])^2/IF(Table6[[#This Row],[female merged expected]]&gt;0,Table6[[#This Row],[female merged expected]],1)</f>
        <v>3.849483849483859E-2</v>
      </c>
      <c r="V86">
        <f>(Table6[[#This Row],[femaleDeclinedCount]]-Table6[[#This Row],[female declined expected]])^2/IF(Table6[[#This Row],[female declined expected]]&gt;0,Table6[[#This Row],[female declined expected]],1)</f>
        <v>5.8811558811558813E-2</v>
      </c>
      <c r="W86">
        <f t="shared" si="1"/>
        <v>0.15387205387205416</v>
      </c>
      <c r="Y86" s="3">
        <f>IF(PRODUCT(Table6[[#This Row],[maleMergedCount]:[female declined expected]])&gt;0,_xlfn.CHISQ.TEST(Table6[[#This Row],[maleMergedCount]:[femaleDeclinedCount]],Table6[[#This Row],[male merged expected]:[female declined expected]]),"FALSE")</f>
        <v>0.98466799216445022</v>
      </c>
      <c r="AA86" s="2">
        <f>Table6[[#This Row],[maleMergedCount]]/Table6[[#This Row],[male merged expected]]-1</f>
        <v>2.4242424242424399E-2</v>
      </c>
      <c r="AB86" s="2">
        <f>Table6[[#This Row],[maleDeclinedCount]]/Table6[[#This Row],[male declined expected]]-1</f>
        <v>-3.703703703703709E-2</v>
      </c>
      <c r="AC86" s="2">
        <f>Table6[[#This Row],[femaleMergedCount]]/Table6[[#This Row],[female merged expected]]-1</f>
        <v>0.10303030303030325</v>
      </c>
      <c r="AD86" s="2">
        <f>Table6[[#This Row],[femaleDeclinedCount]]/Table6[[#This Row],[female declined expected]]-1</f>
        <v>-0.15740740740740744</v>
      </c>
      <c r="AF86">
        <f>IF(OR(Table6[[#This Row],[maleMergedCount]]&lt;5,Table6[[#This Row],[maleDeclinedCount]]&lt;5,Table6[[#This Row],[femaleMergedCount]]&lt;5,Table6[[#This Row],[femaleDeclinedCount]]&lt;5,W86&lt;$X$1),0,1)</f>
        <v>0</v>
      </c>
    </row>
    <row r="87" spans="1:32" x14ac:dyDescent="0.2">
      <c r="A87" t="s">
        <v>89</v>
      </c>
      <c r="B87" s="4">
        <v>115</v>
      </c>
      <c r="C87" s="4">
        <v>38</v>
      </c>
      <c r="D87" s="22">
        <f>Table6[[#This Row],[mergedCount]]/Table6[[#This Row],[PRCount]]</f>
        <v>0.33043478260869563</v>
      </c>
      <c r="E87" s="4">
        <v>77</v>
      </c>
      <c r="F87" s="4">
        <v>60</v>
      </c>
      <c r="G87" s="4">
        <v>5</v>
      </c>
      <c r="H87" s="4">
        <v>50</v>
      </c>
      <c r="I87" s="2">
        <f>Table6[[#This Row],[malePullRequests]]/(Table6[[#This Row],[PRCount]]-Table6[[#This Row],[unknownPullRequests]])</f>
        <v>0.92307692307692313</v>
      </c>
      <c r="J87" s="2">
        <f>Table6[[#This Row],[femalePullRequests]]/(Table6[[#This Row],[PRCount]]-Table6[[#This Row],[unknownPullRequests]])</f>
        <v>7.6923076923076927E-2</v>
      </c>
      <c r="K87">
        <v>26</v>
      </c>
      <c r="L87">
        <v>34</v>
      </c>
      <c r="M87">
        <v>1</v>
      </c>
      <c r="N87">
        <v>4</v>
      </c>
      <c r="O87" s="5">
        <f>(Table6[[#This Row],[mergedCount]]/Table6[[#This Row],[PRCount]])*Table6[[#This Row],[malePullRequests]]</f>
        <v>19.826086956521738</v>
      </c>
      <c r="P87" s="5">
        <f>(Table6[[#This Row],[declinedCount]]/Table6[[#This Row],[PRCount]])*Table6[[#This Row],[malePullRequests]]</f>
        <v>40.173913043478265</v>
      </c>
      <c r="Q87" s="5">
        <f>(Table6[[#This Row],[mergedCount]]/Table6[[#This Row],[PRCount]])*Table6[[#This Row],[femalePullRequests]]</f>
        <v>1.652173913043478</v>
      </c>
      <c r="R87" s="5">
        <f>(Table6[[#This Row],[declinedCount]]/Table6[[#This Row],[PRCount]])*Table6[[#This Row],[femalePullRequests]]</f>
        <v>3.347826086956522</v>
      </c>
      <c r="S87">
        <f>(Table6[[#This Row],[maleMergedCount]]-Table6[[#This Row],[male merged expected]])^2/IF(Table6[[#This Row],[male merged expected]]&gt;0,Table6[[#This Row],[male merged expected]],1)</f>
        <v>1.922578184591915</v>
      </c>
      <c r="T87">
        <f>(Table6[[#This Row],[maleDeclinedCount]]-Table6[[#This Row],[male declined expected]])^2/IF(Table6[[#This Row],[male declined expected]]&gt;0,Table6[[#This Row],[male declined expected]],1)</f>
        <v>0.94880481837003705</v>
      </c>
      <c r="U87">
        <f>(Table6[[#This Row],[femaleMergedCount]]-Table6[[#This Row],[female merged expected]])^2/IF(Table6[[#This Row],[female merged expected]]&gt;0,Table6[[#This Row],[female merged expected]],1)</f>
        <v>0.257437070938215</v>
      </c>
      <c r="V87">
        <f>(Table6[[#This Row],[femaleDeclinedCount]]-Table6[[#This Row],[female declined expected]])^2/IF(Table6[[#This Row],[female declined expected]]&gt;0,Table6[[#This Row],[female declined expected]],1)</f>
        <v>0.12704686617730088</v>
      </c>
      <c r="W87">
        <f t="shared" si="1"/>
        <v>3.255866940077468</v>
      </c>
      <c r="Y87" s="3">
        <f>IF(PRODUCT(Table6[[#This Row],[maleMergedCount]:[female declined expected]])&gt;0,_xlfn.CHISQ.TEST(Table6[[#This Row],[maleMergedCount]:[femaleDeclinedCount]],Table6[[#This Row],[male merged expected]:[female declined expected]]),"FALSE")</f>
        <v>0.35383252971246104</v>
      </c>
      <c r="AA87" s="2">
        <f>Table6[[#This Row],[maleMergedCount]]/Table6[[#This Row],[male merged expected]]-1</f>
        <v>0.31140350877192979</v>
      </c>
      <c r="AB87" s="2">
        <f>Table6[[#This Row],[maleDeclinedCount]]/Table6[[#This Row],[male declined expected]]-1</f>
        <v>-0.15367965367965375</v>
      </c>
      <c r="AC87" s="2">
        <f>Table6[[#This Row],[femaleMergedCount]]/Table6[[#This Row],[female merged expected]]-1</f>
        <v>-0.39473684210526305</v>
      </c>
      <c r="AD87" s="2">
        <f>Table6[[#This Row],[femaleDeclinedCount]]/Table6[[#This Row],[female declined expected]]-1</f>
        <v>0.19480519480519476</v>
      </c>
      <c r="AF87">
        <f>IF(OR(Table6[[#This Row],[maleMergedCount]]&lt;5,Table6[[#This Row],[maleDeclinedCount]]&lt;5,Table6[[#This Row],[femaleMergedCount]]&lt;5,Table6[[#This Row],[femaleDeclinedCount]]&lt;5,W87&lt;$X$1),0,1)</f>
        <v>0</v>
      </c>
    </row>
    <row r="88" spans="1:32" x14ac:dyDescent="0.2">
      <c r="A88" t="s">
        <v>90</v>
      </c>
      <c r="B88" s="4">
        <v>74</v>
      </c>
      <c r="C88" s="4">
        <v>40</v>
      </c>
      <c r="D88" s="22">
        <f>Table6[[#This Row],[mergedCount]]/Table6[[#This Row],[PRCount]]</f>
        <v>0.54054054054054057</v>
      </c>
      <c r="E88" s="4">
        <v>34</v>
      </c>
      <c r="F88" s="4">
        <v>61</v>
      </c>
      <c r="G88" s="4">
        <v>2</v>
      </c>
      <c r="H88" s="4">
        <v>11</v>
      </c>
      <c r="I88" s="2">
        <f>Table6[[#This Row],[malePullRequests]]/(Table6[[#This Row],[PRCount]]-Table6[[#This Row],[unknownPullRequests]])</f>
        <v>0.96825396825396826</v>
      </c>
      <c r="J88" s="2">
        <f>Table6[[#This Row],[femalePullRequests]]/(Table6[[#This Row],[PRCount]]-Table6[[#This Row],[unknownPullRequests]])</f>
        <v>3.1746031746031744E-2</v>
      </c>
      <c r="K88">
        <v>34</v>
      </c>
      <c r="L88">
        <v>27</v>
      </c>
      <c r="M88">
        <v>1</v>
      </c>
      <c r="N88">
        <v>1</v>
      </c>
      <c r="O88" s="5">
        <f>(Table6[[#This Row],[mergedCount]]/Table6[[#This Row],[PRCount]])*Table6[[#This Row],[malePullRequests]]</f>
        <v>32.972972972972975</v>
      </c>
      <c r="P88" s="5">
        <f>(Table6[[#This Row],[declinedCount]]/Table6[[#This Row],[PRCount]])*Table6[[#This Row],[malePullRequests]]</f>
        <v>28.027027027027028</v>
      </c>
      <c r="Q88" s="5">
        <f>(Table6[[#This Row],[mergedCount]]/Table6[[#This Row],[PRCount]])*Table6[[#This Row],[femalePullRequests]]</f>
        <v>1.0810810810810811</v>
      </c>
      <c r="R88" s="5">
        <f>(Table6[[#This Row],[declinedCount]]/Table6[[#This Row],[PRCount]])*Table6[[#This Row],[femalePullRequests]]</f>
        <v>0.91891891891891897</v>
      </c>
      <c r="S88">
        <f>(Table6[[#This Row],[maleMergedCount]]-Table6[[#This Row],[male merged expected]])^2/IF(Table6[[#This Row],[male merged expected]]&gt;0,Table6[[#This Row],[male merged expected]],1)</f>
        <v>3.1989366415595771E-2</v>
      </c>
      <c r="T88">
        <f>(Table6[[#This Row],[maleDeclinedCount]]-Table6[[#This Row],[male declined expected]])^2/IF(Table6[[#This Row],[male declined expected]]&gt;0,Table6[[#This Row],[male declined expected]],1)</f>
        <v>3.7634548724230568E-2</v>
      </c>
      <c r="U88">
        <f>(Table6[[#This Row],[femaleMergedCount]]-Table6[[#This Row],[female merged expected]])^2/IF(Table6[[#This Row],[female merged expected]]&gt;0,Table6[[#This Row],[female merged expected]],1)</f>
        <v>6.0810810810810892E-3</v>
      </c>
      <c r="V88">
        <f>(Table6[[#This Row],[femaleDeclinedCount]]-Table6[[#This Row],[female declined expected]])^2/IF(Table6[[#This Row],[female declined expected]]&gt;0,Table6[[#This Row],[female declined expected]],1)</f>
        <v>7.1542130365659685E-3</v>
      </c>
      <c r="W88">
        <f t="shared" si="1"/>
        <v>8.2859209257473393E-2</v>
      </c>
      <c r="Y88" s="3">
        <f>IF(PRODUCT(Table6[[#This Row],[maleMergedCount]:[female declined expected]])&gt;0,_xlfn.CHISQ.TEST(Table6[[#This Row],[maleMergedCount]:[femaleDeclinedCount]],Table6[[#This Row],[male merged expected]:[female declined expected]]),"FALSE")</f>
        <v>0.99381186210478778</v>
      </c>
      <c r="AA88" s="2">
        <f>Table6[[#This Row],[maleMergedCount]]/Table6[[#This Row],[male merged expected]]-1</f>
        <v>3.1147540983606392E-2</v>
      </c>
      <c r="AB88" s="2">
        <f>Table6[[#This Row],[maleDeclinedCount]]/Table6[[#This Row],[male declined expected]]-1</f>
        <v>-3.6644165863066624E-2</v>
      </c>
      <c r="AC88" s="2">
        <f>Table6[[#This Row],[femaleMergedCount]]/Table6[[#This Row],[female merged expected]]-1</f>
        <v>-7.5000000000000067E-2</v>
      </c>
      <c r="AD88" s="2">
        <f>Table6[[#This Row],[femaleDeclinedCount]]/Table6[[#This Row],[female declined expected]]-1</f>
        <v>8.8235294117646967E-2</v>
      </c>
      <c r="AF88">
        <f>IF(OR(Table6[[#This Row],[maleMergedCount]]&lt;5,Table6[[#This Row],[maleDeclinedCount]]&lt;5,Table6[[#This Row],[femaleMergedCount]]&lt;5,Table6[[#This Row],[femaleDeclinedCount]]&lt;5,W88&lt;$X$1),0,1)</f>
        <v>0</v>
      </c>
    </row>
    <row r="89" spans="1:32" x14ac:dyDescent="0.2">
      <c r="A89" t="s">
        <v>91</v>
      </c>
      <c r="B89" s="4">
        <v>64</v>
      </c>
      <c r="C89" s="4">
        <v>33</v>
      </c>
      <c r="D89" s="22">
        <f>Table6[[#This Row],[mergedCount]]/Table6[[#This Row],[PRCount]]</f>
        <v>0.515625</v>
      </c>
      <c r="E89" s="4">
        <v>31</v>
      </c>
      <c r="F89" s="4">
        <v>55</v>
      </c>
      <c r="G89" s="4">
        <v>1</v>
      </c>
      <c r="H89" s="4">
        <v>8</v>
      </c>
      <c r="I89" s="2">
        <f>Table6[[#This Row],[malePullRequests]]/(Table6[[#This Row],[PRCount]]-Table6[[#This Row],[unknownPullRequests]])</f>
        <v>0.9821428571428571</v>
      </c>
      <c r="J89" s="2">
        <f>Table6[[#This Row],[femalePullRequests]]/(Table6[[#This Row],[PRCount]]-Table6[[#This Row],[unknownPullRequests]])</f>
        <v>1.7857142857142856E-2</v>
      </c>
      <c r="K89">
        <v>29</v>
      </c>
      <c r="L89">
        <v>26</v>
      </c>
      <c r="M89">
        <v>1</v>
      </c>
      <c r="N89">
        <v>0</v>
      </c>
      <c r="O89" s="5">
        <f>(Table6[[#This Row],[mergedCount]]/Table6[[#This Row],[PRCount]])*Table6[[#This Row],[malePullRequests]]</f>
        <v>28.359375</v>
      </c>
      <c r="P89" s="5">
        <f>(Table6[[#This Row],[declinedCount]]/Table6[[#This Row],[PRCount]])*Table6[[#This Row],[malePullRequests]]</f>
        <v>26.640625</v>
      </c>
      <c r="Q89" s="5">
        <f>(Table6[[#This Row],[mergedCount]]/Table6[[#This Row],[PRCount]])*Table6[[#This Row],[femalePullRequests]]</f>
        <v>0.515625</v>
      </c>
      <c r="R89" s="5">
        <f>(Table6[[#This Row],[declinedCount]]/Table6[[#This Row],[PRCount]])*Table6[[#This Row],[femalePullRequests]]</f>
        <v>0.484375</v>
      </c>
      <c r="S89">
        <f>(Table6[[#This Row],[maleMergedCount]]-Table6[[#This Row],[male merged expected]])^2/IF(Table6[[#This Row],[male merged expected]]&gt;0,Table6[[#This Row],[male merged expected]],1)</f>
        <v>1.4471418732782369E-2</v>
      </c>
      <c r="T89">
        <f>(Table6[[#This Row],[maleDeclinedCount]]-Table6[[#This Row],[male declined expected]])^2/IF(Table6[[#This Row],[male declined expected]]&gt;0,Table6[[#This Row],[male declined expected]],1)</f>
        <v>1.5405058651026394E-2</v>
      </c>
      <c r="U89">
        <f>(Table6[[#This Row],[femaleMergedCount]]-Table6[[#This Row],[female merged expected]])^2/IF(Table6[[#This Row],[female merged expected]]&gt;0,Table6[[#This Row],[female merged expected]],1)</f>
        <v>0.45501893939393939</v>
      </c>
      <c r="V89">
        <f>(Table6[[#This Row],[femaleDeclinedCount]]-Table6[[#This Row],[female declined expected]])^2/IF(Table6[[#This Row],[female declined expected]]&gt;0,Table6[[#This Row],[female declined expected]],1)</f>
        <v>0.484375</v>
      </c>
      <c r="W89">
        <f t="shared" si="1"/>
        <v>0.96927041677774817</v>
      </c>
      <c r="Y89" s="3" t="str">
        <f>IF(PRODUCT(Table6[[#This Row],[maleMergedCount]:[female declined expected]])&gt;0,_xlfn.CHISQ.TEST(Table6[[#This Row],[maleMergedCount]:[femaleDeclinedCount]],Table6[[#This Row],[male merged expected]:[female declined expected]]),"FALSE")</f>
        <v>FALSE</v>
      </c>
      <c r="AA89" s="2">
        <f>Table6[[#This Row],[maleMergedCount]]/Table6[[#This Row],[male merged expected]]-1</f>
        <v>2.2589531680440755E-2</v>
      </c>
      <c r="AB89" s="2">
        <f>Table6[[#This Row],[maleDeclinedCount]]/Table6[[#This Row],[male declined expected]]-1</f>
        <v>-2.404692082111437E-2</v>
      </c>
      <c r="AC89" s="2">
        <f>Table6[[#This Row],[femaleMergedCount]]/Table6[[#This Row],[female merged expected]]-1</f>
        <v>0.93939393939393945</v>
      </c>
      <c r="AD89" s="2">
        <f>Table6[[#This Row],[femaleDeclinedCount]]/Table6[[#This Row],[female declined expected]]-1</f>
        <v>-1</v>
      </c>
      <c r="AF89">
        <f>IF(OR(Table6[[#This Row],[maleMergedCount]]&lt;5,Table6[[#This Row],[maleDeclinedCount]]&lt;5,Table6[[#This Row],[femaleMergedCount]]&lt;5,Table6[[#This Row],[femaleDeclinedCount]]&lt;5,W89&lt;$X$1),0,1)</f>
        <v>0</v>
      </c>
    </row>
    <row r="90" spans="1:32" x14ac:dyDescent="0.2">
      <c r="A90" t="s">
        <v>92</v>
      </c>
      <c r="B90" s="4">
        <v>347</v>
      </c>
      <c r="C90" s="4">
        <v>288</v>
      </c>
      <c r="D90" s="22">
        <f>Table6[[#This Row],[mergedCount]]/Table6[[#This Row],[PRCount]]</f>
        <v>0.82997118155619598</v>
      </c>
      <c r="E90" s="4">
        <v>59</v>
      </c>
      <c r="F90" s="4">
        <v>36</v>
      </c>
      <c r="G90" s="4">
        <v>12</v>
      </c>
      <c r="H90" s="4">
        <v>299</v>
      </c>
      <c r="I90" s="2">
        <f>Table6[[#This Row],[malePullRequests]]/(Table6[[#This Row],[PRCount]]-Table6[[#This Row],[unknownPullRequests]])</f>
        <v>0.75</v>
      </c>
      <c r="J90" s="2">
        <f>Table6[[#This Row],[femalePullRequests]]/(Table6[[#This Row],[PRCount]]-Table6[[#This Row],[unknownPullRequests]])</f>
        <v>0.25</v>
      </c>
      <c r="K90">
        <v>29</v>
      </c>
      <c r="L90">
        <v>7</v>
      </c>
      <c r="M90">
        <v>5</v>
      </c>
      <c r="N90">
        <v>7</v>
      </c>
      <c r="O90" s="5">
        <f>(Table6[[#This Row],[mergedCount]]/Table6[[#This Row],[PRCount]])*Table6[[#This Row],[malePullRequests]]</f>
        <v>29.878962536023057</v>
      </c>
      <c r="P90" s="5">
        <f>(Table6[[#This Row],[declinedCount]]/Table6[[#This Row],[PRCount]])*Table6[[#This Row],[malePullRequests]]</f>
        <v>6.121037463976946</v>
      </c>
      <c r="Q90" s="5">
        <f>(Table6[[#This Row],[mergedCount]]/Table6[[#This Row],[PRCount]])*Table6[[#This Row],[femalePullRequests]]</f>
        <v>9.9596541786743522</v>
      </c>
      <c r="R90" s="5">
        <f>(Table6[[#This Row],[declinedCount]]/Table6[[#This Row],[PRCount]])*Table6[[#This Row],[femalePullRequests]]</f>
        <v>2.0403458213256487</v>
      </c>
      <c r="S90">
        <f>(Table6[[#This Row],[maleMergedCount]]-Table6[[#This Row],[male merged expected]])^2/IF(Table6[[#This Row],[male merged expected]]&gt;0,Table6[[#This Row],[male merged expected]],1)</f>
        <v>2.5856826146511653E-2</v>
      </c>
      <c r="T90">
        <f>(Table6[[#This Row],[maleDeclinedCount]]-Table6[[#This Row],[male declined expected]])^2/IF(Table6[[#This Row],[male declined expected]]&gt;0,Table6[[#This Row],[male declined expected]],1)</f>
        <v>0.12621637169822561</v>
      </c>
      <c r="U90">
        <f>(Table6[[#This Row],[femaleMergedCount]]-Table6[[#This Row],[female merged expected]])^2/IF(Table6[[#This Row],[female merged expected]]&gt;0,Table6[[#This Row],[female merged expected]],1)</f>
        <v>2.4697814934891671</v>
      </c>
      <c r="V90">
        <f>(Table6[[#This Row],[femaleDeclinedCount]]-Table6[[#This Row],[female declined expected]])^2/IF(Table6[[#This Row],[female declined expected]]&gt;0,Table6[[#This Row],[female declined expected]],1)</f>
        <v>12.055882544489487</v>
      </c>
      <c r="W90">
        <f t="shared" si="1"/>
        <v>14.677737235823392</v>
      </c>
      <c r="Y90" s="3">
        <f>IF(PRODUCT(Table6[[#This Row],[maleMergedCount]:[female declined expected]])&gt;0,_xlfn.CHISQ.TEST(Table6[[#This Row],[maleMergedCount]:[femaleDeclinedCount]],Table6[[#This Row],[male merged expected]:[female declined expected]]),"FALSE")</f>
        <v>2.1138193282537734E-3</v>
      </c>
      <c r="AA90" s="2">
        <f>Table6[[#This Row],[maleMergedCount]]/Table6[[#This Row],[male merged expected]]-1</f>
        <v>-2.9417438271605034E-2</v>
      </c>
      <c r="AB90" s="2">
        <f>Table6[[#This Row],[maleDeclinedCount]]/Table6[[#This Row],[male declined expected]]-1</f>
        <v>0.14359698681732569</v>
      </c>
      <c r="AC90" s="2">
        <f>Table6[[#This Row],[femaleMergedCount]]/Table6[[#This Row],[female merged expected]]-1</f>
        <v>-0.49797453703703709</v>
      </c>
      <c r="AD90" s="2">
        <f>Table6[[#This Row],[femaleDeclinedCount]]/Table6[[#This Row],[female declined expected]]-1</f>
        <v>2.4307909604519771</v>
      </c>
      <c r="AF90">
        <f>IF(OR(Table6[[#This Row],[maleMergedCount]]&lt;5,Table6[[#This Row],[maleDeclinedCount]]&lt;5,Table6[[#This Row],[femaleMergedCount]]&lt;5,Table6[[#This Row],[femaleDeclinedCount]]&lt;5,W90&lt;$X$1),0,1)</f>
        <v>1</v>
      </c>
    </row>
    <row r="91" spans="1:32" x14ac:dyDescent="0.2">
      <c r="A91" t="s">
        <v>93</v>
      </c>
      <c r="B91" s="4">
        <v>89</v>
      </c>
      <c r="C91" s="4">
        <v>88</v>
      </c>
      <c r="D91" s="22">
        <f>Table6[[#This Row],[mergedCount]]/Table6[[#This Row],[PRCount]]</f>
        <v>0.9887640449438202</v>
      </c>
      <c r="E91" s="4">
        <v>1</v>
      </c>
      <c r="F91" s="4">
        <v>46</v>
      </c>
      <c r="G91" s="4">
        <v>1</v>
      </c>
      <c r="H91" s="4">
        <v>42</v>
      </c>
      <c r="I91" s="2">
        <f>Table6[[#This Row],[malePullRequests]]/(Table6[[#This Row],[PRCount]]-Table6[[#This Row],[unknownPullRequests]])</f>
        <v>0.97872340425531912</v>
      </c>
      <c r="J91" s="2">
        <f>Table6[[#This Row],[femalePullRequests]]/(Table6[[#This Row],[PRCount]]-Table6[[#This Row],[unknownPullRequests]])</f>
        <v>2.1276595744680851E-2</v>
      </c>
      <c r="K91">
        <v>45</v>
      </c>
      <c r="L91">
        <v>1</v>
      </c>
      <c r="M91">
        <v>1</v>
      </c>
      <c r="N91">
        <v>0</v>
      </c>
      <c r="O91" s="5">
        <f>(Table6[[#This Row],[mergedCount]]/Table6[[#This Row],[PRCount]])*Table6[[#This Row],[malePullRequests]]</f>
        <v>45.483146067415731</v>
      </c>
      <c r="P91" s="5">
        <f>(Table6[[#This Row],[declinedCount]]/Table6[[#This Row],[PRCount]])*Table6[[#This Row],[malePullRequests]]</f>
        <v>0.51685393258426959</v>
      </c>
      <c r="Q91" s="5">
        <f>(Table6[[#This Row],[mergedCount]]/Table6[[#This Row],[PRCount]])*Table6[[#This Row],[femalePullRequests]]</f>
        <v>0.9887640449438202</v>
      </c>
      <c r="R91" s="5">
        <f>(Table6[[#This Row],[declinedCount]]/Table6[[#This Row],[PRCount]])*Table6[[#This Row],[femalePullRequests]]</f>
        <v>1.1235955056179775E-2</v>
      </c>
      <c r="S91">
        <f>(Table6[[#This Row],[maleMergedCount]]-Table6[[#This Row],[male merged expected]])^2/IF(Table6[[#This Row],[male merged expected]]&gt;0,Table6[[#This Row],[male merged expected]],1)</f>
        <v>5.1322334236354955E-3</v>
      </c>
      <c r="T91">
        <f>(Table6[[#This Row],[maleDeclinedCount]]-Table6[[#This Row],[male declined expected]])^2/IF(Table6[[#This Row],[male declined expected]]&gt;0,Table6[[#This Row],[male declined expected]],1)</f>
        <v>0.45163654127992203</v>
      </c>
      <c r="U91">
        <f>(Table6[[#This Row],[femaleMergedCount]]-Table6[[#This Row],[female merged expected]])^2/IF(Table6[[#This Row],[female merged expected]]&gt;0,Table6[[#This Row],[female merged expected]],1)</f>
        <v>1.2768130745658898E-4</v>
      </c>
      <c r="V91">
        <f>(Table6[[#This Row],[femaleDeclinedCount]]-Table6[[#This Row],[female declined expected]])^2/IF(Table6[[#This Row],[female declined expected]]&gt;0,Table6[[#This Row],[female declined expected]],1)</f>
        <v>1.1235955056179775E-2</v>
      </c>
      <c r="W91">
        <f t="shared" si="1"/>
        <v>0.46813241106719394</v>
      </c>
      <c r="Y91" s="3" t="str">
        <f>IF(PRODUCT(Table6[[#This Row],[maleMergedCount]:[female declined expected]])&gt;0,_xlfn.CHISQ.TEST(Table6[[#This Row],[maleMergedCount]:[femaleDeclinedCount]],Table6[[#This Row],[male merged expected]:[female declined expected]]),"FALSE")</f>
        <v>FALSE</v>
      </c>
      <c r="AA91" s="2">
        <f>Table6[[#This Row],[maleMergedCount]]/Table6[[#This Row],[male merged expected]]-1</f>
        <v>-1.0622529644268797E-2</v>
      </c>
      <c r="AB91" s="2">
        <f>Table6[[#This Row],[maleDeclinedCount]]/Table6[[#This Row],[male declined expected]]-1</f>
        <v>0.93478260869565233</v>
      </c>
      <c r="AC91" s="2">
        <f>Table6[[#This Row],[femaleMergedCount]]/Table6[[#This Row],[female merged expected]]-1</f>
        <v>1.1363636363636465E-2</v>
      </c>
      <c r="AD91" s="2">
        <f>Table6[[#This Row],[femaleDeclinedCount]]/Table6[[#This Row],[female declined expected]]-1</f>
        <v>-1</v>
      </c>
      <c r="AF91">
        <f>IF(OR(Table6[[#This Row],[maleMergedCount]]&lt;5,Table6[[#This Row],[maleDeclinedCount]]&lt;5,Table6[[#This Row],[femaleMergedCount]]&lt;5,Table6[[#This Row],[femaleDeclinedCount]]&lt;5,W91&lt;$X$1),0,1)</f>
        <v>0</v>
      </c>
    </row>
    <row r="92" spans="1:32" x14ac:dyDescent="0.2">
      <c r="A92" t="s">
        <v>94</v>
      </c>
      <c r="B92" s="4">
        <v>82</v>
      </c>
      <c r="C92" s="4">
        <v>53</v>
      </c>
      <c r="D92" s="22">
        <f>Table6[[#This Row],[mergedCount]]/Table6[[#This Row],[PRCount]]</f>
        <v>0.64634146341463417</v>
      </c>
      <c r="E92" s="4">
        <v>29</v>
      </c>
      <c r="F92" s="4">
        <v>42</v>
      </c>
      <c r="G92" s="4">
        <v>1</v>
      </c>
      <c r="H92" s="4">
        <v>39</v>
      </c>
      <c r="I92" s="2">
        <f>Table6[[#This Row],[malePullRequests]]/(Table6[[#This Row],[PRCount]]-Table6[[#This Row],[unknownPullRequests]])</f>
        <v>0.97674418604651159</v>
      </c>
      <c r="J92" s="2">
        <f>Table6[[#This Row],[femalePullRequests]]/(Table6[[#This Row],[PRCount]]-Table6[[#This Row],[unknownPullRequests]])</f>
        <v>2.3255813953488372E-2</v>
      </c>
      <c r="K92">
        <v>25</v>
      </c>
      <c r="L92">
        <v>17</v>
      </c>
      <c r="M92">
        <v>1</v>
      </c>
      <c r="N92">
        <v>0</v>
      </c>
      <c r="O92" s="5">
        <f>(Table6[[#This Row],[mergedCount]]/Table6[[#This Row],[PRCount]])*Table6[[#This Row],[malePullRequests]]</f>
        <v>27.146341463414636</v>
      </c>
      <c r="P92" s="5">
        <f>(Table6[[#This Row],[declinedCount]]/Table6[[#This Row],[PRCount]])*Table6[[#This Row],[malePullRequests]]</f>
        <v>14.853658536585366</v>
      </c>
      <c r="Q92" s="5">
        <f>(Table6[[#This Row],[mergedCount]]/Table6[[#This Row],[PRCount]])*Table6[[#This Row],[femalePullRequests]]</f>
        <v>0.64634146341463417</v>
      </c>
      <c r="R92" s="5">
        <f>(Table6[[#This Row],[declinedCount]]/Table6[[#This Row],[PRCount]])*Table6[[#This Row],[femalePullRequests]]</f>
        <v>0.35365853658536583</v>
      </c>
      <c r="S92">
        <f>(Table6[[#This Row],[maleMergedCount]]-Table6[[#This Row],[male merged expected]])^2/IF(Table6[[#This Row],[male merged expected]]&gt;0,Table6[[#This Row],[male merged expected]],1)</f>
        <v>0.16970175092586534</v>
      </c>
      <c r="T92">
        <f>(Table6[[#This Row],[maleDeclinedCount]]-Table6[[#This Row],[male declined expected]])^2/IF(Table6[[#This Row],[male declined expected]]&gt;0,Table6[[#This Row],[male declined expected]],1)</f>
        <v>0.31014457927830513</v>
      </c>
      <c r="U92">
        <f>(Table6[[#This Row],[femaleMergedCount]]-Table6[[#This Row],[female merged expected]])^2/IF(Table6[[#This Row],[female merged expected]]&gt;0,Table6[[#This Row],[female merged expected]],1)</f>
        <v>0.19351127473538884</v>
      </c>
      <c r="V92">
        <f>(Table6[[#This Row],[femaleDeclinedCount]]-Table6[[#This Row],[female declined expected]])^2/IF(Table6[[#This Row],[female declined expected]]&gt;0,Table6[[#This Row],[female declined expected]],1)</f>
        <v>0.35365853658536583</v>
      </c>
      <c r="W92">
        <f t="shared" si="1"/>
        <v>1.0270161415249253</v>
      </c>
      <c r="Y92" s="3" t="str">
        <f>IF(PRODUCT(Table6[[#This Row],[maleMergedCount]:[female declined expected]])&gt;0,_xlfn.CHISQ.TEST(Table6[[#This Row],[maleMergedCount]:[femaleDeclinedCount]],Table6[[#This Row],[male merged expected]:[female declined expected]]),"FALSE")</f>
        <v>FALSE</v>
      </c>
      <c r="AA92" s="2">
        <f>Table6[[#This Row],[maleMergedCount]]/Table6[[#This Row],[male merged expected]]-1</f>
        <v>-7.906558849955081E-2</v>
      </c>
      <c r="AB92" s="2">
        <f>Table6[[#This Row],[maleDeclinedCount]]/Table6[[#This Row],[male declined expected]]-1</f>
        <v>0.14449917898193765</v>
      </c>
      <c r="AC92" s="2">
        <f>Table6[[#This Row],[femaleMergedCount]]/Table6[[#This Row],[female merged expected]]-1</f>
        <v>0.5471698113207546</v>
      </c>
      <c r="AD92" s="2">
        <f>Table6[[#This Row],[femaleDeclinedCount]]/Table6[[#This Row],[female declined expected]]-1</f>
        <v>-1</v>
      </c>
      <c r="AF92">
        <f>IF(OR(Table6[[#This Row],[maleMergedCount]]&lt;5,Table6[[#This Row],[maleDeclinedCount]]&lt;5,Table6[[#This Row],[femaleMergedCount]]&lt;5,Table6[[#This Row],[femaleDeclinedCount]]&lt;5,W92&lt;$X$1),0,1)</f>
        <v>0</v>
      </c>
    </row>
    <row r="93" spans="1:32" x14ac:dyDescent="0.2">
      <c r="A93" t="s">
        <v>95</v>
      </c>
      <c r="B93" s="4">
        <v>59</v>
      </c>
      <c r="C93" s="4">
        <v>40</v>
      </c>
      <c r="D93" s="22">
        <f>Table6[[#This Row],[mergedCount]]/Table6[[#This Row],[PRCount]]</f>
        <v>0.67796610169491522</v>
      </c>
      <c r="E93" s="4">
        <v>19</v>
      </c>
      <c r="F93" s="4">
        <v>33</v>
      </c>
      <c r="G93" s="4">
        <v>3</v>
      </c>
      <c r="H93" s="4">
        <v>23</v>
      </c>
      <c r="I93" s="2">
        <f>Table6[[#This Row],[malePullRequests]]/(Table6[[#This Row],[PRCount]]-Table6[[#This Row],[unknownPullRequests]])</f>
        <v>0.91666666666666663</v>
      </c>
      <c r="J93" s="2">
        <f>Table6[[#This Row],[femalePullRequests]]/(Table6[[#This Row],[PRCount]]-Table6[[#This Row],[unknownPullRequests]])</f>
        <v>8.3333333333333329E-2</v>
      </c>
      <c r="K93">
        <v>24</v>
      </c>
      <c r="L93">
        <v>9</v>
      </c>
      <c r="M93">
        <v>2</v>
      </c>
      <c r="N93">
        <v>1</v>
      </c>
      <c r="O93" s="5">
        <f>(Table6[[#This Row],[mergedCount]]/Table6[[#This Row],[PRCount]])*Table6[[#This Row],[malePullRequests]]</f>
        <v>22.372881355932201</v>
      </c>
      <c r="P93" s="5">
        <f>(Table6[[#This Row],[declinedCount]]/Table6[[#This Row],[PRCount]])*Table6[[#This Row],[malePullRequests]]</f>
        <v>10.627118644067796</v>
      </c>
      <c r="Q93" s="5">
        <f>(Table6[[#This Row],[mergedCount]]/Table6[[#This Row],[PRCount]])*Table6[[#This Row],[femalePullRequests]]</f>
        <v>2.0338983050847457</v>
      </c>
      <c r="R93" s="5">
        <f>(Table6[[#This Row],[declinedCount]]/Table6[[#This Row],[PRCount]])*Table6[[#This Row],[femalePullRequests]]</f>
        <v>0.96610169491525411</v>
      </c>
      <c r="S93">
        <f>(Table6[[#This Row],[maleMergedCount]]-Table6[[#This Row],[male merged expected]])^2/IF(Table6[[#This Row],[male merged expected]]&gt;0,Table6[[#This Row],[male merged expected]],1)</f>
        <v>0.11833590138674926</v>
      </c>
      <c r="T93">
        <f>(Table6[[#This Row],[maleDeclinedCount]]-Table6[[#This Row],[male declined expected]])^2/IF(Table6[[#This Row],[male declined expected]]&gt;0,Table6[[#This Row],[male declined expected]],1)</f>
        <v>0.24912821344578681</v>
      </c>
      <c r="U93">
        <f>(Table6[[#This Row],[femaleMergedCount]]-Table6[[#This Row],[female merged expected]])^2/IF(Table6[[#This Row],[female merged expected]]&gt;0,Table6[[#This Row],[female merged expected]],1)</f>
        <v>5.6497175141242636E-4</v>
      </c>
      <c r="V93">
        <f>(Table6[[#This Row],[femaleDeclinedCount]]-Table6[[#This Row],[female declined expected]])^2/IF(Table6[[#This Row],[female declined expected]]&gt;0,Table6[[#This Row],[female declined expected]],1)</f>
        <v>1.1894142134998608E-3</v>
      </c>
      <c r="W93">
        <f t="shared" si="1"/>
        <v>0.36921850079744833</v>
      </c>
      <c r="Y93" s="3">
        <f>IF(PRODUCT(Table6[[#This Row],[maleMergedCount]:[female declined expected]])&gt;0,_xlfn.CHISQ.TEST(Table6[[#This Row],[maleMergedCount]:[femaleDeclinedCount]],Table6[[#This Row],[male merged expected]:[female declined expected]]),"FALSE")</f>
        <v>0.94652518821072273</v>
      </c>
      <c r="AA93" s="2">
        <f>Table6[[#This Row],[maleMergedCount]]/Table6[[#This Row],[male merged expected]]-1</f>
        <v>7.2727272727272751E-2</v>
      </c>
      <c r="AB93" s="2">
        <f>Table6[[#This Row],[maleDeclinedCount]]/Table6[[#This Row],[male declined expected]]-1</f>
        <v>-0.15311004784688986</v>
      </c>
      <c r="AC93" s="2">
        <f>Table6[[#This Row],[femaleMergedCount]]/Table6[[#This Row],[female merged expected]]-1</f>
        <v>-1.6666666666666607E-2</v>
      </c>
      <c r="AD93" s="2">
        <f>Table6[[#This Row],[femaleDeclinedCount]]/Table6[[#This Row],[female declined expected]]-1</f>
        <v>3.5087719298245723E-2</v>
      </c>
      <c r="AF93">
        <f>IF(OR(Table6[[#This Row],[maleMergedCount]]&lt;5,Table6[[#This Row],[maleDeclinedCount]]&lt;5,Table6[[#This Row],[femaleMergedCount]]&lt;5,Table6[[#This Row],[femaleDeclinedCount]]&lt;5,W93&lt;$X$1),0,1)</f>
        <v>0</v>
      </c>
    </row>
    <row r="94" spans="1:32" x14ac:dyDescent="0.2">
      <c r="A94" t="s">
        <v>96</v>
      </c>
      <c r="B94" s="4">
        <v>73</v>
      </c>
      <c r="C94" s="4">
        <v>47</v>
      </c>
      <c r="D94" s="22">
        <f>Table6[[#This Row],[mergedCount]]/Table6[[#This Row],[PRCount]]</f>
        <v>0.64383561643835618</v>
      </c>
      <c r="E94" s="4">
        <v>26</v>
      </c>
      <c r="F94" s="4">
        <v>26</v>
      </c>
      <c r="G94" s="4">
        <v>5</v>
      </c>
      <c r="H94" s="4">
        <v>42</v>
      </c>
      <c r="I94" s="2">
        <f>Table6[[#This Row],[malePullRequests]]/(Table6[[#This Row],[PRCount]]-Table6[[#This Row],[unknownPullRequests]])</f>
        <v>0.83870967741935487</v>
      </c>
      <c r="J94" s="2">
        <f>Table6[[#This Row],[femalePullRequests]]/(Table6[[#This Row],[PRCount]]-Table6[[#This Row],[unknownPullRequests]])</f>
        <v>0.16129032258064516</v>
      </c>
      <c r="K94">
        <v>21</v>
      </c>
      <c r="L94">
        <v>5</v>
      </c>
      <c r="M94">
        <v>3</v>
      </c>
      <c r="N94">
        <v>2</v>
      </c>
      <c r="O94" s="5">
        <f>(Table6[[#This Row],[mergedCount]]/Table6[[#This Row],[PRCount]])*Table6[[#This Row],[malePullRequests]]</f>
        <v>16.739726027397261</v>
      </c>
      <c r="P94" s="5">
        <f>(Table6[[#This Row],[declinedCount]]/Table6[[#This Row],[PRCount]])*Table6[[#This Row],[malePullRequests]]</f>
        <v>9.2602739726027394</v>
      </c>
      <c r="Q94" s="5">
        <f>(Table6[[#This Row],[mergedCount]]/Table6[[#This Row],[PRCount]])*Table6[[#This Row],[femalePullRequests]]</f>
        <v>3.2191780821917808</v>
      </c>
      <c r="R94" s="5">
        <f>(Table6[[#This Row],[declinedCount]]/Table6[[#This Row],[PRCount]])*Table6[[#This Row],[femalePullRequests]]</f>
        <v>1.7808219178082192</v>
      </c>
      <c r="S94">
        <f>(Table6[[#This Row],[maleMergedCount]]-Table6[[#This Row],[male merged expected]])^2/IF(Table6[[#This Row],[male merged expected]]&gt;0,Table6[[#This Row],[male merged expected]],1)</f>
        <v>1.084243212339977</v>
      </c>
      <c r="T94">
        <f>(Table6[[#This Row],[maleDeclinedCount]]-Table6[[#This Row],[male declined expected]])^2/IF(Table6[[#This Row],[male declined expected]]&gt;0,Table6[[#This Row],[male declined expected]],1)</f>
        <v>1.9599781146145738</v>
      </c>
      <c r="U94">
        <f>(Table6[[#This Row],[femaleMergedCount]]-Table6[[#This Row],[female merged expected]])^2/IF(Table6[[#This Row],[female merged expected]]&gt;0,Table6[[#This Row],[female merged expected]],1)</f>
        <v>1.492276304284465E-2</v>
      </c>
      <c r="V94">
        <f>(Table6[[#This Row],[femaleDeclinedCount]]-Table6[[#This Row],[female declined expected]])^2/IF(Table6[[#This Row],[female declined expected]]&gt;0,Table6[[#This Row],[female declined expected]],1)</f>
        <v>2.697576396206533E-2</v>
      </c>
      <c r="W94">
        <f t="shared" si="1"/>
        <v>3.086119853959461</v>
      </c>
      <c r="Y94" s="3">
        <f>IF(PRODUCT(Table6[[#This Row],[maleMergedCount]:[female declined expected]])&gt;0,_xlfn.CHISQ.TEST(Table6[[#This Row],[maleMergedCount]:[femaleDeclinedCount]],Table6[[#This Row],[male merged expected]:[female declined expected]]),"FALSE")</f>
        <v>0.37853684098645313</v>
      </c>
      <c r="AA94" s="2">
        <f>Table6[[#This Row],[maleMergedCount]]/Table6[[#This Row],[male merged expected]]-1</f>
        <v>0.25450081833060545</v>
      </c>
      <c r="AB94" s="2">
        <f>Table6[[#This Row],[maleDeclinedCount]]/Table6[[#This Row],[male declined expected]]-1</f>
        <v>-0.4600591715976331</v>
      </c>
      <c r="AC94" s="2">
        <f>Table6[[#This Row],[femaleMergedCount]]/Table6[[#This Row],[female merged expected]]-1</f>
        <v>-6.8085106382978711E-2</v>
      </c>
      <c r="AD94" s="2">
        <f>Table6[[#This Row],[femaleDeclinedCount]]/Table6[[#This Row],[female declined expected]]-1</f>
        <v>0.12307692307692308</v>
      </c>
      <c r="AF94">
        <f>IF(OR(Table6[[#This Row],[maleMergedCount]]&lt;5,Table6[[#This Row],[maleDeclinedCount]]&lt;5,Table6[[#This Row],[femaleMergedCount]]&lt;5,Table6[[#This Row],[femaleDeclinedCount]]&lt;5,W94&lt;$X$1),0,1)</f>
        <v>0</v>
      </c>
    </row>
    <row r="95" spans="1:32" x14ac:dyDescent="0.2">
      <c r="A95" t="s">
        <v>97</v>
      </c>
      <c r="B95" s="4">
        <v>47</v>
      </c>
      <c r="C95" s="4">
        <v>42</v>
      </c>
      <c r="D95" s="22">
        <f>Table6[[#This Row],[mergedCount]]/Table6[[#This Row],[PRCount]]</f>
        <v>0.8936170212765957</v>
      </c>
      <c r="E95" s="4">
        <v>5</v>
      </c>
      <c r="F95" s="4">
        <v>21</v>
      </c>
      <c r="G95" s="4">
        <v>4</v>
      </c>
      <c r="H95" s="4">
        <v>22</v>
      </c>
      <c r="I95" s="2">
        <f>Table6[[#This Row],[malePullRequests]]/(Table6[[#This Row],[PRCount]]-Table6[[#This Row],[unknownPullRequests]])</f>
        <v>0.84</v>
      </c>
      <c r="J95" s="2">
        <f>Table6[[#This Row],[femalePullRequests]]/(Table6[[#This Row],[PRCount]]-Table6[[#This Row],[unknownPullRequests]])</f>
        <v>0.16</v>
      </c>
      <c r="K95">
        <v>19</v>
      </c>
      <c r="L95">
        <v>2</v>
      </c>
      <c r="M95">
        <v>3</v>
      </c>
      <c r="N95">
        <v>1</v>
      </c>
      <c r="O95" s="5">
        <f>(Table6[[#This Row],[mergedCount]]/Table6[[#This Row],[PRCount]])*Table6[[#This Row],[malePullRequests]]</f>
        <v>18.76595744680851</v>
      </c>
      <c r="P95" s="5">
        <f>(Table6[[#This Row],[declinedCount]]/Table6[[#This Row],[PRCount]])*Table6[[#This Row],[malePullRequests]]</f>
        <v>2.2340425531914896</v>
      </c>
      <c r="Q95" s="5">
        <f>(Table6[[#This Row],[mergedCount]]/Table6[[#This Row],[PRCount]])*Table6[[#This Row],[femalePullRequests]]</f>
        <v>3.5744680851063828</v>
      </c>
      <c r="R95" s="5">
        <f>(Table6[[#This Row],[declinedCount]]/Table6[[#This Row],[PRCount]])*Table6[[#This Row],[femalePullRequests]]</f>
        <v>0.42553191489361702</v>
      </c>
      <c r="S95">
        <f>(Table6[[#This Row],[maleMergedCount]]-Table6[[#This Row],[male merged expected]])^2/IF(Table6[[#This Row],[male merged expected]]&gt;0,Table6[[#This Row],[male merged expected]],1)</f>
        <v>2.9188980556761768E-3</v>
      </c>
      <c r="T95">
        <f>(Table6[[#This Row],[maleDeclinedCount]]-Table6[[#This Row],[male declined expected]])^2/IF(Table6[[#This Row],[male declined expected]]&gt;0,Table6[[#This Row],[male declined expected]],1)</f>
        <v>2.4518743667679883E-2</v>
      </c>
      <c r="U95">
        <f>(Table6[[#This Row],[femaleMergedCount]]-Table6[[#This Row],[female merged expected]])^2/IF(Table6[[#This Row],[female merged expected]]&gt;0,Table6[[#This Row],[female merged expected]],1)</f>
        <v>9.2325227963525783E-2</v>
      </c>
      <c r="V95">
        <f>(Table6[[#This Row],[femaleDeclinedCount]]-Table6[[#This Row],[female declined expected]])^2/IF(Table6[[#This Row],[female declined expected]]&gt;0,Table6[[#This Row],[female declined expected]],1)</f>
        <v>0.77553191489361706</v>
      </c>
      <c r="W95">
        <f t="shared" si="1"/>
        <v>0.89529478458049894</v>
      </c>
      <c r="Y95" s="3">
        <f>IF(PRODUCT(Table6[[#This Row],[maleMergedCount]:[female declined expected]])&gt;0,_xlfn.CHISQ.TEST(Table6[[#This Row],[maleMergedCount]:[femaleDeclinedCount]],Table6[[#This Row],[male merged expected]:[female declined expected]]),"FALSE")</f>
        <v>0.82656313498573442</v>
      </c>
      <c r="AA95" s="2">
        <f>Table6[[#This Row],[maleMergedCount]]/Table6[[#This Row],[male merged expected]]-1</f>
        <v>1.2471655328798237E-2</v>
      </c>
      <c r="AB95" s="2">
        <f>Table6[[#This Row],[maleDeclinedCount]]/Table6[[#This Row],[male declined expected]]-1</f>
        <v>-0.10476190476190483</v>
      </c>
      <c r="AC95" s="2">
        <f>Table6[[#This Row],[femaleMergedCount]]/Table6[[#This Row],[female merged expected]]-1</f>
        <v>-0.1607142857142857</v>
      </c>
      <c r="AD95" s="2">
        <f>Table6[[#This Row],[femaleDeclinedCount]]/Table6[[#This Row],[female declined expected]]-1</f>
        <v>1.35</v>
      </c>
      <c r="AF95">
        <f>IF(OR(Table6[[#This Row],[maleMergedCount]]&lt;5,Table6[[#This Row],[maleDeclinedCount]]&lt;5,Table6[[#This Row],[femaleMergedCount]]&lt;5,Table6[[#This Row],[femaleDeclinedCount]]&lt;5,W95&lt;$X$1),0,1)</f>
        <v>0</v>
      </c>
    </row>
    <row r="96" spans="1:32" x14ac:dyDescent="0.2">
      <c r="A96" t="s">
        <v>98</v>
      </c>
      <c r="B96" s="4">
        <v>37</v>
      </c>
      <c r="C96" s="4">
        <v>18</v>
      </c>
      <c r="D96" s="22">
        <f>Table6[[#This Row],[mergedCount]]/Table6[[#This Row],[PRCount]]</f>
        <v>0.48648648648648651</v>
      </c>
      <c r="E96" s="4">
        <v>19</v>
      </c>
      <c r="F96" s="4">
        <v>20</v>
      </c>
      <c r="G96" s="4">
        <v>2</v>
      </c>
      <c r="H96" s="4">
        <v>15</v>
      </c>
      <c r="I96" s="2">
        <f>Table6[[#This Row],[malePullRequests]]/(Table6[[#This Row],[PRCount]]-Table6[[#This Row],[unknownPullRequests]])</f>
        <v>0.90909090909090906</v>
      </c>
      <c r="J96" s="2">
        <f>Table6[[#This Row],[femalePullRequests]]/(Table6[[#This Row],[PRCount]]-Table6[[#This Row],[unknownPullRequests]])</f>
        <v>9.0909090909090912E-2</v>
      </c>
      <c r="K96">
        <v>8</v>
      </c>
      <c r="L96">
        <v>12</v>
      </c>
      <c r="M96">
        <v>0</v>
      </c>
      <c r="N96">
        <v>2</v>
      </c>
      <c r="O96" s="5">
        <f>(Table6[[#This Row],[mergedCount]]/Table6[[#This Row],[PRCount]])*Table6[[#This Row],[malePullRequests]]</f>
        <v>9.7297297297297298</v>
      </c>
      <c r="P96" s="5">
        <f>(Table6[[#This Row],[declinedCount]]/Table6[[#This Row],[PRCount]])*Table6[[#This Row],[malePullRequests]]</f>
        <v>10.27027027027027</v>
      </c>
      <c r="Q96" s="5">
        <f>(Table6[[#This Row],[mergedCount]]/Table6[[#This Row],[PRCount]])*Table6[[#This Row],[femalePullRequests]]</f>
        <v>0.97297297297297303</v>
      </c>
      <c r="R96" s="5">
        <f>(Table6[[#This Row],[declinedCount]]/Table6[[#This Row],[PRCount]])*Table6[[#This Row],[femalePullRequests]]</f>
        <v>1.027027027027027</v>
      </c>
      <c r="S96">
        <f>(Table6[[#This Row],[maleMergedCount]]-Table6[[#This Row],[male merged expected]])^2/IF(Table6[[#This Row],[male merged expected]]&gt;0,Table6[[#This Row],[male merged expected]],1)</f>
        <v>0.30750750750750755</v>
      </c>
      <c r="T96">
        <f>(Table6[[#This Row],[maleDeclinedCount]]-Table6[[#This Row],[male declined expected]])^2/IF(Table6[[#This Row],[male declined expected]]&gt;0,Table6[[#This Row],[male declined expected]],1)</f>
        <v>0.29132290184921766</v>
      </c>
      <c r="U96">
        <f>(Table6[[#This Row],[femaleMergedCount]]-Table6[[#This Row],[female merged expected]])^2/IF(Table6[[#This Row],[female merged expected]]&gt;0,Table6[[#This Row],[female merged expected]],1)</f>
        <v>0.97297297297297303</v>
      </c>
      <c r="V96">
        <f>(Table6[[#This Row],[femaleDeclinedCount]]-Table6[[#This Row],[female declined expected]])^2/IF(Table6[[#This Row],[female declined expected]]&gt;0,Table6[[#This Row],[female declined expected]],1)</f>
        <v>0.92176386913229036</v>
      </c>
      <c r="W96">
        <f t="shared" si="1"/>
        <v>2.4935672514619887</v>
      </c>
      <c r="Y96" s="3" t="str">
        <f>IF(PRODUCT(Table6[[#This Row],[maleMergedCount]:[female declined expected]])&gt;0,_xlfn.CHISQ.TEST(Table6[[#This Row],[maleMergedCount]:[femaleDeclinedCount]],Table6[[#This Row],[male merged expected]:[female declined expected]]),"FALSE")</f>
        <v>FALSE</v>
      </c>
      <c r="AA96" s="2">
        <f>Table6[[#This Row],[maleMergedCount]]/Table6[[#This Row],[male merged expected]]-1</f>
        <v>-0.17777777777777781</v>
      </c>
      <c r="AB96" s="2">
        <f>Table6[[#This Row],[maleDeclinedCount]]/Table6[[#This Row],[male declined expected]]-1</f>
        <v>0.16842105263157903</v>
      </c>
      <c r="AC96" s="2">
        <f>Table6[[#This Row],[femaleMergedCount]]/Table6[[#This Row],[female merged expected]]-1</f>
        <v>-1</v>
      </c>
      <c r="AD96" s="2">
        <f>Table6[[#This Row],[femaleDeclinedCount]]/Table6[[#This Row],[female declined expected]]-1</f>
        <v>0.94736842105263164</v>
      </c>
      <c r="AF96">
        <f>IF(OR(Table6[[#This Row],[maleMergedCount]]&lt;5,Table6[[#This Row],[maleDeclinedCount]]&lt;5,Table6[[#This Row],[femaleMergedCount]]&lt;5,Table6[[#This Row],[femaleDeclinedCount]]&lt;5,W96&lt;$X$1),0,1)</f>
        <v>0</v>
      </c>
    </row>
    <row r="97" spans="1:32" x14ac:dyDescent="0.2">
      <c r="A97" t="s">
        <v>99</v>
      </c>
      <c r="B97" s="4">
        <v>79</v>
      </c>
      <c r="C97" s="4">
        <v>61</v>
      </c>
      <c r="D97" s="22">
        <f>Table6[[#This Row],[mergedCount]]/Table6[[#This Row],[PRCount]]</f>
        <v>0.77215189873417722</v>
      </c>
      <c r="E97" s="4">
        <v>18</v>
      </c>
      <c r="F97" s="4">
        <v>14</v>
      </c>
      <c r="G97" s="4">
        <v>6</v>
      </c>
      <c r="H97" s="4">
        <v>59</v>
      </c>
      <c r="I97" s="2">
        <f>Table6[[#This Row],[malePullRequests]]/(Table6[[#This Row],[PRCount]]-Table6[[#This Row],[unknownPullRequests]])</f>
        <v>0.7</v>
      </c>
      <c r="J97" s="2">
        <f>Table6[[#This Row],[femalePullRequests]]/(Table6[[#This Row],[PRCount]]-Table6[[#This Row],[unknownPullRequests]])</f>
        <v>0.3</v>
      </c>
      <c r="K97">
        <v>12</v>
      </c>
      <c r="L97">
        <v>2</v>
      </c>
      <c r="M97">
        <v>5</v>
      </c>
      <c r="N97">
        <v>1</v>
      </c>
      <c r="O97" s="5">
        <f>(Table6[[#This Row],[mergedCount]]/Table6[[#This Row],[PRCount]])*Table6[[#This Row],[malePullRequests]]</f>
        <v>10.810126582278482</v>
      </c>
      <c r="P97" s="5">
        <f>(Table6[[#This Row],[declinedCount]]/Table6[[#This Row],[PRCount]])*Table6[[#This Row],[malePullRequests]]</f>
        <v>3.1898734177215191</v>
      </c>
      <c r="Q97" s="5">
        <f>(Table6[[#This Row],[mergedCount]]/Table6[[#This Row],[PRCount]])*Table6[[#This Row],[femalePullRequests]]</f>
        <v>4.6329113924050631</v>
      </c>
      <c r="R97" s="5">
        <f>(Table6[[#This Row],[declinedCount]]/Table6[[#This Row],[PRCount]])*Table6[[#This Row],[femalePullRequests]]</f>
        <v>1.3670886075949367</v>
      </c>
      <c r="S97">
        <f>(Table6[[#This Row],[maleMergedCount]]-Table6[[#This Row],[male merged expected]])^2/IF(Table6[[#This Row],[male merged expected]]&gt;0,Table6[[#This Row],[male merged expected]],1)</f>
        <v>0.13096967361337544</v>
      </c>
      <c r="T97">
        <f>(Table6[[#This Row],[maleDeclinedCount]]-Table6[[#This Row],[male declined expected]])^2/IF(Table6[[#This Row],[male declined expected]]&gt;0,Table6[[#This Row],[male declined expected]],1)</f>
        <v>0.44384167168977301</v>
      </c>
      <c r="U97">
        <f>(Table6[[#This Row],[femaleMergedCount]]-Table6[[#This Row],[female merged expected]])^2/IF(Table6[[#This Row],[female merged expected]]&gt;0,Table6[[#This Row],[female merged expected]],1)</f>
        <v>2.9086255793041461E-2</v>
      </c>
      <c r="V97">
        <f>(Table6[[#This Row],[femaleDeclinedCount]]-Table6[[#This Row],[female declined expected]])^2/IF(Table6[[#This Row],[female declined expected]]&gt;0,Table6[[#This Row],[female declined expected]],1)</f>
        <v>9.8570089076418177E-2</v>
      </c>
      <c r="W97">
        <f t="shared" si="1"/>
        <v>0.70246769017260813</v>
      </c>
      <c r="Y97" s="3">
        <f>IF(PRODUCT(Table6[[#This Row],[maleMergedCount]:[female declined expected]])&gt;0,_xlfn.CHISQ.TEST(Table6[[#This Row],[maleMergedCount]:[femaleDeclinedCount]],Table6[[#This Row],[male merged expected]:[female declined expected]]),"FALSE")</f>
        <v>0.87262337045540561</v>
      </c>
      <c r="AA97" s="2">
        <f>Table6[[#This Row],[maleMergedCount]]/Table6[[#This Row],[male merged expected]]-1</f>
        <v>0.11007025761124112</v>
      </c>
      <c r="AB97" s="2">
        <f>Table6[[#This Row],[maleDeclinedCount]]/Table6[[#This Row],[male declined expected]]-1</f>
        <v>-0.37301587301587302</v>
      </c>
      <c r="AC97" s="2">
        <f>Table6[[#This Row],[femaleMergedCount]]/Table6[[#This Row],[female merged expected]]-1</f>
        <v>7.9234972677595605E-2</v>
      </c>
      <c r="AD97" s="2">
        <f>Table6[[#This Row],[femaleDeclinedCount]]/Table6[[#This Row],[female declined expected]]-1</f>
        <v>-0.26851851851851849</v>
      </c>
      <c r="AF97">
        <f>IF(OR(Table6[[#This Row],[maleMergedCount]]&lt;5,Table6[[#This Row],[maleDeclinedCount]]&lt;5,Table6[[#This Row],[femaleMergedCount]]&lt;5,Table6[[#This Row],[femaleDeclinedCount]]&lt;5,W97&lt;$X$1),0,1)</f>
        <v>0</v>
      </c>
    </row>
    <row r="98" spans="1:32" x14ac:dyDescent="0.2">
      <c r="A98" t="s">
        <v>100</v>
      </c>
      <c r="B98" s="4">
        <v>37</v>
      </c>
      <c r="C98" s="4">
        <v>24</v>
      </c>
      <c r="D98" s="22">
        <f>Table6[[#This Row],[mergedCount]]/Table6[[#This Row],[PRCount]]</f>
        <v>0.64864864864864868</v>
      </c>
      <c r="E98" s="4">
        <v>13</v>
      </c>
      <c r="F98" s="4">
        <v>16</v>
      </c>
      <c r="G98" s="4">
        <v>3</v>
      </c>
      <c r="H98" s="4">
        <v>18</v>
      </c>
      <c r="I98" s="2">
        <f>Table6[[#This Row],[malePullRequests]]/(Table6[[#This Row],[PRCount]]-Table6[[#This Row],[unknownPullRequests]])</f>
        <v>0.84210526315789469</v>
      </c>
      <c r="J98" s="2">
        <f>Table6[[#This Row],[femalePullRequests]]/(Table6[[#This Row],[PRCount]]-Table6[[#This Row],[unknownPullRequests]])</f>
        <v>0.15789473684210525</v>
      </c>
      <c r="K98">
        <v>9</v>
      </c>
      <c r="L98">
        <v>7</v>
      </c>
      <c r="M98">
        <v>2</v>
      </c>
      <c r="N98">
        <v>1</v>
      </c>
      <c r="O98" s="5">
        <f>(Table6[[#This Row],[mergedCount]]/Table6[[#This Row],[PRCount]])*Table6[[#This Row],[malePullRequests]]</f>
        <v>10.378378378378379</v>
      </c>
      <c r="P98" s="5">
        <f>(Table6[[#This Row],[declinedCount]]/Table6[[#This Row],[PRCount]])*Table6[[#This Row],[malePullRequests]]</f>
        <v>5.6216216216216219</v>
      </c>
      <c r="Q98" s="5">
        <f>(Table6[[#This Row],[mergedCount]]/Table6[[#This Row],[PRCount]])*Table6[[#This Row],[femalePullRequests]]</f>
        <v>1.9459459459459461</v>
      </c>
      <c r="R98" s="5">
        <f>(Table6[[#This Row],[declinedCount]]/Table6[[#This Row],[PRCount]])*Table6[[#This Row],[femalePullRequests]]</f>
        <v>1.0540540540540542</v>
      </c>
      <c r="S98">
        <f>(Table6[[#This Row],[maleMergedCount]]-Table6[[#This Row],[male merged expected]])^2/IF(Table6[[#This Row],[male merged expected]]&gt;0,Table6[[#This Row],[male merged expected]],1)</f>
        <v>0.18306587837837851</v>
      </c>
      <c r="T98">
        <f>(Table6[[#This Row],[maleDeclinedCount]]-Table6[[#This Row],[male declined expected]])^2/IF(Table6[[#This Row],[male declined expected]]&gt;0,Table6[[#This Row],[male declined expected]],1)</f>
        <v>0.33796777546777529</v>
      </c>
      <c r="U98">
        <f>(Table6[[#This Row],[femaleMergedCount]]-Table6[[#This Row],[female merged expected]])^2/IF(Table6[[#This Row],[female merged expected]]&gt;0,Table6[[#This Row],[female merged expected]],1)</f>
        <v>1.5015015015014954E-3</v>
      </c>
      <c r="V98">
        <f>(Table6[[#This Row],[femaleDeclinedCount]]-Table6[[#This Row],[female declined expected]])^2/IF(Table6[[#This Row],[female declined expected]]&gt;0,Table6[[#This Row],[female declined expected]],1)</f>
        <v>2.7720027720027833E-3</v>
      </c>
      <c r="W98">
        <f t="shared" si="1"/>
        <v>0.525307158119658</v>
      </c>
      <c r="Y98" s="3">
        <f>IF(PRODUCT(Table6[[#This Row],[maleMergedCount]:[female declined expected]])&gt;0,_xlfn.CHISQ.TEST(Table6[[#This Row],[maleMergedCount]:[femaleDeclinedCount]],Table6[[#This Row],[male merged expected]:[female declined expected]]),"FALSE")</f>
        <v>0.91329738284974948</v>
      </c>
      <c r="AA98" s="2">
        <f>Table6[[#This Row],[maleMergedCount]]/Table6[[#This Row],[male merged expected]]-1</f>
        <v>-0.1328125</v>
      </c>
      <c r="AB98" s="2">
        <f>Table6[[#This Row],[maleDeclinedCount]]/Table6[[#This Row],[male declined expected]]-1</f>
        <v>0.24519230769230771</v>
      </c>
      <c r="AC98" s="2">
        <f>Table6[[#This Row],[femaleMergedCount]]/Table6[[#This Row],[female merged expected]]-1</f>
        <v>2.7777777777777679E-2</v>
      </c>
      <c r="AD98" s="2">
        <f>Table6[[#This Row],[femaleDeclinedCount]]/Table6[[#This Row],[female declined expected]]-1</f>
        <v>-5.1282051282051433E-2</v>
      </c>
      <c r="AF98">
        <f>IF(OR(Table6[[#This Row],[maleMergedCount]]&lt;5,Table6[[#This Row],[maleDeclinedCount]]&lt;5,Table6[[#This Row],[femaleMergedCount]]&lt;5,Table6[[#This Row],[femaleDeclinedCount]]&lt;5,W98&lt;$X$1),0,1)</f>
        <v>0</v>
      </c>
    </row>
    <row r="99" spans="1:32" x14ac:dyDescent="0.2">
      <c r="A99" t="s">
        <v>101</v>
      </c>
      <c r="B99" s="4">
        <v>28</v>
      </c>
      <c r="C99" s="4">
        <v>0</v>
      </c>
      <c r="D99" s="22">
        <f>Table6[[#This Row],[mergedCount]]/Table6[[#This Row],[PRCount]]</f>
        <v>0</v>
      </c>
      <c r="E99" s="4">
        <v>28</v>
      </c>
      <c r="F99" s="4">
        <v>14</v>
      </c>
      <c r="G99" s="4">
        <v>1</v>
      </c>
      <c r="H99" s="4">
        <v>13</v>
      </c>
      <c r="I99" s="2">
        <f>Table6[[#This Row],[malePullRequests]]/(Table6[[#This Row],[PRCount]]-Table6[[#This Row],[unknownPullRequests]])</f>
        <v>0.93333333333333335</v>
      </c>
      <c r="J99" s="2">
        <f>Table6[[#This Row],[femalePullRequests]]/(Table6[[#This Row],[PRCount]]-Table6[[#This Row],[unknownPullRequests]])</f>
        <v>6.6666666666666666E-2</v>
      </c>
      <c r="K99">
        <v>0</v>
      </c>
      <c r="L99">
        <v>14</v>
      </c>
      <c r="M99">
        <v>0</v>
      </c>
      <c r="N99">
        <v>1</v>
      </c>
      <c r="O99" s="5">
        <f>(Table6[[#This Row],[mergedCount]]/Table6[[#This Row],[PRCount]])*Table6[[#This Row],[malePullRequests]]</f>
        <v>0</v>
      </c>
      <c r="P99" s="5">
        <f>(Table6[[#This Row],[declinedCount]]/Table6[[#This Row],[PRCount]])*Table6[[#This Row],[malePullRequests]]</f>
        <v>14</v>
      </c>
      <c r="Q99" s="5">
        <f>(Table6[[#This Row],[mergedCount]]/Table6[[#This Row],[PRCount]])*Table6[[#This Row],[femalePullRequests]]</f>
        <v>0</v>
      </c>
      <c r="R99" s="5">
        <f>(Table6[[#This Row],[declinedCount]]/Table6[[#This Row],[PRCount]])*Table6[[#This Row],[femalePullRequests]]</f>
        <v>1</v>
      </c>
      <c r="S99">
        <f>(Table6[[#This Row],[maleMergedCount]]-Table6[[#This Row],[male merged expected]])^2/IF(Table6[[#This Row],[male merged expected]]&gt;0,Table6[[#This Row],[male merged expected]],1)</f>
        <v>0</v>
      </c>
      <c r="T99">
        <f>(Table6[[#This Row],[maleDeclinedCount]]-Table6[[#This Row],[male declined expected]])^2/IF(Table6[[#This Row],[male declined expected]]&gt;0,Table6[[#This Row],[male declined expected]],1)</f>
        <v>0</v>
      </c>
      <c r="U99">
        <f>(Table6[[#This Row],[femaleMergedCount]]-Table6[[#This Row],[female merged expected]])^2/IF(Table6[[#This Row],[female merged expected]]&gt;0,Table6[[#This Row],[female merged expected]],1)</f>
        <v>0</v>
      </c>
      <c r="V99">
        <f>(Table6[[#This Row],[femaleDeclinedCount]]-Table6[[#This Row],[female declined expected]])^2/IF(Table6[[#This Row],[female declined expected]]&gt;0,Table6[[#This Row],[female declined expected]],1)</f>
        <v>0</v>
      </c>
      <c r="W99">
        <f t="shared" si="1"/>
        <v>0</v>
      </c>
      <c r="Y99" s="3" t="str">
        <f>IF(PRODUCT(Table6[[#This Row],[maleMergedCount]:[female declined expected]])&gt;0,_xlfn.CHISQ.TEST(Table6[[#This Row],[maleMergedCount]:[femaleDeclinedCount]],Table6[[#This Row],[male merged expected]:[female declined expected]]),"FALSE")</f>
        <v>FALSE</v>
      </c>
      <c r="AA99" s="2" t="e">
        <f>Table6[[#This Row],[maleMergedCount]]/Table6[[#This Row],[male merged expected]]-1</f>
        <v>#DIV/0!</v>
      </c>
      <c r="AB99" s="2">
        <f>Table6[[#This Row],[maleDeclinedCount]]/Table6[[#This Row],[male declined expected]]-1</f>
        <v>0</v>
      </c>
      <c r="AC99" s="2" t="e">
        <f>Table6[[#This Row],[femaleMergedCount]]/Table6[[#This Row],[female merged expected]]-1</f>
        <v>#DIV/0!</v>
      </c>
      <c r="AD99" s="2">
        <f>Table6[[#This Row],[femaleDeclinedCount]]/Table6[[#This Row],[female declined expected]]-1</f>
        <v>0</v>
      </c>
      <c r="AF99">
        <f>IF(OR(Table6[[#This Row],[maleMergedCount]]&lt;5,Table6[[#This Row],[maleDeclinedCount]]&lt;5,Table6[[#This Row],[femaleMergedCount]]&lt;5,Table6[[#This Row],[femaleDeclinedCount]]&lt;5,W99&lt;$X$1),0,1)</f>
        <v>0</v>
      </c>
    </row>
    <row r="100" spans="1:32" x14ac:dyDescent="0.2">
      <c r="A100" t="s">
        <v>102</v>
      </c>
      <c r="B100" s="4">
        <v>23</v>
      </c>
      <c r="C100" s="4">
        <v>8</v>
      </c>
      <c r="D100" s="22">
        <f>Table6[[#This Row],[mergedCount]]/Table6[[#This Row],[PRCount]]</f>
        <v>0.34782608695652173</v>
      </c>
      <c r="E100" s="4">
        <v>15</v>
      </c>
      <c r="F100" s="4">
        <v>14</v>
      </c>
      <c r="G100" s="4">
        <v>0</v>
      </c>
      <c r="H100" s="4">
        <v>9</v>
      </c>
      <c r="I100" s="2">
        <f>Table6[[#This Row],[malePullRequests]]/(Table6[[#This Row],[PRCount]]-Table6[[#This Row],[unknownPullRequests]])</f>
        <v>1</v>
      </c>
      <c r="J100" s="2">
        <f>Table6[[#This Row],[femalePullRequests]]/(Table6[[#This Row],[PRCount]]-Table6[[#This Row],[unknownPullRequests]])</f>
        <v>0</v>
      </c>
      <c r="K100">
        <v>6</v>
      </c>
      <c r="L100">
        <v>8</v>
      </c>
      <c r="M100">
        <v>0</v>
      </c>
      <c r="N100">
        <v>0</v>
      </c>
      <c r="O100" s="5">
        <f>(Table6[[#This Row],[mergedCount]]/Table6[[#This Row],[PRCount]])*Table6[[#This Row],[malePullRequests]]</f>
        <v>4.8695652173913047</v>
      </c>
      <c r="P100" s="5">
        <f>(Table6[[#This Row],[declinedCount]]/Table6[[#This Row],[PRCount]])*Table6[[#This Row],[malePullRequests]]</f>
        <v>9.1304347826086953</v>
      </c>
      <c r="Q100" s="5">
        <f>(Table6[[#This Row],[mergedCount]]/Table6[[#This Row],[PRCount]])*Table6[[#This Row],[femalePullRequests]]</f>
        <v>0</v>
      </c>
      <c r="R100" s="5">
        <f>(Table6[[#This Row],[declinedCount]]/Table6[[#This Row],[PRCount]])*Table6[[#This Row],[femalePullRequests]]</f>
        <v>0</v>
      </c>
      <c r="S100">
        <f>(Table6[[#This Row],[maleMergedCount]]-Table6[[#This Row],[male merged expected]])^2/IF(Table6[[#This Row],[male merged expected]]&gt;0,Table6[[#This Row],[male merged expected]],1)</f>
        <v>0.26242236024844706</v>
      </c>
      <c r="T100">
        <f>(Table6[[#This Row],[maleDeclinedCount]]-Table6[[#This Row],[male declined expected]])^2/IF(Table6[[#This Row],[male declined expected]]&gt;0,Table6[[#This Row],[male declined expected]],1)</f>
        <v>0.13995859213250511</v>
      </c>
      <c r="U100">
        <f>(Table6[[#This Row],[femaleMergedCount]]-Table6[[#This Row],[female merged expected]])^2/IF(Table6[[#This Row],[female merged expected]]&gt;0,Table6[[#This Row],[female merged expected]],1)</f>
        <v>0</v>
      </c>
      <c r="V100">
        <f>(Table6[[#This Row],[femaleDeclinedCount]]-Table6[[#This Row],[female declined expected]])^2/IF(Table6[[#This Row],[female declined expected]]&gt;0,Table6[[#This Row],[female declined expected]],1)</f>
        <v>0</v>
      </c>
      <c r="W100">
        <f t="shared" si="1"/>
        <v>0.40238095238095217</v>
      </c>
      <c r="Y100" s="3" t="str">
        <f>IF(PRODUCT(Table6[[#This Row],[maleMergedCount]:[female declined expected]])&gt;0,_xlfn.CHISQ.TEST(Table6[[#This Row],[maleMergedCount]:[femaleDeclinedCount]],Table6[[#This Row],[male merged expected]:[female declined expected]]),"FALSE")</f>
        <v>FALSE</v>
      </c>
      <c r="AA100" s="2">
        <f>Table6[[#This Row],[maleMergedCount]]/Table6[[#This Row],[male merged expected]]-1</f>
        <v>0.23214285714285698</v>
      </c>
      <c r="AB100" s="2">
        <f>Table6[[#This Row],[maleDeclinedCount]]/Table6[[#This Row],[male declined expected]]-1</f>
        <v>-0.12380952380952381</v>
      </c>
      <c r="AC100" s="2" t="e">
        <f>Table6[[#This Row],[femaleMergedCount]]/Table6[[#This Row],[female merged expected]]-1</f>
        <v>#DIV/0!</v>
      </c>
      <c r="AD100" s="2" t="e">
        <f>Table6[[#This Row],[femaleDeclinedCount]]/Table6[[#This Row],[female declined expected]]-1</f>
        <v>#DIV/0!</v>
      </c>
      <c r="AF100">
        <f>IF(OR(Table6[[#This Row],[maleMergedCount]]&lt;5,Table6[[#This Row],[maleDeclinedCount]]&lt;5,Table6[[#This Row],[femaleMergedCount]]&lt;5,Table6[[#This Row],[femaleDeclinedCount]]&lt;5,W100&lt;$X$1),0,1)</f>
        <v>0</v>
      </c>
    </row>
    <row r="101" spans="1:32" x14ac:dyDescent="0.2">
      <c r="A101" t="s">
        <v>103</v>
      </c>
      <c r="B101" s="4">
        <v>22</v>
      </c>
      <c r="C101" s="4">
        <v>18</v>
      </c>
      <c r="D101" s="22">
        <f>Table6[[#This Row],[mergedCount]]/Table6[[#This Row],[PRCount]]</f>
        <v>0.81818181818181823</v>
      </c>
      <c r="E101" s="4">
        <v>4</v>
      </c>
      <c r="F101" s="4">
        <v>9</v>
      </c>
      <c r="G101" s="4">
        <v>1</v>
      </c>
      <c r="H101" s="4">
        <v>12</v>
      </c>
      <c r="I101" s="2">
        <f>Table6[[#This Row],[malePullRequests]]/(Table6[[#This Row],[PRCount]]-Table6[[#This Row],[unknownPullRequests]])</f>
        <v>0.9</v>
      </c>
      <c r="J101" s="2">
        <f>Table6[[#This Row],[femalePullRequests]]/(Table6[[#This Row],[PRCount]]-Table6[[#This Row],[unknownPullRequests]])</f>
        <v>0.1</v>
      </c>
      <c r="K101">
        <v>7</v>
      </c>
      <c r="L101">
        <v>2</v>
      </c>
      <c r="M101">
        <v>0</v>
      </c>
      <c r="N101">
        <v>1</v>
      </c>
      <c r="O101" s="5">
        <f>(Table6[[#This Row],[mergedCount]]/Table6[[#This Row],[PRCount]])*Table6[[#This Row],[malePullRequests]]</f>
        <v>7.3636363636363642</v>
      </c>
      <c r="P101" s="5">
        <f>(Table6[[#This Row],[declinedCount]]/Table6[[#This Row],[PRCount]])*Table6[[#This Row],[malePullRequests]]</f>
        <v>1.6363636363636365</v>
      </c>
      <c r="Q101" s="5">
        <f>(Table6[[#This Row],[mergedCount]]/Table6[[#This Row],[PRCount]])*Table6[[#This Row],[femalePullRequests]]</f>
        <v>0.81818181818181823</v>
      </c>
      <c r="R101" s="5">
        <f>(Table6[[#This Row],[declinedCount]]/Table6[[#This Row],[PRCount]])*Table6[[#This Row],[femalePullRequests]]</f>
        <v>0.18181818181818182</v>
      </c>
      <c r="S101">
        <f>(Table6[[#This Row],[maleMergedCount]]-Table6[[#This Row],[male merged expected]])^2/IF(Table6[[#This Row],[male merged expected]]&gt;0,Table6[[#This Row],[male merged expected]],1)</f>
        <v>1.7957351290684681E-2</v>
      </c>
      <c r="T101">
        <f>(Table6[[#This Row],[maleDeclinedCount]]-Table6[[#This Row],[male declined expected]])^2/IF(Table6[[#This Row],[male declined expected]]&gt;0,Table6[[#This Row],[male declined expected]],1)</f>
        <v>8.0808080808080759E-2</v>
      </c>
      <c r="U101">
        <f>(Table6[[#This Row],[femaleMergedCount]]-Table6[[#This Row],[female merged expected]])^2/IF(Table6[[#This Row],[female merged expected]]&gt;0,Table6[[#This Row],[female merged expected]],1)</f>
        <v>0.81818181818181823</v>
      </c>
      <c r="V101">
        <f>(Table6[[#This Row],[femaleDeclinedCount]]-Table6[[#This Row],[female declined expected]])^2/IF(Table6[[#This Row],[female declined expected]]&gt;0,Table6[[#This Row],[female declined expected]],1)</f>
        <v>3.6818181818181812</v>
      </c>
      <c r="W101">
        <f t="shared" si="1"/>
        <v>4.598765432098765</v>
      </c>
      <c r="Y101" s="3" t="str">
        <f>IF(PRODUCT(Table6[[#This Row],[maleMergedCount]:[female declined expected]])&gt;0,_xlfn.CHISQ.TEST(Table6[[#This Row],[maleMergedCount]:[femaleDeclinedCount]],Table6[[#This Row],[male merged expected]:[female declined expected]]),"FALSE")</f>
        <v>FALSE</v>
      </c>
      <c r="AA101" s="2">
        <f>Table6[[#This Row],[maleMergedCount]]/Table6[[#This Row],[male merged expected]]-1</f>
        <v>-4.9382716049382824E-2</v>
      </c>
      <c r="AB101" s="2">
        <f>Table6[[#This Row],[maleDeclinedCount]]/Table6[[#This Row],[male declined expected]]-1</f>
        <v>0.2222222222222221</v>
      </c>
      <c r="AC101" s="2">
        <f>Table6[[#This Row],[femaleMergedCount]]/Table6[[#This Row],[female merged expected]]-1</f>
        <v>-1</v>
      </c>
      <c r="AD101" s="2">
        <f>Table6[[#This Row],[femaleDeclinedCount]]/Table6[[#This Row],[female declined expected]]-1</f>
        <v>4.5</v>
      </c>
      <c r="AF101">
        <f>IF(OR(Table6[[#This Row],[maleMergedCount]]&lt;5,Table6[[#This Row],[maleDeclinedCount]]&lt;5,Table6[[#This Row],[femaleMergedCount]]&lt;5,Table6[[#This Row],[femaleDeclinedCount]]&lt;5,W101&lt;$X$1),0,1)</f>
        <v>0</v>
      </c>
    </row>
    <row r="104" spans="1:32" x14ac:dyDescent="0.2">
      <c r="A104" t="s">
        <v>108</v>
      </c>
      <c r="B104" s="4">
        <f>AVERAGE(Table6[PRCount])</f>
        <v>1832.44</v>
      </c>
      <c r="C104" s="4">
        <f>AVERAGE(Table6[mergedCount])</f>
        <v>920.67</v>
      </c>
      <c r="D104" s="22">
        <f>SUMPRODUCT(Table6[PRCount],Table6[Merge %])/SUM(Table6[PRCount])</f>
        <v>0.50242845604767417</v>
      </c>
      <c r="E104" s="4">
        <f>AVERAGE(Table6[declinedCount])</f>
        <v>911.77</v>
      </c>
      <c r="F104" s="4">
        <f>AVERAGE(Table6[malePullRequests])</f>
        <v>1184.21</v>
      </c>
      <c r="G104" s="4">
        <f>AVERAGE(Table6[femalePullRequests])</f>
        <v>82.96</v>
      </c>
      <c r="H104" s="4">
        <f>AVERAGE(Table6[unknownPullRequests])</f>
        <v>565.27</v>
      </c>
      <c r="I104" s="4">
        <f>AVERAGE(Table6[male Percentage])</f>
        <v>0.93001003739539945</v>
      </c>
      <c r="J104" s="4">
        <f>AVERAGE(Table6[female Percentage])</f>
        <v>6.9989962604600844E-2</v>
      </c>
      <c r="K104" s="4">
        <f>AVERAGE(Table6[maleMergedCount])</f>
        <v>593.57000000000005</v>
      </c>
      <c r="L104" s="4">
        <f>AVERAGE(Table6[maleDeclinedCount])</f>
        <v>590.64</v>
      </c>
      <c r="M104" s="4">
        <f>AVERAGE(Table6[femaleMergedCount])</f>
        <v>41.33</v>
      </c>
      <c r="N104" s="4">
        <f>AVERAGE(Table6[femaleDeclinedCount])</f>
        <v>41.63</v>
      </c>
      <c r="O104" s="4">
        <f>AVERAGE(Table6[mergedCount])</f>
        <v>920.67</v>
      </c>
      <c r="P104" s="4">
        <f>AVERAGE(Table6[declinedCount])</f>
        <v>911.77</v>
      </c>
      <c r="Q104" s="4">
        <f>AVERAGE(Table6[malePullRequests])</f>
        <v>1184.21</v>
      </c>
      <c r="R104" s="4">
        <f>AVERAGE(Table6[femalePullRequests])</f>
        <v>82.96</v>
      </c>
      <c r="S104" s="4">
        <f t="shared" ref="S104:AD104" si="2">AVERAGE(S2:S101)</f>
        <v>2.5992129670700086</v>
      </c>
      <c r="T104" s="4">
        <f t="shared" si="2"/>
        <v>2.3137502089067827</v>
      </c>
      <c r="U104" s="4">
        <f t="shared" si="2"/>
        <v>1.117797140932965</v>
      </c>
      <c r="V104" s="4">
        <f t="shared" si="2"/>
        <v>1.8318488092300964</v>
      </c>
      <c r="W104" s="4">
        <f t="shared" si="2"/>
        <v>7.8626091261398496</v>
      </c>
      <c r="X104" s="4" t="e">
        <f t="shared" si="2"/>
        <v>#DIV/0!</v>
      </c>
      <c r="Y104" s="4">
        <f t="shared" si="2"/>
        <v>0.36279628704075911</v>
      </c>
      <c r="Z104" s="4" t="e">
        <f t="shared" si="2"/>
        <v>#DIV/0!</v>
      </c>
      <c r="AA104" s="4" t="e">
        <f t="shared" si="2"/>
        <v>#DIV/0!</v>
      </c>
      <c r="AB104" s="4">
        <f t="shared" si="2"/>
        <v>-4.9834200216690556E-2</v>
      </c>
      <c r="AC104" s="4" t="e">
        <f t="shared" si="2"/>
        <v>#DIV/0!</v>
      </c>
      <c r="AD104" s="4" t="e">
        <f t="shared" si="2"/>
        <v>#DIV/0!</v>
      </c>
      <c r="AF104">
        <f>SUM(AF2:AF101)</f>
        <v>18</v>
      </c>
    </row>
    <row r="105" spans="1:32" x14ac:dyDescent="0.2">
      <c r="A105" t="s">
        <v>129</v>
      </c>
      <c r="B105" s="4">
        <f>SUM(Table6[PRCount])</f>
        <v>183244</v>
      </c>
      <c r="C105" s="4">
        <f>SUM(Table6[mergedCount])</f>
        <v>92067</v>
      </c>
      <c r="E105" s="4">
        <f>SUM(Table6[declinedCount])</f>
        <v>91177</v>
      </c>
      <c r="F105" s="4">
        <f>SUM(Table6[malePullRequests])</f>
        <v>118421</v>
      </c>
      <c r="G105" s="4">
        <f>SUM(Table6[femalePullRequests])</f>
        <v>8296</v>
      </c>
      <c r="H105" s="4">
        <f>SUM(Table6[unknownPullRequests])</f>
        <v>56527</v>
      </c>
    </row>
  </sheetData>
  <phoneticPr fontId="5" type="noConversion"/>
  <conditionalFormatting sqref="K2:N101">
    <cfRule type="cellIs" dxfId="14" priority="14" operator="lessThan">
      <formula>5</formula>
    </cfRule>
  </conditionalFormatting>
  <conditionalFormatting sqref="Y2:Y101">
    <cfRule type="cellIs" dxfId="13" priority="4" operator="lessThan">
      <formula>0.05</formula>
    </cfRule>
    <cfRule type="cellIs" dxfId="12" priority="5" operator="lessThan">
      <formula>0.05</formula>
    </cfRule>
  </conditionalFormatting>
  <conditionalFormatting sqref="W2:W101">
    <cfRule type="cellIs" dxfId="11" priority="3" operator="greaterThan">
      <formula>7.879</formula>
    </cfRule>
  </conditionalFormatting>
  <conditionalFormatting sqref="I105:I1048576 I1:I10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5:J1048576 J1:J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1 AD2:AD10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10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10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24" orientation="landscape" horizontalDpi="0" verticalDpi="0"/>
  <rowBreaks count="1" manualBreakCount="1">
    <brk id="108" max="16383" man="1"/>
  </rowBreaks>
  <colBreaks count="1" manualBreakCount="1">
    <brk id="34" max="1048575" man="1"/>
  </colBreak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P30" sqref="P30:P46"/>
    </sheetView>
  </sheetViews>
  <sheetFormatPr baseColWidth="10" defaultRowHeight="16" x14ac:dyDescent="0.2"/>
  <sheetData>
    <row r="1" spans="1:29" s="12" customFormat="1" ht="17" thickBot="1" x14ac:dyDescent="0.25">
      <c r="A1" s="10" t="s">
        <v>6</v>
      </c>
      <c r="B1" s="11">
        <v>15146</v>
      </c>
      <c r="C1" s="11">
        <v>12024</v>
      </c>
      <c r="D1" s="11">
        <v>3122</v>
      </c>
      <c r="E1" s="11">
        <v>9445</v>
      </c>
      <c r="F1" s="11">
        <v>980</v>
      </c>
      <c r="G1" s="11">
        <v>4721</v>
      </c>
      <c r="H1" s="12">
        <v>7664</v>
      </c>
      <c r="I1" s="12">
        <v>1781</v>
      </c>
      <c r="J1" s="12">
        <v>820</v>
      </c>
      <c r="K1" s="12">
        <v>160</v>
      </c>
      <c r="L1" s="13">
        <v>7498.130199392579</v>
      </c>
      <c r="M1" s="13">
        <v>1946.869800607421</v>
      </c>
      <c r="N1" s="13">
        <v>777.99551036577316</v>
      </c>
      <c r="O1" s="13">
        <v>202.00448963422687</v>
      </c>
      <c r="P1" s="12">
        <v>3.6692868784506301</v>
      </c>
      <c r="Q1" s="12">
        <v>14.131808272418443</v>
      </c>
      <c r="R1" s="12">
        <v>2.2678500401658508</v>
      </c>
      <c r="S1" s="12">
        <v>8.7343462149116675</v>
      </c>
      <c r="T1" s="12">
        <v>28.803291405946592</v>
      </c>
      <c r="V1" s="14">
        <v>2.4630150900097725E-6</v>
      </c>
      <c r="X1" s="15">
        <v>2.2121488450661753E-2</v>
      </c>
      <c r="Y1" s="15">
        <v>-8.5198198952836868E-2</v>
      </c>
      <c r="Z1" s="15">
        <v>5.3990658139503322E-2</v>
      </c>
      <c r="AA1" s="15">
        <v>-0.20793839637071998</v>
      </c>
      <c r="AC1">
        <v>1</v>
      </c>
    </row>
    <row r="2" spans="1:29" s="12" customFormat="1" ht="17" thickBot="1" x14ac:dyDescent="0.25">
      <c r="A2" s="10" t="s">
        <v>9</v>
      </c>
      <c r="B2" s="11">
        <v>6570</v>
      </c>
      <c r="C2" s="11">
        <v>408</v>
      </c>
      <c r="D2" s="11">
        <v>6162</v>
      </c>
      <c r="E2" s="11">
        <v>4228</v>
      </c>
      <c r="F2" s="11">
        <v>514</v>
      </c>
      <c r="G2" s="11">
        <v>1828</v>
      </c>
      <c r="H2" s="12">
        <v>322</v>
      </c>
      <c r="I2" s="12">
        <v>3906</v>
      </c>
      <c r="J2" s="12">
        <v>17</v>
      </c>
      <c r="K2" s="12">
        <v>497</v>
      </c>
      <c r="L2" s="13">
        <v>262.56073059360727</v>
      </c>
      <c r="M2" s="13">
        <v>3965.4392694063927</v>
      </c>
      <c r="N2" s="13">
        <v>31.919634703196348</v>
      </c>
      <c r="O2" s="13">
        <v>482.08036529680362</v>
      </c>
      <c r="P2" s="12">
        <v>13.456036398048303</v>
      </c>
      <c r="Q2" s="12">
        <v>0.89095469821546525</v>
      </c>
      <c r="R2" s="12">
        <v>6.973623030044596</v>
      </c>
      <c r="S2" s="12">
        <v>0.4617394021840649</v>
      </c>
      <c r="T2" s="12">
        <v>21.782353528492429</v>
      </c>
      <c r="V2" s="14">
        <v>7.2398855841267247E-5</v>
      </c>
      <c r="X2" s="15">
        <v>0.22638293728087278</v>
      </c>
      <c r="Y2" s="15">
        <v>-1.4989327882277803E-2</v>
      </c>
      <c r="Z2" s="15">
        <v>-0.46741245136186771</v>
      </c>
      <c r="AA2" s="15">
        <v>3.0948438843823922E-2</v>
      </c>
      <c r="AC2">
        <v>1</v>
      </c>
    </row>
    <row r="3" spans="1:29" ht="17" thickBot="1" x14ac:dyDescent="0.25">
      <c r="A3" t="s">
        <v>10</v>
      </c>
      <c r="B3" s="4">
        <v>6699</v>
      </c>
      <c r="C3" s="4">
        <v>5829</v>
      </c>
      <c r="D3" s="4">
        <v>870</v>
      </c>
      <c r="E3" s="4">
        <v>3294</v>
      </c>
      <c r="F3" s="4">
        <v>293</v>
      </c>
      <c r="G3" s="4">
        <v>3112</v>
      </c>
      <c r="H3">
        <v>2810</v>
      </c>
      <c r="I3">
        <v>484</v>
      </c>
      <c r="J3">
        <v>230</v>
      </c>
      <c r="K3">
        <v>63</v>
      </c>
      <c r="L3" s="16">
        <v>2866.207792207792</v>
      </c>
      <c r="M3" s="16">
        <v>427.79220779220776</v>
      </c>
      <c r="N3" s="16">
        <v>254.94805194805193</v>
      </c>
      <c r="O3" s="16">
        <v>38.051948051948045</v>
      </c>
      <c r="P3">
        <v>1.1022633856007871</v>
      </c>
      <c r="Q3">
        <v>7.3851646835253479</v>
      </c>
      <c r="R3">
        <v>2.4413024192454644</v>
      </c>
      <c r="S3">
        <v>16.35672620894465</v>
      </c>
      <c r="T3">
        <v>27.285456697316249</v>
      </c>
      <c r="V3" s="3">
        <v>5.1293901597886808E-6</v>
      </c>
      <c r="X3" s="2">
        <v>-1.9610508477648114E-2</v>
      </c>
      <c r="Y3" s="2">
        <v>0.13139040680024294</v>
      </c>
      <c r="Z3" s="2">
        <v>-9.785543273394115E-2</v>
      </c>
      <c r="AA3" s="2">
        <v>0.65563139931740633</v>
      </c>
      <c r="AC3">
        <v>1</v>
      </c>
    </row>
    <row r="4" spans="1:29" s="12" customFormat="1" ht="17" thickBot="1" x14ac:dyDescent="0.25">
      <c r="A4" s="10" t="s">
        <v>11</v>
      </c>
      <c r="B4" s="11">
        <v>5721</v>
      </c>
      <c r="C4" s="11">
        <v>817</v>
      </c>
      <c r="D4" s="11">
        <v>4904</v>
      </c>
      <c r="E4" s="11">
        <v>3294</v>
      </c>
      <c r="F4" s="11">
        <v>242</v>
      </c>
      <c r="G4" s="11">
        <v>2185</v>
      </c>
      <c r="H4" s="12">
        <v>671</v>
      </c>
      <c r="I4" s="12">
        <v>2623</v>
      </c>
      <c r="J4" s="12">
        <v>22</v>
      </c>
      <c r="K4" s="12">
        <v>220</v>
      </c>
      <c r="L4" s="13">
        <v>470.4069218668065</v>
      </c>
      <c r="M4" s="13">
        <v>2823.5930781331936</v>
      </c>
      <c r="N4" s="13">
        <v>34.559342772242616</v>
      </c>
      <c r="O4" s="13">
        <v>207.44065722775738</v>
      </c>
      <c r="P4" s="12">
        <v>85.537820819614879</v>
      </c>
      <c r="Q4" s="12">
        <v>14.250489316807789</v>
      </c>
      <c r="R4" s="12">
        <v>4.5642387330749292</v>
      </c>
      <c r="S4" s="12">
        <v>0.76039621633813559</v>
      </c>
      <c r="T4" s="12">
        <v>105.11294508583573</v>
      </c>
      <c r="V4" s="14">
        <v>1.2355389388973609E-22</v>
      </c>
      <c r="X4" s="15">
        <v>0.42642458860329113</v>
      </c>
      <c r="Y4" s="15">
        <v>-7.1041779952872974E-2</v>
      </c>
      <c r="Z4" s="15">
        <v>-0.36341381996216759</v>
      </c>
      <c r="AA4" s="15">
        <v>6.0544268129912426E-2</v>
      </c>
      <c r="AC4">
        <v>1</v>
      </c>
    </row>
    <row r="5" spans="1:29" x14ac:dyDescent="0.2">
      <c r="A5" t="s">
        <v>12</v>
      </c>
      <c r="B5" s="4">
        <v>4412</v>
      </c>
      <c r="C5" s="4">
        <v>2713</v>
      </c>
      <c r="D5" s="4">
        <v>1699</v>
      </c>
      <c r="E5" s="4">
        <v>2964</v>
      </c>
      <c r="F5" s="4">
        <v>452</v>
      </c>
      <c r="G5" s="4">
        <v>996</v>
      </c>
      <c r="H5">
        <v>1889</v>
      </c>
      <c r="I5">
        <v>1075</v>
      </c>
      <c r="J5">
        <v>257</v>
      </c>
      <c r="K5">
        <v>195</v>
      </c>
      <c r="L5" s="9">
        <v>1822.6047144152312</v>
      </c>
      <c r="M5" s="9">
        <v>1141.3952855847688</v>
      </c>
      <c r="N5" s="9">
        <v>277.94106980961016</v>
      </c>
      <c r="O5" s="9">
        <v>174.05893019038984</v>
      </c>
      <c r="P5">
        <v>2.418699958919718</v>
      </c>
      <c r="Q5">
        <v>3.8622324829600911</v>
      </c>
      <c r="R5">
        <v>1.5777747602085515</v>
      </c>
      <c r="S5">
        <v>2.5194249113865803</v>
      </c>
      <c r="T5">
        <v>10.37813211347494</v>
      </c>
      <c r="V5" s="3">
        <v>1.5610800361349181E-2</v>
      </c>
      <c r="X5" s="2">
        <v>3.6428790653090681E-2</v>
      </c>
      <c r="Y5" s="2">
        <v>-5.8170281955170822E-2</v>
      </c>
      <c r="Z5" s="2">
        <v>-7.5343560503508211E-2</v>
      </c>
      <c r="AA5" s="2">
        <v>0.12031022933844482</v>
      </c>
      <c r="AC5">
        <v>1</v>
      </c>
    </row>
    <row r="6" spans="1:29" x14ac:dyDescent="0.2">
      <c r="A6" t="s">
        <v>13</v>
      </c>
      <c r="B6" s="4">
        <v>4350</v>
      </c>
      <c r="C6" s="4">
        <v>3051</v>
      </c>
      <c r="D6" s="4">
        <v>1299</v>
      </c>
      <c r="E6" s="4">
        <v>3181</v>
      </c>
      <c r="F6" s="4">
        <v>98</v>
      </c>
      <c r="G6" s="4">
        <v>1071</v>
      </c>
      <c r="H6">
        <v>2369</v>
      </c>
      <c r="I6">
        <v>812</v>
      </c>
      <c r="J6">
        <v>57</v>
      </c>
      <c r="K6">
        <v>41</v>
      </c>
      <c r="L6" s="5">
        <v>2231.0875862068965</v>
      </c>
      <c r="M6" s="5">
        <v>949.91241379310338</v>
      </c>
      <c r="N6" s="5">
        <v>68.735172413793109</v>
      </c>
      <c r="O6" s="5">
        <v>29.264827586206895</v>
      </c>
      <c r="P6">
        <v>8.5249158284171571</v>
      </c>
      <c r="Q6">
        <v>20.022723781755744</v>
      </c>
      <c r="R6">
        <v>2.0035487908926175</v>
      </c>
      <c r="S6">
        <v>4.7057947351912039</v>
      </c>
      <c r="T6">
        <v>35.256983136256721</v>
      </c>
      <c r="V6" s="3">
        <v>1.0750734783889149E-7</v>
      </c>
      <c r="X6" s="2">
        <v>6.1813984643951381E-2</v>
      </c>
      <c r="Y6" s="2">
        <v>-0.14518434730461527</v>
      </c>
      <c r="Z6" s="2">
        <v>-0.17073023899825424</v>
      </c>
      <c r="AA6" s="2">
        <v>0.40099919875571488</v>
      </c>
      <c r="AC6">
        <v>1</v>
      </c>
    </row>
    <row r="7" spans="1:29" ht="17" thickBot="1" x14ac:dyDescent="0.25">
      <c r="A7" t="s">
        <v>16</v>
      </c>
      <c r="B7" s="4">
        <v>4518</v>
      </c>
      <c r="C7" s="4">
        <v>580</v>
      </c>
      <c r="D7" s="4">
        <v>3938</v>
      </c>
      <c r="E7" s="4">
        <v>2743</v>
      </c>
      <c r="F7" s="4">
        <v>182</v>
      </c>
      <c r="G7" s="4">
        <v>1593</v>
      </c>
      <c r="H7">
        <v>400</v>
      </c>
      <c r="I7">
        <v>2343</v>
      </c>
      <c r="J7">
        <v>20</v>
      </c>
      <c r="K7">
        <v>162</v>
      </c>
      <c r="L7" s="8">
        <v>352.13368747233289</v>
      </c>
      <c r="M7" s="8">
        <v>2390.8663125276671</v>
      </c>
      <c r="N7" s="8">
        <v>23.364320495794601</v>
      </c>
      <c r="O7" s="8">
        <v>158.6356795042054</v>
      </c>
      <c r="P7">
        <v>6.5065739419671935</v>
      </c>
      <c r="Q7">
        <v>0.95830697977170454</v>
      </c>
      <c r="R7">
        <v>0.48444175384689236</v>
      </c>
      <c r="S7">
        <v>7.1349978982020723E-2</v>
      </c>
      <c r="T7">
        <v>8.0206726545678109</v>
      </c>
      <c r="V7" s="3">
        <v>4.5586390711370647E-2</v>
      </c>
      <c r="X7" s="2">
        <v>0.13593221617408568</v>
      </c>
      <c r="Y7" s="2">
        <v>-2.0020488923557567E-2</v>
      </c>
      <c r="Z7" s="2">
        <v>-0.14399393709738539</v>
      </c>
      <c r="AA7" s="2">
        <v>2.1207842436892665E-2</v>
      </c>
      <c r="AC7">
        <v>1</v>
      </c>
    </row>
    <row r="8" spans="1:29" s="12" customFormat="1" ht="17" thickBot="1" x14ac:dyDescent="0.25">
      <c r="A8" s="10" t="s">
        <v>17</v>
      </c>
      <c r="B8" s="11">
        <v>3427</v>
      </c>
      <c r="C8" s="11">
        <v>1026</v>
      </c>
      <c r="D8" s="11">
        <v>2401</v>
      </c>
      <c r="E8" s="11">
        <v>2576</v>
      </c>
      <c r="F8" s="11">
        <v>113</v>
      </c>
      <c r="G8" s="11">
        <v>738</v>
      </c>
      <c r="H8" s="12">
        <v>894</v>
      </c>
      <c r="I8" s="12">
        <v>1682</v>
      </c>
      <c r="J8" s="12">
        <v>17</v>
      </c>
      <c r="K8" s="12">
        <v>96</v>
      </c>
      <c r="L8" s="13">
        <v>771.22147651006719</v>
      </c>
      <c r="M8" s="13">
        <v>1804.7785234899329</v>
      </c>
      <c r="N8" s="13">
        <v>33.830755763058072</v>
      </c>
      <c r="O8" s="13">
        <v>79.169244236941935</v>
      </c>
      <c r="P8" s="12">
        <v>19.546351196783881</v>
      </c>
      <c r="Q8" s="12">
        <v>8.3525848929197419</v>
      </c>
      <c r="R8" s="12">
        <v>8.373278490722857</v>
      </c>
      <c r="S8" s="12">
        <v>3.5780856857482899</v>
      </c>
      <c r="T8" s="12">
        <v>39.85030026617477</v>
      </c>
      <c r="V8" s="14">
        <v>1.1462723994802432E-8</v>
      </c>
      <c r="X8" s="15">
        <v>0.15920008354218873</v>
      </c>
      <c r="Y8" s="15">
        <v>-6.8029690010114829E-2</v>
      </c>
      <c r="Z8" s="15">
        <v>-0.49749866307854207</v>
      </c>
      <c r="AA8" s="15">
        <v>0.21259209842506621</v>
      </c>
      <c r="AC8">
        <v>1</v>
      </c>
    </row>
    <row r="9" spans="1:29" x14ac:dyDescent="0.2">
      <c r="A9" t="s">
        <v>20</v>
      </c>
      <c r="B9" s="4">
        <v>2973</v>
      </c>
      <c r="C9" s="4">
        <v>2366</v>
      </c>
      <c r="D9" s="4">
        <v>607</v>
      </c>
      <c r="E9" s="4">
        <v>2141</v>
      </c>
      <c r="F9" s="4">
        <v>103</v>
      </c>
      <c r="G9" s="4">
        <v>729</v>
      </c>
      <c r="H9">
        <v>1810</v>
      </c>
      <c r="I9">
        <v>331</v>
      </c>
      <c r="J9">
        <v>80</v>
      </c>
      <c r="K9">
        <v>23</v>
      </c>
      <c r="L9" s="5">
        <v>1703.8701648166834</v>
      </c>
      <c r="M9" s="5">
        <v>437.12983518331652</v>
      </c>
      <c r="N9" s="5">
        <v>81.970400269088458</v>
      </c>
      <c r="O9" s="5">
        <v>21.029599730911539</v>
      </c>
      <c r="P9">
        <v>6.6105634975125973</v>
      </c>
      <c r="Q9">
        <v>25.767039926054014</v>
      </c>
      <c r="R9">
        <v>4.7364380406569435E-2</v>
      </c>
      <c r="S9">
        <v>0.18461964422066501</v>
      </c>
      <c r="T9">
        <v>32.609587448193849</v>
      </c>
      <c r="V9" s="3">
        <v>3.8929968603918904E-7</v>
      </c>
      <c r="X9" s="2">
        <v>6.2287513083331136E-2</v>
      </c>
      <c r="Y9" s="2">
        <v>-0.24278790107934289</v>
      </c>
      <c r="Z9" s="2">
        <v>-2.4037948608523596E-2</v>
      </c>
      <c r="AA9" s="2">
        <v>9.3696517969962034E-2</v>
      </c>
      <c r="AC9">
        <v>1</v>
      </c>
    </row>
    <row r="10" spans="1:29" ht="17" thickBot="1" x14ac:dyDescent="0.25">
      <c r="A10" t="s">
        <v>21</v>
      </c>
      <c r="B10" s="4">
        <v>2714</v>
      </c>
      <c r="C10" s="4">
        <v>2411</v>
      </c>
      <c r="D10" s="4">
        <v>303</v>
      </c>
      <c r="E10" s="4">
        <v>1905</v>
      </c>
      <c r="F10" s="4">
        <v>90</v>
      </c>
      <c r="G10" s="4">
        <v>719</v>
      </c>
      <c r="H10">
        <v>1744</v>
      </c>
      <c r="I10">
        <v>161</v>
      </c>
      <c r="J10">
        <v>79</v>
      </c>
      <c r="K10">
        <v>11</v>
      </c>
      <c r="L10" s="5">
        <v>1692.3194546794398</v>
      </c>
      <c r="M10" s="5">
        <v>212.68054532056004</v>
      </c>
      <c r="N10" s="5">
        <v>79.952100221075895</v>
      </c>
      <c r="O10" s="5">
        <v>10.047899778924098</v>
      </c>
      <c r="P10">
        <v>1.5782355732218405</v>
      </c>
      <c r="Q10">
        <v>12.558171508375683</v>
      </c>
      <c r="R10">
        <v>1.133797396774088E-2</v>
      </c>
      <c r="S10">
        <v>9.0217344013939479E-2</v>
      </c>
      <c r="T10">
        <v>14.237962399579205</v>
      </c>
      <c r="V10" s="3">
        <v>2.5985042725095971E-3</v>
      </c>
      <c r="X10" s="2">
        <v>3.0538291796893269E-2</v>
      </c>
      <c r="Y10" s="2">
        <v>-0.24299611063468551</v>
      </c>
      <c r="Z10" s="2">
        <v>-1.1908382874786794E-2</v>
      </c>
      <c r="AA10" s="2">
        <v>9.4756142280894684E-2</v>
      </c>
      <c r="AC10">
        <v>1</v>
      </c>
    </row>
    <row r="11" spans="1:29" s="12" customFormat="1" ht="17" thickBot="1" x14ac:dyDescent="0.25">
      <c r="A11" s="10" t="s">
        <v>23</v>
      </c>
      <c r="B11" s="11">
        <v>2369</v>
      </c>
      <c r="C11" s="11">
        <v>720</v>
      </c>
      <c r="D11" s="11">
        <v>1649</v>
      </c>
      <c r="E11" s="11">
        <v>1586</v>
      </c>
      <c r="F11" s="11">
        <v>161</v>
      </c>
      <c r="G11" s="11">
        <v>622</v>
      </c>
      <c r="H11" s="12">
        <v>494</v>
      </c>
      <c r="I11" s="12">
        <v>1092</v>
      </c>
      <c r="J11" s="12">
        <v>66</v>
      </c>
      <c r="K11" s="12">
        <v>95</v>
      </c>
      <c r="L11" s="13">
        <v>482.02617138032923</v>
      </c>
      <c r="M11" s="13">
        <v>1103.9738286196707</v>
      </c>
      <c r="N11" s="13">
        <v>48.932038834951456</v>
      </c>
      <c r="O11" s="13">
        <v>112.06796116504854</v>
      </c>
      <c r="P11" s="12">
        <v>0.29743731839847071</v>
      </c>
      <c r="Q11" s="12">
        <v>0.12986953865791198</v>
      </c>
      <c r="R11" s="12">
        <v>5.9534674063800281</v>
      </c>
      <c r="S11" s="12">
        <v>2.5994521119427656</v>
      </c>
      <c r="T11" s="12">
        <v>8.9802263753791767</v>
      </c>
      <c r="V11" s="14">
        <v>2.9554946164546611E-2</v>
      </c>
      <c r="X11" s="15">
        <v>2.4840619307832545E-2</v>
      </c>
      <c r="Y11" s="15">
        <v>-1.0846116374553794E-2</v>
      </c>
      <c r="Z11" s="15">
        <v>0.3488095238095239</v>
      </c>
      <c r="AA11" s="15">
        <v>-0.15230009529585031</v>
      </c>
      <c r="AC11">
        <v>1</v>
      </c>
    </row>
    <row r="12" spans="1:29" ht="17" thickBot="1" x14ac:dyDescent="0.25">
      <c r="A12" t="s">
        <v>27</v>
      </c>
      <c r="B12" s="4">
        <v>2367</v>
      </c>
      <c r="C12" s="4">
        <v>1526</v>
      </c>
      <c r="D12" s="4">
        <v>841</v>
      </c>
      <c r="E12" s="4">
        <v>1062</v>
      </c>
      <c r="F12" s="4">
        <v>180</v>
      </c>
      <c r="G12" s="4">
        <v>1125</v>
      </c>
      <c r="H12">
        <v>737</v>
      </c>
      <c r="I12">
        <v>325</v>
      </c>
      <c r="J12">
        <v>111</v>
      </c>
      <c r="K12">
        <v>69</v>
      </c>
      <c r="L12" s="5">
        <v>684.66920152091257</v>
      </c>
      <c r="M12" s="5">
        <v>377.33079847908749</v>
      </c>
      <c r="N12" s="5">
        <v>116.04562737642586</v>
      </c>
      <c r="O12" s="5">
        <v>63.954372623574145</v>
      </c>
      <c r="P12">
        <v>3.9997599766070602</v>
      </c>
      <c r="Q12">
        <v>7.2575906353179391</v>
      </c>
      <c r="R12">
        <v>0.21938229123581618</v>
      </c>
      <c r="S12">
        <v>0.39807060217105289</v>
      </c>
      <c r="T12">
        <v>11.874803505331867</v>
      </c>
      <c r="V12" s="3">
        <v>7.8245701463780081E-3</v>
      </c>
      <c r="X12" s="2">
        <v>7.6432236710576085E-2</v>
      </c>
      <c r="Y12" s="2">
        <v>-0.13868679336544476</v>
      </c>
      <c r="Z12" s="2">
        <v>-4.347968545216252E-2</v>
      </c>
      <c r="AA12" s="2">
        <v>7.8894173602853668E-2</v>
      </c>
      <c r="AC12">
        <v>1</v>
      </c>
    </row>
    <row r="13" spans="1:29" s="12" customFormat="1" ht="17" thickBot="1" x14ac:dyDescent="0.25">
      <c r="A13" s="10" t="s">
        <v>29</v>
      </c>
      <c r="B13" s="11">
        <v>1738</v>
      </c>
      <c r="C13" s="11">
        <v>1323</v>
      </c>
      <c r="D13" s="11">
        <v>415</v>
      </c>
      <c r="E13" s="11">
        <v>867</v>
      </c>
      <c r="F13" s="11">
        <v>280</v>
      </c>
      <c r="G13" s="11">
        <v>591</v>
      </c>
      <c r="H13" s="12">
        <v>640</v>
      </c>
      <c r="I13" s="12">
        <v>227</v>
      </c>
      <c r="J13" s="12">
        <v>256</v>
      </c>
      <c r="K13" s="12">
        <v>24</v>
      </c>
      <c r="L13" s="13">
        <v>659.97756041426919</v>
      </c>
      <c r="M13" s="13">
        <v>207.02243958573072</v>
      </c>
      <c r="N13" s="13">
        <v>213.14154200230149</v>
      </c>
      <c r="O13" s="13">
        <v>66.858457997698508</v>
      </c>
      <c r="P13" s="12">
        <v>0.60472195426653264</v>
      </c>
      <c r="Q13" s="12">
        <v>1.9278244469750105</v>
      </c>
      <c r="R13" s="12">
        <v>8.6179700338315701</v>
      </c>
      <c r="S13" s="12">
        <v>27.473673143997992</v>
      </c>
      <c r="T13" s="12">
        <v>38.624189579071107</v>
      </c>
      <c r="V13" s="14">
        <v>2.0848284464155437E-8</v>
      </c>
      <c r="X13" s="15">
        <v>-3.0270060093754103E-2</v>
      </c>
      <c r="Y13" s="15">
        <v>9.6499492780811824E-2</v>
      </c>
      <c r="Z13" s="15">
        <v>0.20107979699816436</v>
      </c>
      <c r="AA13" s="15">
        <v>-0.64103270223752151</v>
      </c>
      <c r="AC13">
        <v>1</v>
      </c>
    </row>
    <row r="14" spans="1:29" ht="17" thickBot="1" x14ac:dyDescent="0.25">
      <c r="A14" t="s">
        <v>30</v>
      </c>
      <c r="B14" s="4">
        <v>1843</v>
      </c>
      <c r="C14" s="4">
        <v>1483</v>
      </c>
      <c r="D14" s="4">
        <v>360</v>
      </c>
      <c r="E14" s="4">
        <v>1113</v>
      </c>
      <c r="F14" s="4">
        <v>32</v>
      </c>
      <c r="G14" s="4">
        <v>698</v>
      </c>
      <c r="H14">
        <v>878</v>
      </c>
      <c r="I14">
        <v>235</v>
      </c>
      <c r="J14">
        <v>20</v>
      </c>
      <c r="K14">
        <v>12</v>
      </c>
      <c r="L14" s="9">
        <v>895.59359739555066</v>
      </c>
      <c r="M14" s="9">
        <v>217.40640260444926</v>
      </c>
      <c r="N14" s="9">
        <v>25.749321758003255</v>
      </c>
      <c r="O14" s="9">
        <v>6.2506782419967442</v>
      </c>
      <c r="P14">
        <v>0.34561956474105621</v>
      </c>
      <c r="Q14">
        <v>1.4237605958638648</v>
      </c>
      <c r="R14">
        <v>1.283711508508987</v>
      </c>
      <c r="S14">
        <v>5.2881782419967447</v>
      </c>
      <c r="T14">
        <v>8.3412699111106523</v>
      </c>
      <c r="V14" s="3">
        <v>3.9460895007673365E-2</v>
      </c>
      <c r="X14" s="2">
        <v>-1.9644621675181773E-2</v>
      </c>
      <c r="Y14" s="2">
        <v>8.0924927623040821E-2</v>
      </c>
      <c r="Z14" s="2">
        <v>-0.22328051247471337</v>
      </c>
      <c r="AA14" s="2">
        <v>0.91979166666666679</v>
      </c>
      <c r="AC14">
        <v>1</v>
      </c>
    </row>
    <row r="15" spans="1:29" s="12" customFormat="1" ht="17" thickBot="1" x14ac:dyDescent="0.25">
      <c r="A15" s="10" t="s">
        <v>33</v>
      </c>
      <c r="B15" s="11">
        <v>1234</v>
      </c>
      <c r="C15" s="11">
        <v>467</v>
      </c>
      <c r="D15" s="11">
        <v>767</v>
      </c>
      <c r="E15" s="11">
        <v>817</v>
      </c>
      <c r="F15" s="11">
        <v>40</v>
      </c>
      <c r="G15" s="11">
        <v>377</v>
      </c>
      <c r="H15" s="12">
        <v>372</v>
      </c>
      <c r="I15" s="12">
        <v>445</v>
      </c>
      <c r="J15" s="12">
        <v>7</v>
      </c>
      <c r="K15" s="12">
        <v>33</v>
      </c>
      <c r="L15" s="13">
        <v>309.18881685575366</v>
      </c>
      <c r="M15" s="13">
        <v>507.8111831442464</v>
      </c>
      <c r="N15" s="13">
        <v>15.137763371150729</v>
      </c>
      <c r="O15" s="13">
        <v>24.862236628849274</v>
      </c>
      <c r="P15" s="12">
        <v>12.759985202895088</v>
      </c>
      <c r="Q15" s="12">
        <v>7.7691174573038024</v>
      </c>
      <c r="R15" s="12">
        <v>4.3747012726496592</v>
      </c>
      <c r="S15" s="12">
        <v>2.663605598862306</v>
      </c>
      <c r="T15" s="12">
        <v>27.567409531710858</v>
      </c>
      <c r="V15" s="14">
        <v>4.4763651743078254E-6</v>
      </c>
      <c r="X15" s="15">
        <v>0.2031483020084448</v>
      </c>
      <c r="Y15" s="15">
        <v>-0.12369003525155642</v>
      </c>
      <c r="Z15" s="15">
        <v>-0.53758029978586719</v>
      </c>
      <c r="AA15" s="15">
        <v>0.32731421121251603</v>
      </c>
      <c r="AC15">
        <v>1</v>
      </c>
    </row>
    <row r="16" spans="1:29" x14ac:dyDescent="0.2">
      <c r="A16" t="s">
        <v>59</v>
      </c>
      <c r="B16" s="4">
        <v>479</v>
      </c>
      <c r="C16" s="4">
        <v>342</v>
      </c>
      <c r="D16" s="4">
        <v>137</v>
      </c>
      <c r="E16" s="4">
        <v>288</v>
      </c>
      <c r="F16" s="4">
        <v>10</v>
      </c>
      <c r="G16" s="4">
        <v>181</v>
      </c>
      <c r="H16">
        <v>226</v>
      </c>
      <c r="I16">
        <v>62</v>
      </c>
      <c r="J16">
        <v>5</v>
      </c>
      <c r="K16">
        <v>5</v>
      </c>
      <c r="L16" s="5">
        <v>205.62839248434236</v>
      </c>
      <c r="M16" s="5">
        <v>82.371607515657615</v>
      </c>
      <c r="N16" s="5">
        <v>7.1398747390396657</v>
      </c>
      <c r="O16" s="5">
        <v>2.8601252609603338</v>
      </c>
      <c r="P16">
        <v>2.0182154213144448</v>
      </c>
      <c r="Q16">
        <v>5.0381728035732714</v>
      </c>
      <c r="R16">
        <v>0.64133672734375946</v>
      </c>
      <c r="S16">
        <v>1.6010011733690936</v>
      </c>
      <c r="T16">
        <v>9.2987261256005684</v>
      </c>
      <c r="V16" s="3">
        <v>2.5571850975576776E-2</v>
      </c>
      <c r="X16" s="2">
        <v>9.9070012995451817E-2</v>
      </c>
      <c r="Y16" s="2">
        <v>-0.24731346309813462</v>
      </c>
      <c r="Z16" s="2">
        <v>-0.29970760233918126</v>
      </c>
      <c r="AA16" s="2">
        <v>0.74817518248175197</v>
      </c>
      <c r="AC16">
        <v>1</v>
      </c>
    </row>
    <row r="17" spans="1:29" x14ac:dyDescent="0.2">
      <c r="A17" t="s">
        <v>69</v>
      </c>
      <c r="B17" s="4">
        <v>414</v>
      </c>
      <c r="C17" s="4">
        <v>298</v>
      </c>
      <c r="D17" s="4">
        <v>116</v>
      </c>
      <c r="E17" s="4">
        <v>179</v>
      </c>
      <c r="F17" s="4">
        <v>24</v>
      </c>
      <c r="G17" s="4">
        <v>211</v>
      </c>
      <c r="H17">
        <v>140</v>
      </c>
      <c r="I17">
        <v>39</v>
      </c>
      <c r="J17">
        <v>8</v>
      </c>
      <c r="K17">
        <v>16</v>
      </c>
      <c r="L17" s="5">
        <v>128.84541062801932</v>
      </c>
      <c r="M17" s="5">
        <v>50.154589371980677</v>
      </c>
      <c r="N17" s="5">
        <v>17.275362318840578</v>
      </c>
      <c r="O17" s="5">
        <v>6.7246376811594208</v>
      </c>
      <c r="P17">
        <v>0.96569108244547963</v>
      </c>
      <c r="Q17">
        <v>2.4808270911099388</v>
      </c>
      <c r="R17">
        <v>4.9800603054177603</v>
      </c>
      <c r="S17">
        <v>12.793603198400795</v>
      </c>
      <c r="T17">
        <v>21.220181677373972</v>
      </c>
      <c r="V17" s="3">
        <v>9.4753260041610131E-5</v>
      </c>
      <c r="X17" s="2">
        <v>8.6573431817329682E-2</v>
      </c>
      <c r="Y17" s="2">
        <v>-0.22240416104796767</v>
      </c>
      <c r="Z17" s="2">
        <v>-0.53691275167785224</v>
      </c>
      <c r="AA17" s="2">
        <v>1.3793103448275859</v>
      </c>
      <c r="AC17">
        <v>1</v>
      </c>
    </row>
    <row r="29" spans="1:29" ht="17" thickBot="1" x14ac:dyDescent="0.25"/>
    <row r="30" spans="1:29" ht="17" thickBot="1" x14ac:dyDescent="0.25">
      <c r="L30" s="10" t="s">
        <v>6</v>
      </c>
      <c r="O30" s="20">
        <v>28.803291405946592</v>
      </c>
      <c r="P30" s="14">
        <v>2.4630150900097725E-6</v>
      </c>
      <c r="Q30" s="11">
        <v>15146</v>
      </c>
    </row>
    <row r="31" spans="1:29" ht="17" thickBot="1" x14ac:dyDescent="0.25">
      <c r="L31" s="10" t="s">
        <v>9</v>
      </c>
      <c r="O31" s="20">
        <v>21.782353528492429</v>
      </c>
      <c r="P31" s="14">
        <v>7.2398855841267247E-5</v>
      </c>
      <c r="Q31" s="11">
        <v>6570</v>
      </c>
    </row>
    <row r="32" spans="1:29" ht="17" thickBot="1" x14ac:dyDescent="0.25">
      <c r="L32" t="s">
        <v>10</v>
      </c>
      <c r="O32" s="21">
        <v>27.285456697316249</v>
      </c>
      <c r="P32" s="3">
        <v>5.1293901597886808E-6</v>
      </c>
      <c r="Q32" s="4">
        <v>6699</v>
      </c>
    </row>
    <row r="33" spans="12:17" ht="17" thickBot="1" x14ac:dyDescent="0.25">
      <c r="L33" s="10" t="s">
        <v>11</v>
      </c>
      <c r="O33" s="20">
        <v>105.11294508583573</v>
      </c>
      <c r="P33" s="14">
        <v>1.2355389388973609E-22</v>
      </c>
      <c r="Q33" s="11">
        <v>5721</v>
      </c>
    </row>
    <row r="34" spans="12:17" x14ac:dyDescent="0.2">
      <c r="L34" t="s">
        <v>12</v>
      </c>
      <c r="O34" s="21">
        <v>10.37813211347494</v>
      </c>
      <c r="P34" s="3">
        <v>1.5610800361349181E-2</v>
      </c>
      <c r="Q34" s="4">
        <v>4412</v>
      </c>
    </row>
    <row r="35" spans="12:17" x14ac:dyDescent="0.2">
      <c r="L35" t="s">
        <v>13</v>
      </c>
      <c r="O35" s="21">
        <v>35.256983136256721</v>
      </c>
      <c r="P35" s="3">
        <v>1.0750734783889149E-7</v>
      </c>
      <c r="Q35" s="4">
        <v>4350</v>
      </c>
    </row>
    <row r="36" spans="12:17" ht="17" thickBot="1" x14ac:dyDescent="0.25">
      <c r="L36" t="s">
        <v>16</v>
      </c>
      <c r="O36" s="21">
        <v>8.0206726545678109</v>
      </c>
      <c r="P36" s="3">
        <v>4.5586390711370647E-2</v>
      </c>
      <c r="Q36" s="4">
        <v>4518</v>
      </c>
    </row>
    <row r="37" spans="12:17" ht="17" thickBot="1" x14ac:dyDescent="0.25">
      <c r="L37" s="10" t="s">
        <v>17</v>
      </c>
      <c r="O37" s="20">
        <v>39.85030026617477</v>
      </c>
      <c r="P37" s="14">
        <v>1.1462723994802432E-8</v>
      </c>
      <c r="Q37" s="11">
        <v>3427</v>
      </c>
    </row>
    <row r="38" spans="12:17" x14ac:dyDescent="0.2">
      <c r="L38" t="s">
        <v>20</v>
      </c>
      <c r="O38" s="21">
        <v>32.609587448193849</v>
      </c>
      <c r="P38" s="3">
        <v>3.8929968603918904E-7</v>
      </c>
      <c r="Q38" s="4">
        <v>2973</v>
      </c>
    </row>
    <row r="39" spans="12:17" ht="17" thickBot="1" x14ac:dyDescent="0.25">
      <c r="L39" t="s">
        <v>21</v>
      </c>
      <c r="O39" s="21">
        <v>14.237962399579205</v>
      </c>
      <c r="P39" s="3">
        <v>2.5985042725095971E-3</v>
      </c>
      <c r="Q39" s="4">
        <v>2714</v>
      </c>
    </row>
    <row r="40" spans="12:17" ht="17" thickBot="1" x14ac:dyDescent="0.25">
      <c r="L40" s="10" t="s">
        <v>23</v>
      </c>
      <c r="O40" s="20">
        <v>8.9802263753791767</v>
      </c>
      <c r="P40" s="14">
        <v>2.9554946164546611E-2</v>
      </c>
      <c r="Q40" s="11">
        <v>2369</v>
      </c>
    </row>
    <row r="41" spans="12:17" ht="17" thickBot="1" x14ac:dyDescent="0.25">
      <c r="L41" t="s">
        <v>27</v>
      </c>
      <c r="O41" s="21">
        <v>11.874803505331867</v>
      </c>
      <c r="P41" s="3">
        <v>7.8245701463780081E-3</v>
      </c>
      <c r="Q41" s="4">
        <v>2367</v>
      </c>
    </row>
    <row r="42" spans="12:17" ht="17" thickBot="1" x14ac:dyDescent="0.25">
      <c r="L42" s="10" t="s">
        <v>29</v>
      </c>
      <c r="O42" s="20">
        <v>38.624189579071107</v>
      </c>
      <c r="P42" s="14">
        <v>2.0848284464155437E-8</v>
      </c>
      <c r="Q42" s="11">
        <v>1738</v>
      </c>
    </row>
    <row r="43" spans="12:17" ht="17" thickBot="1" x14ac:dyDescent="0.25">
      <c r="L43" t="s">
        <v>30</v>
      </c>
      <c r="O43" s="21">
        <v>8.3412699111106523</v>
      </c>
      <c r="P43" s="3">
        <v>3.9460895007673365E-2</v>
      </c>
      <c r="Q43" s="4">
        <v>1843</v>
      </c>
    </row>
    <row r="44" spans="12:17" ht="17" thickBot="1" x14ac:dyDescent="0.25">
      <c r="L44" s="10" t="s">
        <v>33</v>
      </c>
      <c r="O44" s="20">
        <v>27.567409531710858</v>
      </c>
      <c r="P44" s="14">
        <v>4.4763651743078254E-6</v>
      </c>
      <c r="Q44" s="11">
        <v>1234</v>
      </c>
    </row>
    <row r="45" spans="12:17" x14ac:dyDescent="0.2">
      <c r="L45" t="s">
        <v>59</v>
      </c>
      <c r="O45" s="21">
        <v>9.2987261256005684</v>
      </c>
      <c r="P45" s="3">
        <v>2.5571850975576776E-2</v>
      </c>
      <c r="Q45" s="4">
        <v>479</v>
      </c>
    </row>
    <row r="46" spans="12:17" x14ac:dyDescent="0.2">
      <c r="L46" t="s">
        <v>69</v>
      </c>
      <c r="O46" s="21">
        <v>21.220181677373972</v>
      </c>
      <c r="P46" s="3">
        <v>9.4753260041610131E-5</v>
      </c>
      <c r="Q46" s="4">
        <v>414</v>
      </c>
    </row>
  </sheetData>
  <conditionalFormatting sqref="H1:K17">
    <cfRule type="cellIs" dxfId="10" priority="12" operator="lessThan">
      <formula>5</formula>
    </cfRule>
  </conditionalFormatting>
  <conditionalFormatting sqref="Y1:Y17 AA1:AA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7">
    <cfRule type="cellIs" dxfId="9" priority="5" operator="lessThan">
      <formula>0.05</formula>
    </cfRule>
    <cfRule type="cellIs" dxfId="8" priority="6" operator="lessThan">
      <formula>0.05</formula>
    </cfRule>
  </conditionalFormatting>
  <conditionalFormatting sqref="T1:T17">
    <cfRule type="cellIs" dxfId="7" priority="4" operator="greaterThan">
      <formula>7.879</formula>
    </cfRule>
  </conditionalFormatting>
  <conditionalFormatting sqref="P30:P46">
    <cfRule type="cellIs" dxfId="6" priority="2" operator="lessThan">
      <formula>0.05</formula>
    </cfRule>
    <cfRule type="cellIs" dxfId="5" priority="3" operator="lessThan">
      <formula>0.05</formula>
    </cfRule>
  </conditionalFormatting>
  <conditionalFormatting sqref="O30:O46">
    <cfRule type="cellIs" dxfId="4" priority="1" operator="greaterThan">
      <formula>7.879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P48"/>
  <sheetViews>
    <sheetView workbookViewId="0">
      <selection activeCell="N46" sqref="N46:P46"/>
    </sheetView>
  </sheetViews>
  <sheetFormatPr baseColWidth="10" defaultRowHeight="16" x14ac:dyDescent="0.2"/>
  <sheetData>
    <row r="6" spans="6:15" ht="17" thickBot="1" x14ac:dyDescent="0.25"/>
    <row r="7" spans="6:15" ht="17" thickBot="1" x14ac:dyDescent="0.25">
      <c r="F7" s="18">
        <v>1738</v>
      </c>
      <c r="G7" s="18">
        <v>1323</v>
      </c>
      <c r="H7" s="18">
        <v>415</v>
      </c>
      <c r="I7" s="18">
        <v>867</v>
      </c>
      <c r="J7" s="18">
        <v>280</v>
      </c>
      <c r="K7" s="18">
        <v>591</v>
      </c>
      <c r="L7" s="19">
        <v>640</v>
      </c>
      <c r="M7" s="19">
        <v>227</v>
      </c>
      <c r="N7" s="19">
        <v>256</v>
      </c>
      <c r="O7" s="19">
        <v>24</v>
      </c>
    </row>
    <row r="14" spans="6:15" ht="17" thickBot="1" x14ac:dyDescent="0.25"/>
    <row r="15" spans="6:15" ht="17" thickBot="1" x14ac:dyDescent="0.25">
      <c r="K15" s="18">
        <v>1738</v>
      </c>
    </row>
    <row r="16" spans="6:15" ht="17" thickBot="1" x14ac:dyDescent="0.25">
      <c r="K16" s="18">
        <v>1323</v>
      </c>
    </row>
    <row r="17" spans="11:11" ht="17" thickBot="1" x14ac:dyDescent="0.25">
      <c r="K17" s="18">
        <v>415</v>
      </c>
    </row>
    <row r="18" spans="11:11" ht="17" thickBot="1" x14ac:dyDescent="0.25">
      <c r="K18" s="18">
        <v>867</v>
      </c>
    </row>
    <row r="19" spans="11:11" ht="17" thickBot="1" x14ac:dyDescent="0.25">
      <c r="K19" s="18">
        <v>280</v>
      </c>
    </row>
    <row r="20" spans="11:11" ht="17" thickBot="1" x14ac:dyDescent="0.25">
      <c r="K20" s="18">
        <v>591</v>
      </c>
    </row>
    <row r="21" spans="11:11" ht="17" thickBot="1" x14ac:dyDescent="0.25">
      <c r="K21" s="19">
        <v>640</v>
      </c>
    </row>
    <row r="22" spans="11:11" ht="17" thickBot="1" x14ac:dyDescent="0.25">
      <c r="K22" s="19">
        <v>227</v>
      </c>
    </row>
    <row r="23" spans="11:11" ht="17" thickBot="1" x14ac:dyDescent="0.25">
      <c r="K23" s="19">
        <v>256</v>
      </c>
    </row>
    <row r="24" spans="11:11" ht="17" thickBot="1" x14ac:dyDescent="0.25">
      <c r="K24" s="19">
        <v>24</v>
      </c>
    </row>
    <row r="45" spans="13:16" ht="17" thickBot="1" x14ac:dyDescent="0.25"/>
    <row r="46" spans="13:16" ht="17" thickBot="1" x14ac:dyDescent="0.25">
      <c r="M46" s="12">
        <v>8.9802263753791767</v>
      </c>
      <c r="N46" s="12">
        <v>8.9802263753791767</v>
      </c>
      <c r="O46" s="12">
        <v>28.803291405946592</v>
      </c>
      <c r="P46" s="12">
        <v>38.624189579071107</v>
      </c>
    </row>
    <row r="47" spans="13:16" ht="17" thickBot="1" x14ac:dyDescent="0.25">
      <c r="M47" s="12">
        <v>28.803291405946592</v>
      </c>
    </row>
    <row r="48" spans="13:16" ht="17" thickBot="1" x14ac:dyDescent="0.25">
      <c r="M48" s="12">
        <v>38.624189579071107</v>
      </c>
    </row>
  </sheetData>
  <conditionalFormatting sqref="L7:O7">
    <cfRule type="cellIs" dxfId="3" priority="4" operator="lessThan">
      <formula>5</formula>
    </cfRule>
  </conditionalFormatting>
  <conditionalFormatting sqref="K21:K24">
    <cfRule type="cellIs" dxfId="2" priority="3" operator="lessThan">
      <formula>5</formula>
    </cfRule>
  </conditionalFormatting>
  <conditionalFormatting sqref="M46:M48">
    <cfRule type="cellIs" dxfId="1" priority="2" operator="greaterThan">
      <formula>7.879</formula>
    </cfRule>
  </conditionalFormatting>
  <conditionalFormatting sqref="N46:P46">
    <cfRule type="cellIs" dxfId="0" priority="1" operator="greaterThan">
      <formula>7.879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 Stats</vt:lpstr>
      <vt:lpstr>Chi</vt:lpstr>
      <vt:lpstr>significants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2017-02-02T16:46:02Z</cp:lastPrinted>
  <dcterms:created xsi:type="dcterms:W3CDTF">2017-01-26T15:27:31Z</dcterms:created>
  <dcterms:modified xsi:type="dcterms:W3CDTF">2017-02-02T19:40:10Z</dcterms:modified>
</cp:coreProperties>
</file>