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gwup\Downloads\"/>
    </mc:Choice>
  </mc:AlternateContent>
  <xr:revisionPtr revIDLastSave="0" documentId="13_ncr:1_{6B32DDC7-4A48-41B2-9254-C4699A8429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lance Sheet" sheetId="7" r:id="rId1"/>
    <sheet name="IS Cash Flow" sheetId="6" r:id="rId2"/>
    <sheet name="Expenses" sheetId="3" r:id="rId3"/>
    <sheet name="Revenue" sheetId="1" r:id="rId4"/>
    <sheet name="Assumption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B23" i="2"/>
  <c r="J9" i="3" s="1"/>
  <c r="B9" i="2"/>
  <c r="D5" i="1" s="1"/>
  <c r="B27" i="7"/>
  <c r="C27" i="7" s="1"/>
  <c r="B6" i="7"/>
  <c r="B11" i="7"/>
  <c r="B13" i="7" s="1"/>
  <c r="B23" i="7"/>
  <c r="C23" i="7" s="1"/>
  <c r="C24" i="7" s="1"/>
  <c r="C6" i="7"/>
  <c r="B39" i="6"/>
  <c r="B38" i="6"/>
  <c r="B35" i="6"/>
  <c r="C11" i="7" s="1"/>
  <c r="B30" i="6"/>
  <c r="D16" i="6"/>
  <c r="E16" i="6"/>
  <c r="F16" i="6"/>
  <c r="G16" i="6"/>
  <c r="H16" i="6"/>
  <c r="I16" i="6"/>
  <c r="J16" i="6"/>
  <c r="K16" i="6"/>
  <c r="L16" i="6"/>
  <c r="M16" i="6"/>
  <c r="N16" i="6"/>
  <c r="C16" i="6"/>
  <c r="O16" i="6" s="1"/>
  <c r="F20" i="3"/>
  <c r="G20" i="3"/>
  <c r="K20" i="3"/>
  <c r="N20" i="3"/>
  <c r="O20" i="3"/>
  <c r="B20" i="3"/>
  <c r="H20" i="3" s="1"/>
  <c r="B21" i="3"/>
  <c r="H21" i="3" s="1"/>
  <c r="E10" i="3"/>
  <c r="F10" i="3"/>
  <c r="G10" i="3"/>
  <c r="H10" i="3"/>
  <c r="I10" i="3"/>
  <c r="J10" i="3"/>
  <c r="K10" i="3"/>
  <c r="L10" i="3"/>
  <c r="M10" i="3"/>
  <c r="N10" i="3"/>
  <c r="O10" i="3"/>
  <c r="D10" i="3"/>
  <c r="I6" i="3"/>
  <c r="L6" i="3"/>
  <c r="E5" i="3"/>
  <c r="E6" i="3" s="1"/>
  <c r="F5" i="3"/>
  <c r="F6" i="3" s="1"/>
  <c r="G5" i="3"/>
  <c r="G6" i="3" s="1"/>
  <c r="H5" i="3"/>
  <c r="H6" i="3" s="1"/>
  <c r="I5" i="3"/>
  <c r="I7" i="3" s="1"/>
  <c r="H7" i="6" s="1"/>
  <c r="J5" i="3"/>
  <c r="K5" i="3"/>
  <c r="L5" i="3"/>
  <c r="L7" i="3" s="1"/>
  <c r="K7" i="6" s="1"/>
  <c r="M5" i="3"/>
  <c r="M6" i="3" s="1"/>
  <c r="N5" i="3"/>
  <c r="N6" i="3" s="1"/>
  <c r="O5" i="3"/>
  <c r="O6" i="3" s="1"/>
  <c r="D5" i="3"/>
  <c r="D6" i="3" s="1"/>
  <c r="K13" i="7"/>
  <c r="K5" i="7"/>
  <c r="A21" i="3"/>
  <c r="B29" i="7" l="1"/>
  <c r="B24" i="7"/>
  <c r="O21" i="3"/>
  <c r="O22" i="3" s="1"/>
  <c r="N13" i="6" s="1"/>
  <c r="N29" i="6" s="1"/>
  <c r="H22" i="3"/>
  <c r="G13" i="6" s="1"/>
  <c r="G29" i="6" s="1"/>
  <c r="F21" i="3"/>
  <c r="K21" i="3"/>
  <c r="K22" i="3" s="1"/>
  <c r="J13" i="6" s="1"/>
  <c r="J29" i="6" s="1"/>
  <c r="G21" i="3"/>
  <c r="N21" i="3"/>
  <c r="N22" i="3" s="1"/>
  <c r="M13" i="6" s="1"/>
  <c r="M29" i="6" s="1"/>
  <c r="M21" i="3"/>
  <c r="E21" i="3"/>
  <c r="L21" i="3"/>
  <c r="G22" i="3"/>
  <c r="F13" i="6" s="1"/>
  <c r="F29" i="6" s="1"/>
  <c r="J21" i="3"/>
  <c r="F22" i="3"/>
  <c r="E13" i="6" s="1"/>
  <c r="E29" i="6" s="1"/>
  <c r="I21" i="3"/>
  <c r="D21" i="3"/>
  <c r="M20" i="3"/>
  <c r="E20" i="3"/>
  <c r="E22" i="3" s="1"/>
  <c r="D13" i="6" s="1"/>
  <c r="D29" i="6" s="1"/>
  <c r="L20" i="3"/>
  <c r="L22" i="3" s="1"/>
  <c r="K13" i="6" s="1"/>
  <c r="K29" i="6" s="1"/>
  <c r="J20" i="3"/>
  <c r="J22" i="3" s="1"/>
  <c r="I13" i="6" s="1"/>
  <c r="I29" i="6" s="1"/>
  <c r="I20" i="3"/>
  <c r="D20" i="3"/>
  <c r="K7" i="3"/>
  <c r="J7" i="6" s="1"/>
  <c r="K6" i="3"/>
  <c r="O7" i="3"/>
  <c r="N7" i="6" s="1"/>
  <c r="G7" i="3"/>
  <c r="F7" i="6" s="1"/>
  <c r="H7" i="3"/>
  <c r="G7" i="6" s="1"/>
  <c r="J6" i="3"/>
  <c r="J7" i="3" s="1"/>
  <c r="I7" i="6" s="1"/>
  <c r="N7" i="3"/>
  <c r="M7" i="6" s="1"/>
  <c r="F7" i="3"/>
  <c r="E7" i="6" s="1"/>
  <c r="E7" i="3"/>
  <c r="D7" i="6" s="1"/>
  <c r="D7" i="3"/>
  <c r="C7" i="6" s="1"/>
  <c r="M7" i="3"/>
  <c r="L7" i="6" s="1"/>
  <c r="I9" i="3"/>
  <c r="D9" i="3"/>
  <c r="H9" i="3"/>
  <c r="O9" i="3"/>
  <c r="G9" i="3"/>
  <c r="N9" i="3"/>
  <c r="M9" i="3"/>
  <c r="E9" i="3"/>
  <c r="F9" i="3"/>
  <c r="L9" i="3"/>
  <c r="K9" i="3"/>
  <c r="D7" i="1"/>
  <c r="D13" i="1" s="1"/>
  <c r="D6" i="1"/>
  <c r="J5" i="1"/>
  <c r="M5" i="1"/>
  <c r="C5" i="1"/>
  <c r="I5" i="1"/>
  <c r="F5" i="1"/>
  <c r="K5" i="1"/>
  <c r="H5" i="1"/>
  <c r="G5" i="1"/>
  <c r="B5" i="1"/>
  <c r="E5" i="1"/>
  <c r="L5" i="1"/>
  <c r="B42" i="6"/>
  <c r="B31" i="7" l="1"/>
  <c r="I22" i="3"/>
  <c r="H13" i="6" s="1"/>
  <c r="H29" i="6" s="1"/>
  <c r="D22" i="3"/>
  <c r="C13" i="6" s="1"/>
  <c r="M22" i="3"/>
  <c r="L13" i="6" s="1"/>
  <c r="L29" i="6" s="1"/>
  <c r="C29" i="6"/>
  <c r="B5" i="7"/>
  <c r="B8" i="7" s="1"/>
  <c r="B15" i="7" s="1"/>
  <c r="C26" i="6"/>
  <c r="O7" i="6"/>
  <c r="H6" i="1"/>
  <c r="H7" i="1"/>
  <c r="H13" i="1" s="1"/>
  <c r="K6" i="1"/>
  <c r="K7" i="1"/>
  <c r="K13" i="1" s="1"/>
  <c r="F7" i="1"/>
  <c r="F13" i="1" s="1"/>
  <c r="F6" i="1"/>
  <c r="J6" i="1"/>
  <c r="J7" i="1"/>
  <c r="J13" i="1" s="1"/>
  <c r="D12" i="1"/>
  <c r="D14" i="1" s="1"/>
  <c r="D15" i="1" s="1"/>
  <c r="E5" i="6" s="1"/>
  <c r="D8" i="1"/>
  <c r="I6" i="1"/>
  <c r="I7" i="1"/>
  <c r="I13" i="1" s="1"/>
  <c r="B7" i="1"/>
  <c r="B13" i="1" s="1"/>
  <c r="B6" i="1"/>
  <c r="G7" i="1"/>
  <c r="G13" i="1" s="1"/>
  <c r="G6" i="1"/>
  <c r="L7" i="1"/>
  <c r="L13" i="1" s="1"/>
  <c r="L6" i="1"/>
  <c r="C6" i="1"/>
  <c r="C7" i="1"/>
  <c r="C13" i="1" s="1"/>
  <c r="E6" i="1"/>
  <c r="E7" i="1"/>
  <c r="E13" i="1" s="1"/>
  <c r="M7" i="1"/>
  <c r="M13" i="1" s="1"/>
  <c r="M6" i="1"/>
  <c r="B32" i="7" l="1"/>
  <c r="O13" i="6"/>
  <c r="C12" i="7" s="1"/>
  <c r="C13" i="7" s="1"/>
  <c r="J12" i="1"/>
  <c r="J14" i="1" s="1"/>
  <c r="J15" i="1" s="1"/>
  <c r="K5" i="6" s="1"/>
  <c r="J8" i="1"/>
  <c r="C12" i="1"/>
  <c r="C14" i="1" s="1"/>
  <c r="C15" i="1" s="1"/>
  <c r="D5" i="6" s="1"/>
  <c r="C8" i="1"/>
  <c r="I12" i="1"/>
  <c r="I14" i="1" s="1"/>
  <c r="I15" i="1" s="1"/>
  <c r="J5" i="6" s="1"/>
  <c r="I8" i="1"/>
  <c r="K12" i="1"/>
  <c r="K14" i="1" s="1"/>
  <c r="K15" i="1" s="1"/>
  <c r="L5" i="6" s="1"/>
  <c r="K8" i="1"/>
  <c r="L12" i="1"/>
  <c r="L14" i="1" s="1"/>
  <c r="L15" i="1" s="1"/>
  <c r="M5" i="6" s="1"/>
  <c r="L8" i="1"/>
  <c r="F11" i="3"/>
  <c r="F12" i="3" s="1"/>
  <c r="D9" i="1"/>
  <c r="M12" i="1"/>
  <c r="M14" i="1" s="1"/>
  <c r="M15" i="1" s="1"/>
  <c r="N5" i="6" s="1"/>
  <c r="M8" i="1"/>
  <c r="B12" i="1"/>
  <c r="B14" i="1" s="1"/>
  <c r="B15" i="1" s="1"/>
  <c r="C5" i="6" s="1"/>
  <c r="B8" i="1"/>
  <c r="E12" i="1"/>
  <c r="E14" i="1" s="1"/>
  <c r="E15" i="1" s="1"/>
  <c r="F5" i="6" s="1"/>
  <c r="E8" i="1"/>
  <c r="H12" i="1"/>
  <c r="H14" i="1" s="1"/>
  <c r="H15" i="1" s="1"/>
  <c r="I5" i="6" s="1"/>
  <c r="H8" i="1"/>
  <c r="G12" i="1"/>
  <c r="G14" i="1" s="1"/>
  <c r="G15" i="1" s="1"/>
  <c r="H5" i="6" s="1"/>
  <c r="G8" i="1"/>
  <c r="F12" i="1"/>
  <c r="F14" i="1" s="1"/>
  <c r="F15" i="1" s="1"/>
  <c r="G5" i="6" s="1"/>
  <c r="F8" i="1"/>
  <c r="H11" i="3" l="1"/>
  <c r="H12" i="3" s="1"/>
  <c r="F9" i="1"/>
  <c r="O11" i="3"/>
  <c r="O12" i="3" s="1"/>
  <c r="M9" i="1"/>
  <c r="D11" i="3"/>
  <c r="D12" i="3" s="1"/>
  <c r="B9" i="1"/>
  <c r="O5" i="6"/>
  <c r="K11" i="3"/>
  <c r="K12" i="3" s="1"/>
  <c r="I9" i="1"/>
  <c r="E11" i="3"/>
  <c r="E12" i="3" s="1"/>
  <c r="C9" i="1"/>
  <c r="F14" i="3"/>
  <c r="E8" i="6"/>
  <c r="E9" i="6" s="1"/>
  <c r="E11" i="6" s="1"/>
  <c r="E14" i="6" s="1"/>
  <c r="E17" i="6" s="1"/>
  <c r="L11" i="3"/>
  <c r="L12" i="3" s="1"/>
  <c r="J9" i="1"/>
  <c r="M11" i="3"/>
  <c r="M12" i="3" s="1"/>
  <c r="K9" i="1"/>
  <c r="I11" i="3"/>
  <c r="I12" i="3" s="1"/>
  <c r="G9" i="1"/>
  <c r="J11" i="3"/>
  <c r="J12" i="3" s="1"/>
  <c r="H9" i="1"/>
  <c r="G11" i="3"/>
  <c r="G12" i="3" s="1"/>
  <c r="E9" i="1"/>
  <c r="N11" i="3"/>
  <c r="N12" i="3" s="1"/>
  <c r="L9" i="1"/>
  <c r="I8" i="6" l="1"/>
  <c r="I9" i="6" s="1"/>
  <c r="I11" i="6" s="1"/>
  <c r="I14" i="6" s="1"/>
  <c r="I17" i="6" s="1"/>
  <c r="J14" i="3"/>
  <c r="E19" i="6"/>
  <c r="E20" i="6" s="1"/>
  <c r="E28" i="6" s="1"/>
  <c r="D14" i="3"/>
  <c r="C8" i="6"/>
  <c r="N14" i="3"/>
  <c r="M8" i="6"/>
  <c r="M9" i="6" s="1"/>
  <c r="M11" i="6" s="1"/>
  <c r="M14" i="6" s="1"/>
  <c r="M17" i="6" s="1"/>
  <c r="D8" i="6"/>
  <c r="D9" i="6" s="1"/>
  <c r="D11" i="6" s="1"/>
  <c r="D14" i="6" s="1"/>
  <c r="D17" i="6" s="1"/>
  <c r="E14" i="3"/>
  <c r="G8" i="6"/>
  <c r="G9" i="6" s="1"/>
  <c r="G11" i="6" s="1"/>
  <c r="G14" i="6" s="1"/>
  <c r="G17" i="6" s="1"/>
  <c r="H14" i="3"/>
  <c r="L8" i="6"/>
  <c r="L9" i="6" s="1"/>
  <c r="L11" i="6" s="1"/>
  <c r="L14" i="6" s="1"/>
  <c r="L17" i="6" s="1"/>
  <c r="M14" i="3"/>
  <c r="J8" i="6"/>
  <c r="J9" i="6" s="1"/>
  <c r="J11" i="6" s="1"/>
  <c r="J14" i="6" s="1"/>
  <c r="J17" i="6" s="1"/>
  <c r="K14" i="3"/>
  <c r="H8" i="6"/>
  <c r="H9" i="6" s="1"/>
  <c r="H11" i="6" s="1"/>
  <c r="H14" i="6" s="1"/>
  <c r="H17" i="6" s="1"/>
  <c r="I14" i="3"/>
  <c r="G14" i="3"/>
  <c r="F8" i="6"/>
  <c r="F9" i="6" s="1"/>
  <c r="F11" i="6" s="1"/>
  <c r="F14" i="6" s="1"/>
  <c r="F17" i="6" s="1"/>
  <c r="K8" i="6"/>
  <c r="K9" i="6" s="1"/>
  <c r="K11" i="6" s="1"/>
  <c r="K14" i="6" s="1"/>
  <c r="K17" i="6" s="1"/>
  <c r="L14" i="3"/>
  <c r="O14" i="3"/>
  <c r="N8" i="6"/>
  <c r="N9" i="6" s="1"/>
  <c r="N11" i="6" s="1"/>
  <c r="N14" i="6" s="1"/>
  <c r="N17" i="6" s="1"/>
  <c r="N19" i="6" l="1"/>
  <c r="N20" i="6" s="1"/>
  <c r="N28" i="6" s="1"/>
  <c r="O8" i="6"/>
  <c r="O9" i="6" s="1"/>
  <c r="O11" i="6" s="1"/>
  <c r="O14" i="6" s="1"/>
  <c r="O17" i="6" s="1"/>
  <c r="C9" i="6"/>
  <c r="C11" i="6" s="1"/>
  <c r="C14" i="6" s="1"/>
  <c r="C17" i="6" s="1"/>
  <c r="L19" i="6"/>
  <c r="L20" i="6" s="1"/>
  <c r="L28" i="6" s="1"/>
  <c r="J19" i="6"/>
  <c r="J20" i="6" s="1"/>
  <c r="J28" i="6" s="1"/>
  <c r="G19" i="6"/>
  <c r="G20" i="6" s="1"/>
  <c r="G28" i="6" s="1"/>
  <c r="M19" i="6"/>
  <c r="M20" i="6" s="1"/>
  <c r="M28" i="6" s="1"/>
  <c r="K19" i="6"/>
  <c r="K20" i="6" s="1"/>
  <c r="K28" i="6" s="1"/>
  <c r="F19" i="6"/>
  <c r="F20" i="6" s="1"/>
  <c r="F28" i="6" s="1"/>
  <c r="H19" i="6"/>
  <c r="H20" i="6" s="1"/>
  <c r="H28" i="6" s="1"/>
  <c r="D19" i="6"/>
  <c r="D20" i="6" s="1"/>
  <c r="D28" i="6" s="1"/>
  <c r="I19" i="6"/>
  <c r="I20" i="6" s="1"/>
  <c r="I28" i="6" s="1"/>
  <c r="C19" i="6" l="1"/>
  <c r="C20" i="6" s="1"/>
  <c r="C28" i="6" s="1"/>
  <c r="C42" i="6" s="1"/>
  <c r="D26" i="6" s="1"/>
  <c r="D42" i="6" s="1"/>
  <c r="E26" i="6" s="1"/>
  <c r="E42" i="6" s="1"/>
  <c r="F26" i="6" s="1"/>
  <c r="F42" i="6" s="1"/>
  <c r="G26" i="6" s="1"/>
  <c r="G42" i="6" s="1"/>
  <c r="H26" i="6" s="1"/>
  <c r="H42" i="6" s="1"/>
  <c r="I26" i="6" s="1"/>
  <c r="I42" i="6" s="1"/>
  <c r="J26" i="6" s="1"/>
  <c r="J42" i="6" s="1"/>
  <c r="K26" i="6" s="1"/>
  <c r="K42" i="6" s="1"/>
  <c r="L26" i="6" s="1"/>
  <c r="L42" i="6" s="1"/>
  <c r="M26" i="6" s="1"/>
  <c r="M42" i="6" s="1"/>
  <c r="N26" i="6" s="1"/>
  <c r="N42" i="6" s="1"/>
  <c r="C5" i="7" s="1"/>
  <c r="C8" i="7" s="1"/>
  <c r="C15" i="7" s="1"/>
  <c r="O19" i="6"/>
  <c r="O20" i="6" s="1"/>
  <c r="C28" i="7" s="1"/>
  <c r="C29" i="7" s="1"/>
  <c r="C31" i="7" s="1"/>
  <c r="C32" i="7" l="1"/>
</calcChain>
</file>

<file path=xl/sharedStrings.xml><?xml version="1.0" encoding="utf-8"?>
<sst xmlns="http://schemas.openxmlformats.org/spreadsheetml/2006/main" count="195" uniqueCount="127">
  <si>
    <t>Assumptions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</si>
  <si>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</si>
  <si>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</si>
  <si>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</si>
  <si>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</si>
  <si>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</si>
  <si>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</si>
  <si>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</si>
  <si>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</si>
  <si>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</si>
  <si>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</si>
  <si>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</si>
  <si>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</si>
  <si>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of business days per month</t>
  </si>
  <si>
    <t>Revenue</t>
  </si>
  <si>
    <t>Unit Sales Forecast</t>
  </si>
  <si>
    <t>Large</t>
  </si>
  <si>
    <t>Small</t>
  </si>
  <si>
    <t>Price</t>
  </si>
  <si>
    <t>Total</t>
  </si>
  <si>
    <t>error check</t>
  </si>
  <si>
    <t>$ Sales Forecast</t>
  </si>
  <si>
    <t>Large Sales per day</t>
  </si>
  <si>
    <t>Small Sales per day</t>
  </si>
  <si>
    <t>Daily Sales</t>
  </si>
  <si>
    <t>Monthly Sales</t>
  </si>
  <si>
    <t>Barista Salary</t>
  </si>
  <si>
    <t>Monthly Rent</t>
  </si>
  <si>
    <t>Monthly Utilities</t>
  </si>
  <si>
    <t>Expenses</t>
  </si>
  <si>
    <t>Staff Costs</t>
  </si>
  <si>
    <t>Total Staff costs</t>
  </si>
  <si>
    <t>Rent</t>
  </si>
  <si>
    <t>Utilities</t>
  </si>
  <si>
    <t>Consumables</t>
  </si>
  <si>
    <t>Total Other Costs</t>
  </si>
  <si>
    <t>Total Costs</t>
  </si>
  <si>
    <t>Total Expenses</t>
  </si>
  <si>
    <t>Tax</t>
  </si>
  <si>
    <t>Income Tax</t>
  </si>
  <si>
    <t>Opening Cash</t>
  </si>
  <si>
    <t>Closing Cash</t>
  </si>
  <si>
    <t>Worst</t>
  </si>
  <si>
    <t>Base</t>
  </si>
  <si>
    <t>Best</t>
  </si>
  <si>
    <t>Based on past year calendar</t>
  </si>
  <si>
    <t>Forecast Cashflow</t>
  </si>
  <si>
    <t>Forecast P&amp;L</t>
  </si>
  <si>
    <t>Scenario:</t>
  </si>
  <si>
    <t>Balance Sheet</t>
  </si>
  <si>
    <t>ASSETS</t>
  </si>
  <si>
    <t>Current Assets</t>
  </si>
  <si>
    <t>Inventory</t>
  </si>
  <si>
    <t>Total Current Assets</t>
  </si>
  <si>
    <t>Fixed Assets</t>
  </si>
  <si>
    <t>TOTAL ASSETS</t>
  </si>
  <si>
    <t>LIABILITIES</t>
  </si>
  <si>
    <t>Accounts Payable</t>
  </si>
  <si>
    <t>Long Term Liabilities</t>
  </si>
  <si>
    <t>EQUITY</t>
  </si>
  <si>
    <t>Retained Earnings</t>
  </si>
  <si>
    <t>TOTAL EQUITY</t>
  </si>
  <si>
    <t>TOTAL LIABILITIES &amp; EQUITY</t>
  </si>
  <si>
    <t>EBITDA</t>
  </si>
  <si>
    <t>Interest</t>
  </si>
  <si>
    <t>EBIT</t>
  </si>
  <si>
    <t>Cash at Bank</t>
  </si>
  <si>
    <t>Year 0</t>
  </si>
  <si>
    <t>Cash flow from Operations</t>
  </si>
  <si>
    <t>Cash flow from Investment</t>
  </si>
  <si>
    <t>Cash flow from Financing</t>
  </si>
  <si>
    <t>Capital expenditure</t>
  </si>
  <si>
    <t>Capital raised</t>
  </si>
  <si>
    <t>Pre-Open</t>
  </si>
  <si>
    <t>Bank Loan</t>
  </si>
  <si>
    <t>Owner's Funds</t>
  </si>
  <si>
    <t>Bank loan</t>
  </si>
  <si>
    <t>Sources of Funds</t>
  </si>
  <si>
    <t>Uses of Funds</t>
  </si>
  <si>
    <t>Working Cash</t>
  </si>
  <si>
    <t>Borrowed from the Bank</t>
  </si>
  <si>
    <t>Furniture &amp; Fixtures</t>
  </si>
  <si>
    <t>Purchase Price</t>
  </si>
  <si>
    <t>Useful Life</t>
  </si>
  <si>
    <t>All GST, VAT or sales tax is excluded for the purposes of this model</t>
  </si>
  <si>
    <t>% of units</t>
  </si>
  <si>
    <t>Revenue Assumptions</t>
  </si>
  <si>
    <t>Expense Assumptions</t>
  </si>
  <si>
    <t>Other Assumptions</t>
  </si>
  <si>
    <t>Other Staff Costs and Benefits</t>
  </si>
  <si>
    <t xml:space="preserve">   Large</t>
  </si>
  <si>
    <t xml:space="preserve">   Small</t>
  </si>
  <si>
    <t xml:space="preserve">   Staff Costs</t>
  </si>
  <si>
    <t xml:space="preserve">   Other Costs</t>
  </si>
  <si>
    <t>Total D&amp;A expense</t>
  </si>
  <si>
    <t>EBT</t>
  </si>
  <si>
    <t>Net Income</t>
  </si>
  <si>
    <t>Working Inventory</t>
  </si>
  <si>
    <t>Year 1</t>
  </si>
  <si>
    <t xml:space="preserve">   + D&amp;A (non-cash)</t>
  </si>
  <si>
    <t xml:space="preserve">   - increase in inventory</t>
  </si>
  <si>
    <t>Total sources of funds</t>
  </si>
  <si>
    <t>Total uses of funds</t>
  </si>
  <si>
    <t>end of</t>
  </si>
  <si>
    <t xml:space="preserve">Gross PP&amp;E </t>
  </si>
  <si>
    <t>Total Current Liabilities</t>
  </si>
  <si>
    <t>Current Liabilities</t>
  </si>
  <si>
    <t>Total Long Term Liabilities</t>
  </si>
  <si>
    <t>Paydown of Debt</t>
  </si>
  <si>
    <t xml:space="preserve">Accounts Receivable </t>
  </si>
  <si>
    <t xml:space="preserve">   - increase in accounts receivable</t>
  </si>
  <si>
    <t xml:space="preserve">   + increase in accounts payable</t>
  </si>
  <si>
    <t>Scenarios</t>
  </si>
  <si>
    <t>Seasonality Variance (% of ann avg)</t>
  </si>
  <si>
    <t>Based on historical demand data</t>
  </si>
  <si>
    <t>Total Fixed Assets</t>
  </si>
  <si>
    <t>Depreciation &amp; Amortization (D&amp;A) Schedule</t>
  </si>
  <si>
    <t>Depreciation &amp; Amortization (D&amp;A) Expense</t>
  </si>
  <si>
    <t>Less: Depreciation &amp; Amortization</t>
  </si>
  <si>
    <t>Interest rate</t>
  </si>
  <si>
    <t>Equity raised</t>
  </si>
  <si>
    <t>Wraps per Day</t>
  </si>
  <si>
    <t>Consumables per wrap</t>
  </si>
  <si>
    <t>Consumables have been calculated on average for large and small wraps</t>
  </si>
  <si>
    <t>Shawarma Machine</t>
  </si>
  <si>
    <t>Wraps of shawarma sold per day</t>
  </si>
  <si>
    <t>Average no wraps sold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</si>
</sst>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&quot;$&quot;#,##0"/>
    <numFmt numFmtId="168" formatCode="_-* #,##0_-;\-* #,##0_-;_-* &quot;-&quot;??_-;_-@_-"/>
    <numFmt numFmtId="169" formatCode="&quot;$&quot;#,##0.00"/>
    <numFmt numFmtId="170" formatCode="[$₦-470]#,##0"/>
    <numFmt numFmtId="171" formatCode="[$₦-470]#,##0.00"/>
    <numFmt numFmtId="172" formatCode="[$₦-470]#,##0.00;[Red]\-[$₦-470]#,##0.00"/>
    <numFmt numFmtId="173" formatCode="[$₦-470]#,##0;[Red]\-[$₦-470]#,##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166" fontId="12" fillId="0" borderId="0" applyFont="0" applyFill="0" applyBorder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67" fontId="3" fillId="0" borderId="0" xfId="0" applyNumberFormat="1" applyFont="1"/>
    <xf numFmtId="167" fontId="0" fillId="0" borderId="0" xfId="0" applyNumberFormat="1"/>
    <xf numFmtId="0" fontId="6" fillId="0" borderId="0" xfId="0" applyFont="1"/>
    <xf numFmtId="167" fontId="6" fillId="0" borderId="0" xfId="0" applyNumberFormat="1" applyFont="1"/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0" fontId="8" fillId="0" borderId="0" xfId="0" applyFont="1"/>
    <xf numFmtId="0" fontId="1" fillId="0" borderId="0" xfId="1" applyFill="1"/>
    <xf numFmtId="0" fontId="11" fillId="0" borderId="0" xfId="1" applyFont="1" applyFill="1" applyAlignment="1">
      <alignment horizontal="center"/>
    </xf>
    <xf numFmtId="167" fontId="3" fillId="0" borderId="3" xfId="0" applyNumberFormat="1" applyFont="1" applyBorder="1"/>
    <xf numFmtId="167" fontId="3" fillId="0" borderId="5" xfId="0" applyNumberFormat="1" applyFont="1" applyBorder="1"/>
    <xf numFmtId="0" fontId="9" fillId="0" borderId="0" xfId="0" applyFont="1"/>
    <xf numFmtId="0" fontId="10" fillId="0" borderId="6" xfId="1" applyFont="1" applyFill="1" applyBorder="1"/>
    <xf numFmtId="1" fontId="0" fillId="0" borderId="0" xfId="0" applyNumberFormat="1"/>
    <xf numFmtId="165" fontId="0" fillId="0" borderId="0" xfId="0" applyNumberFormat="1"/>
    <xf numFmtId="0" fontId="1" fillId="0" borderId="6" xfId="1" applyFill="1" applyBorder="1"/>
    <xf numFmtId="0" fontId="1" fillId="0" borderId="0" xfId="1" applyFill="1" applyBorder="1"/>
    <xf numFmtId="168" fontId="0" fillId="0" borderId="0" xfId="3" applyNumberFormat="1" applyFont="1"/>
    <xf numFmtId="0" fontId="2" fillId="4" borderId="2" xfId="2" applyFill="1" applyAlignment="1"/>
    <xf numFmtId="9" fontId="2" fillId="4" borderId="2" xfId="2" applyNumberFormat="1" applyFill="1"/>
    <xf numFmtId="0" fontId="2" fillId="4" borderId="2" xfId="2" applyFill="1"/>
    <xf numFmtId="0" fontId="0" fillId="0" borderId="0" xfId="0" quotePrefix="1"/>
    <xf numFmtId="169" fontId="0" fillId="0" borderId="0" xfId="0" applyNumberFormat="1"/>
    <xf numFmtId="0" fontId="2" fillId="4" borderId="2" xfId="2" applyFill="1" applyAlignment="1">
      <alignment horizontal="center"/>
    </xf>
    <xf numFmtId="1" fontId="2" fillId="4" borderId="2" xfId="2" applyNumberFormat="1" applyFill="1"/>
    <xf numFmtId="166" fontId="7" fillId="0" borderId="0" xfId="3" applyFont="1"/>
    <xf numFmtId="171" fontId="2" fillId="4" borderId="2" xfId="2" applyNumberFormat="1" applyFill="1"/>
    <xf numFmtId="172" fontId="2" fillId="4" borderId="2" xfId="2" applyNumberFormat="1" applyFill="1"/>
    <xf numFmtId="173" fontId="2" fillId="4" borderId="2" xfId="2" applyNumberFormat="1" applyFill="1"/>
    <xf numFmtId="173" fontId="0" fillId="0" borderId="0" xfId="0" applyNumberFormat="1"/>
    <xf numFmtId="171" fontId="3" fillId="0" borderId="3" xfId="0" applyNumberFormat="1" applyFont="1" applyBorder="1"/>
    <xf numFmtId="171" fontId="0" fillId="0" borderId="0" xfId="0" applyNumberFormat="1"/>
    <xf numFmtId="170" fontId="0" fillId="0" borderId="0" xfId="0" applyNumberFormat="1"/>
    <xf numFmtId="171" fontId="3" fillId="0" borderId="5" xfId="0" applyNumberFormat="1" applyFont="1" applyBorder="1"/>
    <xf numFmtId="171" fontId="3" fillId="0" borderId="0" xfId="0" applyNumberFormat="1" applyFont="1"/>
    <xf numFmtId="170" fontId="3" fillId="0" borderId="5" xfId="0" applyNumberFormat="1" applyFont="1" applyBorder="1"/>
    <xf numFmtId="170" fontId="3" fillId="0" borderId="3" xfId="0" applyNumberFormat="1" applyFont="1" applyBorder="1"/>
    <xf numFmtId="0" fontId="1" fillId="5" borderId="6" xfId="4" applyBorder="1" applyAlignment="1">
      <alignment horizontal="right"/>
    </xf>
    <xf numFmtId="0" fontId="1" fillId="5" borderId="6" xfId="4" applyBorder="1" applyAlignment="1">
      <alignment horizontal="center"/>
    </xf>
    <xf numFmtId="0" fontId="12" fillId="6" borderId="0" xfId="5" applyBorder="1"/>
    <xf numFmtId="171" fontId="12" fillId="6" borderId="0" xfId="5" applyNumberFormat="1" applyBorder="1"/>
    <xf numFmtId="0" fontId="12" fillId="6" borderId="0" xfId="5"/>
    <xf numFmtId="171" fontId="12" fillId="6" borderId="0" xfId="5" applyNumberFormat="1"/>
    <xf numFmtId="0" fontId="1" fillId="5" borderId="0" xfId="4"/>
    <xf numFmtId="171" fontId="1" fillId="5" borderId="0" xfId="4" applyNumberFormat="1"/>
    <xf numFmtId="0" fontId="12" fillId="6" borderId="6" xfId="5" applyBorder="1"/>
    <xf numFmtId="171" fontId="12" fillId="6" borderId="6" xfId="5" applyNumberFormat="1" applyBorder="1"/>
    <xf numFmtId="0" fontId="1" fillId="5" borderId="6" xfId="4" applyBorder="1"/>
    <xf numFmtId="0" fontId="1" fillId="5" borderId="4" xfId="4" applyBorder="1" applyAlignment="1">
      <alignment horizontal="center"/>
    </xf>
    <xf numFmtId="167" fontId="12" fillId="6" borderId="3" xfId="5" applyNumberFormat="1" applyBorder="1"/>
    <xf numFmtId="170" fontId="12" fillId="6" borderId="3" xfId="5" applyNumberFormat="1" applyBorder="1"/>
    <xf numFmtId="167" fontId="12" fillId="6" borderId="1" xfId="5" applyNumberFormat="1" applyBorder="1"/>
    <xf numFmtId="170" fontId="12" fillId="6" borderId="1" xfId="5" applyNumberFormat="1" applyBorder="1"/>
    <xf numFmtId="171" fontId="12" fillId="6" borderId="1" xfId="5" applyNumberFormat="1" applyBorder="1"/>
    <xf numFmtId="0" fontId="12" fillId="6" borderId="3" xfId="5" applyBorder="1"/>
    <xf numFmtId="173" fontId="12" fillId="6" borderId="3" xfId="5" applyNumberFormat="1" applyBorder="1"/>
    <xf numFmtId="164" fontId="12" fillId="6" borderId="1" xfId="5" applyNumberFormat="1" applyBorder="1"/>
    <xf numFmtId="0" fontId="12" fillId="7" borderId="1" xfId="6" applyBorder="1"/>
    <xf numFmtId="173" fontId="12" fillId="7" borderId="1" xfId="6" applyNumberFormat="1" applyBorder="1"/>
    <xf numFmtId="0" fontId="12" fillId="6" borderId="1" xfId="5" applyBorder="1"/>
    <xf numFmtId="173" fontId="12" fillId="6" borderId="1" xfId="5" applyNumberFormat="1" applyBorder="1"/>
    <xf numFmtId="1" fontId="12" fillId="6" borderId="3" xfId="5" applyNumberFormat="1" applyBorder="1"/>
  </cellXfs>
  <cellStyles count="7">
    <cellStyle name="40% - Accent1" xfId="5" builtinId="31"/>
    <cellStyle name="60% - Accent1" xfId="6" builtinId="32"/>
    <cellStyle name="60% - Accent4" xfId="1" builtinId="44"/>
    <cellStyle name="Accent1" xfId="4" builtinId="29"/>
    <cellStyle name="Comma" xfId="3" builtinId="3"/>
    <cellStyle name="Input" xfId="2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tabSelected="1" zoomScaleNormal="100" workbookViewId="0">
      <selection activeCell="J8" sqref="J8:K8"/>
    </sheetView>
  </sheetViews>
  <sheetFormatPr defaultRowHeight="14.5" x14ac:dyDescent="0.35"/>
  <cols>
    <col min="1" max="1" width="30.26953125" bestFit="1" customWidth="1"/>
    <col min="2" max="2" width="12.54296875" bestFit="1" customWidth="1"/>
    <col min="3" max="3" width="13.6328125" bestFit="1" customWidth="1"/>
    <col min="10" max="10" width="23" bestFit="1" customWidth="1"/>
    <col min="11" max="11" width="12.90625" bestFit="1" customWidth="1"/>
  </cols>
  <sheetData>
    <row r="1" spans="1:11" ht="18.5" x14ac:dyDescent="0.45">
      <c r="A1" s="7" t="s">
        <v>49</v>
      </c>
      <c r="B1" s="8"/>
      <c r="C1" s="5"/>
      <c r="D1" s="5"/>
    </row>
    <row r="2" spans="1:11" x14ac:dyDescent="0.35">
      <c r="A2" s="41" t="s">
        <v>103</v>
      </c>
      <c r="B2" s="42" t="s">
        <v>67</v>
      </c>
      <c r="C2" s="42" t="s">
        <v>98</v>
      </c>
      <c r="J2" s="49" t="s">
        <v>77</v>
      </c>
      <c r="K2" s="49"/>
    </row>
    <row r="3" spans="1:11" x14ac:dyDescent="0.35">
      <c r="A3" s="3" t="s">
        <v>50</v>
      </c>
      <c r="J3" s="5" t="s">
        <v>80</v>
      </c>
      <c r="K3" s="30">
        <v>3000000</v>
      </c>
    </row>
    <row r="4" spans="1:11" x14ac:dyDescent="0.35">
      <c r="A4" s="15" t="s">
        <v>51</v>
      </c>
      <c r="B4" s="5"/>
      <c r="C4" s="5"/>
      <c r="J4" s="5" t="s">
        <v>120</v>
      </c>
      <c r="K4" s="30">
        <v>2500000</v>
      </c>
    </row>
    <row r="5" spans="1:11" x14ac:dyDescent="0.35">
      <c r="A5" t="s">
        <v>66</v>
      </c>
      <c r="B5" s="35">
        <f>'IS Cash Flow'!B42</f>
        <v>500000</v>
      </c>
      <c r="C5" s="35">
        <f>'IS Cash Flow'!N42</f>
        <v>43189400</v>
      </c>
      <c r="J5" s="13" t="s">
        <v>101</v>
      </c>
      <c r="K5" s="34">
        <f>SUM(K3:K4)</f>
        <v>5500000</v>
      </c>
    </row>
    <row r="6" spans="1:11" x14ac:dyDescent="0.35">
      <c r="A6" t="s">
        <v>52</v>
      </c>
      <c r="B6" s="35">
        <f>K10</f>
        <v>500000</v>
      </c>
      <c r="C6" s="35">
        <f>$K$10</f>
        <v>500000</v>
      </c>
      <c r="K6" s="35"/>
    </row>
    <row r="7" spans="1:11" x14ac:dyDescent="0.35">
      <c r="A7" t="s">
        <v>109</v>
      </c>
      <c r="B7" s="35"/>
      <c r="C7" s="35"/>
      <c r="K7" s="35"/>
    </row>
    <row r="8" spans="1:11" x14ac:dyDescent="0.35">
      <c r="A8" s="43" t="s">
        <v>53</v>
      </c>
      <c r="B8" s="44">
        <f>SUM(B5:B7)</f>
        <v>1000000</v>
      </c>
      <c r="C8" s="44">
        <f>SUM(C5:C7)</f>
        <v>43689400</v>
      </c>
      <c r="J8" s="49" t="s">
        <v>78</v>
      </c>
      <c r="K8" s="50"/>
    </row>
    <row r="9" spans="1:11" x14ac:dyDescent="0.35">
      <c r="B9" s="35"/>
      <c r="C9" s="35"/>
      <c r="J9" s="5" t="s">
        <v>79</v>
      </c>
      <c r="K9" s="30">
        <v>500000</v>
      </c>
    </row>
    <row r="10" spans="1:11" x14ac:dyDescent="0.35">
      <c r="A10" s="15" t="s">
        <v>54</v>
      </c>
      <c r="B10" s="35"/>
      <c r="C10" s="35"/>
      <c r="J10" s="5" t="s">
        <v>97</v>
      </c>
      <c r="K10" s="30">
        <v>500000</v>
      </c>
    </row>
    <row r="11" spans="1:11" x14ac:dyDescent="0.35">
      <c r="A11" t="s">
        <v>104</v>
      </c>
      <c r="B11" s="35">
        <f>SUM(K11,K12)</f>
        <v>4500000</v>
      </c>
      <c r="C11" s="35">
        <f>-SUM('IS Cash Flow'!B35:N35)</f>
        <v>4500000</v>
      </c>
      <c r="J11" s="5" t="s">
        <v>124</v>
      </c>
      <c r="K11" s="30">
        <v>1000000</v>
      </c>
    </row>
    <row r="12" spans="1:11" x14ac:dyDescent="0.35">
      <c r="A12" t="s">
        <v>118</v>
      </c>
      <c r="B12" s="35"/>
      <c r="C12" s="35">
        <f>-'IS Cash Flow'!O13</f>
        <v>-683333.33333333349</v>
      </c>
      <c r="J12" s="5" t="s">
        <v>81</v>
      </c>
      <c r="K12" s="30">
        <v>3500000</v>
      </c>
    </row>
    <row r="13" spans="1:11" x14ac:dyDescent="0.35">
      <c r="A13" s="43" t="s">
        <v>115</v>
      </c>
      <c r="B13" s="44">
        <f>SUM(B11:B12)</f>
        <v>4500000</v>
      </c>
      <c r="C13" s="44">
        <f>SUM(C11:C12)</f>
        <v>3816666.6666666665</v>
      </c>
      <c r="J13" s="13" t="s">
        <v>102</v>
      </c>
      <c r="K13" s="34">
        <f>SUM(K9:K12)</f>
        <v>5500000</v>
      </c>
    </row>
    <row r="14" spans="1:11" x14ac:dyDescent="0.35">
      <c r="B14" s="35"/>
      <c r="C14" s="35"/>
    </row>
    <row r="15" spans="1:11" x14ac:dyDescent="0.35">
      <c r="A15" s="45" t="s">
        <v>55</v>
      </c>
      <c r="B15" s="46">
        <f>B8+B13</f>
        <v>5500000</v>
      </c>
      <c r="C15" s="46">
        <f>C8+C13</f>
        <v>47506066.666666664</v>
      </c>
    </row>
    <row r="16" spans="1:11" x14ac:dyDescent="0.35">
      <c r="B16" s="35"/>
      <c r="C16" s="35"/>
    </row>
    <row r="17" spans="1:3" x14ac:dyDescent="0.35">
      <c r="A17" s="3" t="s">
        <v>56</v>
      </c>
      <c r="B17" s="35"/>
      <c r="C17" s="35"/>
    </row>
    <row r="18" spans="1:3" x14ac:dyDescent="0.35">
      <c r="A18" s="15" t="s">
        <v>106</v>
      </c>
      <c r="B18" s="35"/>
      <c r="C18" s="35"/>
    </row>
    <row r="19" spans="1:3" x14ac:dyDescent="0.35">
      <c r="A19" t="s">
        <v>57</v>
      </c>
      <c r="B19" s="35"/>
      <c r="C19" s="35"/>
    </row>
    <row r="20" spans="1:3" x14ac:dyDescent="0.35">
      <c r="A20" s="43" t="s">
        <v>105</v>
      </c>
      <c r="B20" s="44"/>
      <c r="C20" s="44"/>
    </row>
    <row r="21" spans="1:3" x14ac:dyDescent="0.35">
      <c r="B21" s="35"/>
      <c r="C21" s="35"/>
    </row>
    <row r="22" spans="1:3" x14ac:dyDescent="0.35">
      <c r="A22" s="15" t="s">
        <v>58</v>
      </c>
      <c r="B22" s="35"/>
      <c r="C22" s="35"/>
    </row>
    <row r="23" spans="1:3" x14ac:dyDescent="0.35">
      <c r="A23" t="s">
        <v>74</v>
      </c>
      <c r="B23" s="35">
        <f>K3</f>
        <v>3000000</v>
      </c>
      <c r="C23" s="35">
        <f>B23+SUM('IS Cash Flow'!C40:N40)</f>
        <v>3000000</v>
      </c>
    </row>
    <row r="24" spans="1:3" x14ac:dyDescent="0.35">
      <c r="A24" s="43" t="s">
        <v>107</v>
      </c>
      <c r="B24" s="35">
        <f>SUM(B23)</f>
        <v>3000000</v>
      </c>
      <c r="C24" s="35">
        <f>SUM(C23)</f>
        <v>3000000</v>
      </c>
    </row>
    <row r="25" spans="1:3" x14ac:dyDescent="0.35">
      <c r="A25" s="3"/>
      <c r="B25" s="38"/>
      <c r="C25" s="38"/>
    </row>
    <row r="26" spans="1:3" x14ac:dyDescent="0.35">
      <c r="A26" s="3" t="s">
        <v>59</v>
      </c>
      <c r="B26" s="35"/>
      <c r="C26" s="35"/>
    </row>
    <row r="27" spans="1:3" x14ac:dyDescent="0.35">
      <c r="A27" t="s">
        <v>75</v>
      </c>
      <c r="B27" s="35">
        <f>K4</f>
        <v>2500000</v>
      </c>
      <c r="C27" s="35">
        <f>B27</f>
        <v>2500000</v>
      </c>
    </row>
    <row r="28" spans="1:3" x14ac:dyDescent="0.35">
      <c r="A28" t="s">
        <v>60</v>
      </c>
      <c r="B28" s="35"/>
      <c r="C28" s="35">
        <f>'IS Cash Flow'!O20</f>
        <v>42006066.666666664</v>
      </c>
    </row>
    <row r="29" spans="1:3" x14ac:dyDescent="0.35">
      <c r="A29" s="45" t="s">
        <v>61</v>
      </c>
      <c r="B29" s="46">
        <f>SUM(B27:B28)</f>
        <v>2500000</v>
      </c>
      <c r="C29" s="46">
        <f>SUM(C27:C28)</f>
        <v>44506066.666666664</v>
      </c>
    </row>
    <row r="30" spans="1:3" x14ac:dyDescent="0.35">
      <c r="B30" s="35"/>
      <c r="C30" s="35"/>
    </row>
    <row r="31" spans="1:3" x14ac:dyDescent="0.35">
      <c r="A31" s="47" t="s">
        <v>62</v>
      </c>
      <c r="B31" s="48">
        <f>B29+B24</f>
        <v>5500000</v>
      </c>
      <c r="C31" s="48">
        <f>C24+C29</f>
        <v>47506066.666666664</v>
      </c>
    </row>
    <row r="32" spans="1:3" x14ac:dyDescent="0.35">
      <c r="A32" s="9" t="s">
        <v>20</v>
      </c>
      <c r="B32" s="29">
        <f>B31-B15</f>
        <v>0</v>
      </c>
      <c r="C32" s="29">
        <f>C31-C15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Q73"/>
  <sheetViews>
    <sheetView zoomScaleNormal="100" workbookViewId="0">
      <selection activeCell="K41" sqref="K41"/>
    </sheetView>
  </sheetViews>
  <sheetFormatPr defaultColWidth="9" defaultRowHeight="14.5" x14ac:dyDescent="0.35"/>
  <cols>
    <col min="1" max="1" width="34.7265625" customWidth="1"/>
    <col min="2" max="2" width="13.26953125" bestFit="1" customWidth="1"/>
    <col min="3" max="4" width="12.90625" bestFit="1" customWidth="1"/>
    <col min="5" max="14" width="13.6328125" bestFit="1" customWidth="1"/>
    <col min="15" max="15" width="14.90625" bestFit="1" customWidth="1"/>
  </cols>
  <sheetData>
    <row r="1" spans="1:17" x14ac:dyDescent="0.35">
      <c r="A1" s="3" t="s">
        <v>48</v>
      </c>
      <c r="B1" s="27" t="s">
        <v>42</v>
      </c>
    </row>
    <row r="3" spans="1:17" ht="18.5" x14ac:dyDescent="0.45">
      <c r="A3" s="6" t="s">
        <v>47</v>
      </c>
    </row>
    <row r="4" spans="1:17" x14ac:dyDescent="0.35">
      <c r="A4" s="51"/>
      <c r="B4" s="51"/>
      <c r="C4" s="42" t="s">
        <v>1</v>
      </c>
      <c r="D4" s="42" t="s">
        <v>2</v>
      </c>
      <c r="E4" s="42" t="s">
        <v>3</v>
      </c>
      <c r="F4" s="42" t="s">
        <v>4</v>
      </c>
      <c r="G4" s="42" t="s">
        <v>5</v>
      </c>
      <c r="H4" s="42" t="s">
        <v>6</v>
      </c>
      <c r="I4" s="42" t="s">
        <v>7</v>
      </c>
      <c r="J4" s="42" t="s">
        <v>8</v>
      </c>
      <c r="K4" s="42" t="s">
        <v>9</v>
      </c>
      <c r="L4" s="42" t="s">
        <v>10</v>
      </c>
      <c r="M4" s="42" t="s">
        <v>11</v>
      </c>
      <c r="N4" s="42" t="s">
        <v>12</v>
      </c>
      <c r="O4" s="52" t="s">
        <v>19</v>
      </c>
    </row>
    <row r="5" spans="1:17" x14ac:dyDescent="0.35">
      <c r="A5" s="3" t="s">
        <v>14</v>
      </c>
      <c r="B5" s="3"/>
      <c r="C5" s="35">
        <f>Revenue!B15</f>
        <v>6512000</v>
      </c>
      <c r="D5" s="35">
        <f>Revenue!C15</f>
        <v>6660000</v>
      </c>
      <c r="E5" s="35">
        <f>Revenue!D15</f>
        <v>8140000</v>
      </c>
      <c r="F5" s="35">
        <f>Revenue!E15</f>
        <v>6660000</v>
      </c>
      <c r="G5" s="35">
        <f>Revenue!F15</f>
        <v>9361000</v>
      </c>
      <c r="H5" s="35">
        <f>Revenue!G15</f>
        <v>9324000</v>
      </c>
      <c r="I5" s="35">
        <f>Revenue!H15</f>
        <v>9768000</v>
      </c>
      <c r="J5" s="35">
        <f>Revenue!I15</f>
        <v>8954000</v>
      </c>
      <c r="K5" s="35">
        <f>Revenue!J15</f>
        <v>7400000</v>
      </c>
      <c r="L5" s="35">
        <f>Revenue!K15</f>
        <v>7400000</v>
      </c>
      <c r="M5" s="35">
        <f>Revenue!L15</f>
        <v>7326000</v>
      </c>
      <c r="N5" s="35">
        <f>Revenue!M15</f>
        <v>5624000</v>
      </c>
      <c r="O5" s="37">
        <f>SUM(C5:N5)</f>
        <v>93129000</v>
      </c>
    </row>
    <row r="6" spans="1:17" x14ac:dyDescent="0.35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7"/>
    </row>
    <row r="7" spans="1:17" x14ac:dyDescent="0.35">
      <c r="A7" t="s">
        <v>92</v>
      </c>
      <c r="C7" s="35">
        <f>Expenses!D7</f>
        <v>52083.333333333328</v>
      </c>
      <c r="D7" s="35">
        <f>Expenses!E7</f>
        <v>52083.333333333328</v>
      </c>
      <c r="E7" s="35">
        <f>Expenses!F7</f>
        <v>52083.333333333328</v>
      </c>
      <c r="F7" s="35">
        <f>Expenses!G7</f>
        <v>52083.333333333328</v>
      </c>
      <c r="G7" s="35">
        <f>Expenses!H7</f>
        <v>52083.333333333328</v>
      </c>
      <c r="H7" s="35">
        <f>Expenses!I7</f>
        <v>52083.333333333328</v>
      </c>
      <c r="I7" s="35">
        <f>Expenses!J7</f>
        <v>52083.333333333328</v>
      </c>
      <c r="J7" s="35">
        <f>Expenses!K7</f>
        <v>52083.333333333328</v>
      </c>
      <c r="K7" s="35">
        <f>Expenses!L7</f>
        <v>52083.333333333328</v>
      </c>
      <c r="L7" s="35">
        <f>Expenses!M7</f>
        <v>52083.333333333328</v>
      </c>
      <c r="M7" s="35">
        <f>Expenses!N7</f>
        <v>52083.333333333328</v>
      </c>
      <c r="N7" s="35">
        <f>Expenses!O7</f>
        <v>52083.333333333328</v>
      </c>
      <c r="O7" s="37">
        <f>SUM(C7:N7)</f>
        <v>624999.99999999988</v>
      </c>
    </row>
    <row r="8" spans="1:17" x14ac:dyDescent="0.35">
      <c r="A8" t="s">
        <v>93</v>
      </c>
      <c r="C8" s="35">
        <f>Expenses!D12</f>
        <v>2431000</v>
      </c>
      <c r="D8" s="35">
        <f>Expenses!E12</f>
        <v>2455000</v>
      </c>
      <c r="E8" s="35">
        <f>Expenses!F12</f>
        <v>2695000</v>
      </c>
      <c r="F8" s="35">
        <f>Expenses!G12</f>
        <v>2455000</v>
      </c>
      <c r="G8" s="35">
        <f>Expenses!H12</f>
        <v>2893000</v>
      </c>
      <c r="H8" s="35">
        <f>Expenses!I12</f>
        <v>2887000</v>
      </c>
      <c r="I8" s="35">
        <f>Expenses!J12</f>
        <v>2959000</v>
      </c>
      <c r="J8" s="35">
        <f>Expenses!K12</f>
        <v>2827000</v>
      </c>
      <c r="K8" s="35">
        <f>Expenses!L12</f>
        <v>2575000</v>
      </c>
      <c r="L8" s="35">
        <f>Expenses!M12</f>
        <v>2575000</v>
      </c>
      <c r="M8" s="35">
        <f>Expenses!N12</f>
        <v>2563000</v>
      </c>
      <c r="N8" s="35">
        <f>Expenses!O12</f>
        <v>2287000</v>
      </c>
      <c r="O8" s="37">
        <f>SUM(C8:N8)</f>
        <v>31602000</v>
      </c>
    </row>
    <row r="9" spans="1:17" x14ac:dyDescent="0.35">
      <c r="A9" s="3" t="s">
        <v>37</v>
      </c>
      <c r="B9" s="3"/>
      <c r="C9" s="38">
        <f>SUM(C7:C8)</f>
        <v>2483083.3333333335</v>
      </c>
      <c r="D9" s="38">
        <f t="shared" ref="D9:O9" si="0">SUM(D7:D8)</f>
        <v>2507083.3333333335</v>
      </c>
      <c r="E9" s="38">
        <f t="shared" si="0"/>
        <v>2747083.3333333335</v>
      </c>
      <c r="F9" s="38">
        <f t="shared" si="0"/>
        <v>2507083.3333333335</v>
      </c>
      <c r="G9" s="38">
        <f t="shared" si="0"/>
        <v>2945083.3333333335</v>
      </c>
      <c r="H9" s="38">
        <f t="shared" si="0"/>
        <v>2939083.3333333335</v>
      </c>
      <c r="I9" s="38">
        <f t="shared" si="0"/>
        <v>3011083.3333333335</v>
      </c>
      <c r="J9" s="38">
        <f t="shared" si="0"/>
        <v>2879083.3333333335</v>
      </c>
      <c r="K9" s="38">
        <f t="shared" si="0"/>
        <v>2627083.3333333335</v>
      </c>
      <c r="L9" s="38">
        <f t="shared" si="0"/>
        <v>2627083.3333333335</v>
      </c>
      <c r="M9" s="38">
        <f t="shared" si="0"/>
        <v>2615083.3333333335</v>
      </c>
      <c r="N9" s="38">
        <f t="shared" si="0"/>
        <v>2339083.3333333335</v>
      </c>
      <c r="O9" s="38">
        <f t="shared" si="0"/>
        <v>32227000</v>
      </c>
    </row>
    <row r="10" spans="1:17" x14ac:dyDescent="0.35">
      <c r="O10" s="14"/>
    </row>
    <row r="11" spans="1:17" x14ac:dyDescent="0.35">
      <c r="A11" s="53" t="s">
        <v>63</v>
      </c>
      <c r="B11" s="53"/>
      <c r="C11" s="54">
        <f>C5-C9</f>
        <v>4028916.6666666665</v>
      </c>
      <c r="D11" s="54">
        <f t="shared" ref="D11:N11" si="1">D5-D9</f>
        <v>4152916.6666666665</v>
      </c>
      <c r="E11" s="54">
        <f t="shared" si="1"/>
        <v>5392916.666666666</v>
      </c>
      <c r="F11" s="54">
        <f t="shared" si="1"/>
        <v>4152916.6666666665</v>
      </c>
      <c r="G11" s="54">
        <f t="shared" si="1"/>
        <v>6415916.666666666</v>
      </c>
      <c r="H11" s="54">
        <f t="shared" si="1"/>
        <v>6384916.666666666</v>
      </c>
      <c r="I11" s="54">
        <f t="shared" si="1"/>
        <v>6756916.666666666</v>
      </c>
      <c r="J11" s="54">
        <f t="shared" si="1"/>
        <v>6074916.666666666</v>
      </c>
      <c r="K11" s="54">
        <f t="shared" si="1"/>
        <v>4772916.666666666</v>
      </c>
      <c r="L11" s="54">
        <f t="shared" si="1"/>
        <v>4772916.666666666</v>
      </c>
      <c r="M11" s="54">
        <f t="shared" si="1"/>
        <v>4710916.666666666</v>
      </c>
      <c r="N11" s="54">
        <f t="shared" si="1"/>
        <v>3284916.6666666665</v>
      </c>
      <c r="O11" s="54">
        <f>O5-O9</f>
        <v>60902000</v>
      </c>
    </row>
    <row r="12" spans="1:17" x14ac:dyDescent="0.35">
      <c r="A12" s="4"/>
      <c r="B12" s="4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9"/>
    </row>
    <row r="13" spans="1:17" x14ac:dyDescent="0.35">
      <c r="A13" s="5" t="s">
        <v>117</v>
      </c>
      <c r="B13" s="5"/>
      <c r="C13" s="36">
        <f>Expenses!D22</f>
        <v>56944.444444444445</v>
      </c>
      <c r="D13" s="36">
        <f>Expenses!E22</f>
        <v>56944.444444444445</v>
      </c>
      <c r="E13" s="36">
        <f>Expenses!F22</f>
        <v>56944.444444444445</v>
      </c>
      <c r="F13" s="36">
        <f>Expenses!G22</f>
        <v>56944.444444444445</v>
      </c>
      <c r="G13" s="36">
        <f>Expenses!H22</f>
        <v>56944.444444444445</v>
      </c>
      <c r="H13" s="36">
        <f>Expenses!I22</f>
        <v>56944.444444444445</v>
      </c>
      <c r="I13" s="36">
        <f>Expenses!J22</f>
        <v>56944.444444444445</v>
      </c>
      <c r="J13" s="36">
        <f>Expenses!K22</f>
        <v>56944.444444444445</v>
      </c>
      <c r="K13" s="36">
        <f>Expenses!L22</f>
        <v>56944.444444444445</v>
      </c>
      <c r="L13" s="36">
        <f>Expenses!M22</f>
        <v>56944.444444444445</v>
      </c>
      <c r="M13" s="36">
        <f>Expenses!N22</f>
        <v>56944.444444444445</v>
      </c>
      <c r="N13" s="36">
        <f>Expenses!O22</f>
        <v>56944.444444444445</v>
      </c>
      <c r="O13" s="39">
        <f>SUM(C13:N13)</f>
        <v>683333.33333333349</v>
      </c>
    </row>
    <row r="14" spans="1:17" x14ac:dyDescent="0.35">
      <c r="A14" s="13" t="s">
        <v>65</v>
      </c>
      <c r="B14" s="13"/>
      <c r="C14" s="40">
        <f>C$11-C$13</f>
        <v>3971972.222222222</v>
      </c>
      <c r="D14" s="40">
        <f t="shared" ref="D14:O14" si="2">D$11-D$13</f>
        <v>4095972.222222222</v>
      </c>
      <c r="E14" s="40">
        <f t="shared" si="2"/>
        <v>5335972.222222222</v>
      </c>
      <c r="F14" s="40">
        <f t="shared" si="2"/>
        <v>4095972.222222222</v>
      </c>
      <c r="G14" s="40">
        <f t="shared" si="2"/>
        <v>6358972.222222222</v>
      </c>
      <c r="H14" s="40">
        <f t="shared" si="2"/>
        <v>6327972.222222222</v>
      </c>
      <c r="I14" s="40">
        <f t="shared" si="2"/>
        <v>6699972.222222222</v>
      </c>
      <c r="J14" s="40">
        <f t="shared" si="2"/>
        <v>6017972.222222222</v>
      </c>
      <c r="K14" s="40">
        <f t="shared" si="2"/>
        <v>4715972.222222222</v>
      </c>
      <c r="L14" s="40">
        <f t="shared" si="2"/>
        <v>4715972.222222222</v>
      </c>
      <c r="M14" s="40">
        <f t="shared" si="2"/>
        <v>4653972.222222222</v>
      </c>
      <c r="N14" s="40">
        <f t="shared" si="2"/>
        <v>3227972.222222222</v>
      </c>
      <c r="O14" s="40">
        <f t="shared" si="2"/>
        <v>60218666.666666664</v>
      </c>
    </row>
    <row r="15" spans="1:17" x14ac:dyDescent="0.35">
      <c r="A15" s="4"/>
      <c r="B15" s="4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9"/>
    </row>
    <row r="16" spans="1:17" x14ac:dyDescent="0.35">
      <c r="A16" s="5" t="s">
        <v>64</v>
      </c>
      <c r="B16" s="5"/>
      <c r="C16" s="36">
        <f>'Balance Sheet'!$K$3*Assumptions!$B$26/12</f>
        <v>17500.000000000004</v>
      </c>
      <c r="D16" s="36">
        <f>'Balance Sheet'!$K$3*Assumptions!$B$26/12</f>
        <v>17500.000000000004</v>
      </c>
      <c r="E16" s="36">
        <f>'Balance Sheet'!$K$3*Assumptions!$B$26/12</f>
        <v>17500.000000000004</v>
      </c>
      <c r="F16" s="36">
        <f>'Balance Sheet'!$K$3*Assumptions!$B$26/12</f>
        <v>17500.000000000004</v>
      </c>
      <c r="G16" s="36">
        <f>'Balance Sheet'!$K$3*Assumptions!$B$26/12</f>
        <v>17500.000000000004</v>
      </c>
      <c r="H16" s="36">
        <f>'Balance Sheet'!$K$3*Assumptions!$B$26/12</f>
        <v>17500.000000000004</v>
      </c>
      <c r="I16" s="36">
        <f>'Balance Sheet'!$K$3*Assumptions!$B$26/12</f>
        <v>17500.000000000004</v>
      </c>
      <c r="J16" s="36">
        <f>'Balance Sheet'!$K$3*Assumptions!$B$26/12</f>
        <v>17500.000000000004</v>
      </c>
      <c r="K16" s="36">
        <f>'Balance Sheet'!$K$3*Assumptions!$B$26/12</f>
        <v>17500.000000000004</v>
      </c>
      <c r="L16" s="36">
        <f>'Balance Sheet'!$K$3*Assumptions!$B$26/12</f>
        <v>17500.000000000004</v>
      </c>
      <c r="M16" s="36">
        <f>'Balance Sheet'!$K$3*Assumptions!$B$26/12</f>
        <v>17500.000000000004</v>
      </c>
      <c r="N16" s="36">
        <f>'Balance Sheet'!$K$3*Assumptions!$B$26/12</f>
        <v>17500.000000000004</v>
      </c>
      <c r="O16" s="39">
        <f>SUM(C16:N16)</f>
        <v>210000.00000000003</v>
      </c>
      <c r="Q16" s="5"/>
    </row>
    <row r="17" spans="1:17" x14ac:dyDescent="0.35">
      <c r="A17" s="13" t="s">
        <v>95</v>
      </c>
      <c r="B17" s="13"/>
      <c r="C17" s="40">
        <f>C$14-C$16</f>
        <v>3954472.222222222</v>
      </c>
      <c r="D17" s="40">
        <f t="shared" ref="D17:O17" si="3">D$14-D$16</f>
        <v>4078472.222222222</v>
      </c>
      <c r="E17" s="40">
        <f t="shared" si="3"/>
        <v>5318472.222222222</v>
      </c>
      <c r="F17" s="40">
        <f t="shared" si="3"/>
        <v>4078472.222222222</v>
      </c>
      <c r="G17" s="40">
        <f t="shared" si="3"/>
        <v>6341472.222222222</v>
      </c>
      <c r="H17" s="40">
        <f t="shared" si="3"/>
        <v>6310472.222222222</v>
      </c>
      <c r="I17" s="40">
        <f t="shared" si="3"/>
        <v>6682472.222222222</v>
      </c>
      <c r="J17" s="40">
        <f t="shared" si="3"/>
        <v>6000472.222222222</v>
      </c>
      <c r="K17" s="40">
        <f t="shared" si="3"/>
        <v>4698472.222222222</v>
      </c>
      <c r="L17" s="40">
        <f t="shared" si="3"/>
        <v>4698472.222222222</v>
      </c>
      <c r="M17" s="40">
        <f t="shared" si="3"/>
        <v>4636472.222222222</v>
      </c>
      <c r="N17" s="40">
        <f t="shared" si="3"/>
        <v>3210472.222222222</v>
      </c>
      <c r="O17" s="40">
        <f t="shared" si="3"/>
        <v>60008666.666666664</v>
      </c>
    </row>
    <row r="18" spans="1:17" x14ac:dyDescent="0.35">
      <c r="A18" s="5"/>
      <c r="B18" s="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9"/>
      <c r="Q18" s="5"/>
    </row>
    <row r="19" spans="1:17" x14ac:dyDescent="0.35">
      <c r="A19" s="5" t="s">
        <v>38</v>
      </c>
      <c r="B19" s="5"/>
      <c r="C19" s="36">
        <f>C$17*Assumptions!$B$27</f>
        <v>1186341.6666666665</v>
      </c>
      <c r="D19" s="36">
        <f>D$17*Assumptions!$B$27</f>
        <v>1223541.6666666665</v>
      </c>
      <c r="E19" s="36">
        <f>E$17*Assumptions!$B$27</f>
        <v>1595541.6666666665</v>
      </c>
      <c r="F19" s="36">
        <f>F$17*Assumptions!$B$27</f>
        <v>1223541.6666666665</v>
      </c>
      <c r="G19" s="36">
        <f>G$17*Assumptions!$B$27</f>
        <v>1902441.6666666665</v>
      </c>
      <c r="H19" s="36">
        <f>H$17*Assumptions!$B$27</f>
        <v>1893141.6666666665</v>
      </c>
      <c r="I19" s="36">
        <f>I$17*Assumptions!$B$27</f>
        <v>2004741.6666666665</v>
      </c>
      <c r="J19" s="36">
        <f>J$17*Assumptions!$B$27</f>
        <v>1800141.6666666665</v>
      </c>
      <c r="K19" s="36">
        <f>K$17*Assumptions!$B$27</f>
        <v>1409541.6666666665</v>
      </c>
      <c r="L19" s="36">
        <f>L$17*Assumptions!$B$27</f>
        <v>1409541.6666666665</v>
      </c>
      <c r="M19" s="36">
        <f>M$17*Assumptions!$B$27</f>
        <v>1390941.6666666665</v>
      </c>
      <c r="N19" s="36">
        <f>N$17*Assumptions!$B$27</f>
        <v>963141.66666666651</v>
      </c>
      <c r="O19" s="36">
        <f>O$17*Assumptions!$B$27</f>
        <v>18002600</v>
      </c>
      <c r="Q19" s="5"/>
    </row>
    <row r="20" spans="1:17" x14ac:dyDescent="0.35">
      <c r="A20" s="55" t="s">
        <v>96</v>
      </c>
      <c r="B20" s="55"/>
      <c r="C20" s="56">
        <f>C$17-C$19</f>
        <v>2768130.5555555555</v>
      </c>
      <c r="D20" s="56">
        <f t="shared" ref="D20:O20" si="4">D$17-D$19</f>
        <v>2854930.5555555555</v>
      </c>
      <c r="E20" s="56">
        <f t="shared" si="4"/>
        <v>3722930.5555555555</v>
      </c>
      <c r="F20" s="56">
        <f t="shared" si="4"/>
        <v>2854930.5555555555</v>
      </c>
      <c r="G20" s="56">
        <f t="shared" si="4"/>
        <v>4439030.555555556</v>
      </c>
      <c r="H20" s="56">
        <f t="shared" si="4"/>
        <v>4417330.555555556</v>
      </c>
      <c r="I20" s="56">
        <f t="shared" si="4"/>
        <v>4677730.555555556</v>
      </c>
      <c r="J20" s="56">
        <f t="shared" si="4"/>
        <v>4200330.555555556</v>
      </c>
      <c r="K20" s="56">
        <f t="shared" si="4"/>
        <v>3288930.5555555555</v>
      </c>
      <c r="L20" s="56">
        <f t="shared" si="4"/>
        <v>3288930.5555555555</v>
      </c>
      <c r="M20" s="56">
        <f t="shared" si="4"/>
        <v>3245530.5555555555</v>
      </c>
      <c r="N20" s="56">
        <f t="shared" si="4"/>
        <v>2247330.5555555555</v>
      </c>
      <c r="O20" s="56">
        <f t="shared" si="4"/>
        <v>42006066.666666664</v>
      </c>
    </row>
    <row r="21" spans="1:17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7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7" ht="18.5" x14ac:dyDescent="0.45">
      <c r="A23" s="7" t="s">
        <v>46</v>
      </c>
      <c r="B23" s="7"/>
      <c r="C23" s="5"/>
      <c r="D23" s="26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7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7" x14ac:dyDescent="0.35">
      <c r="A25" s="42"/>
      <c r="B25" s="42" t="s">
        <v>73</v>
      </c>
      <c r="C25" s="42" t="s">
        <v>1</v>
      </c>
      <c r="D25" s="42" t="s">
        <v>2</v>
      </c>
      <c r="E25" s="42" t="s">
        <v>3</v>
      </c>
      <c r="F25" s="42" t="s">
        <v>4</v>
      </c>
      <c r="G25" s="42" t="s">
        <v>5</v>
      </c>
      <c r="H25" s="42" t="s">
        <v>6</v>
      </c>
      <c r="I25" s="42" t="s">
        <v>7</v>
      </c>
      <c r="J25" s="42" t="s">
        <v>8</v>
      </c>
      <c r="K25" s="42" t="s">
        <v>9</v>
      </c>
      <c r="L25" s="42" t="s">
        <v>10</v>
      </c>
      <c r="M25" s="42" t="s">
        <v>11</v>
      </c>
      <c r="N25" s="42" t="s">
        <v>12</v>
      </c>
    </row>
    <row r="26" spans="1:17" x14ac:dyDescent="0.35">
      <c r="A26" s="5" t="s">
        <v>40</v>
      </c>
      <c r="B26" s="35"/>
      <c r="C26" s="35">
        <f>B42</f>
        <v>500000</v>
      </c>
      <c r="D26" s="35">
        <f t="shared" ref="D26:N26" si="5">C42</f>
        <v>3325075</v>
      </c>
      <c r="E26" s="35">
        <f t="shared" si="5"/>
        <v>6236950</v>
      </c>
      <c r="F26" s="35">
        <f t="shared" si="5"/>
        <v>10016825</v>
      </c>
      <c r="G26" s="35">
        <f t="shared" si="5"/>
        <v>12928700</v>
      </c>
      <c r="H26" s="35">
        <f t="shared" si="5"/>
        <v>17424675</v>
      </c>
      <c r="I26" s="35">
        <f t="shared" si="5"/>
        <v>21898950</v>
      </c>
      <c r="J26" s="35">
        <f t="shared" si="5"/>
        <v>26633625</v>
      </c>
      <c r="K26" s="35">
        <f t="shared" si="5"/>
        <v>30890900</v>
      </c>
      <c r="L26" s="35">
        <f t="shared" si="5"/>
        <v>34236775</v>
      </c>
      <c r="M26" s="35">
        <f t="shared" si="5"/>
        <v>37582650</v>
      </c>
      <c r="N26" s="35">
        <f t="shared" si="5"/>
        <v>40885125</v>
      </c>
    </row>
    <row r="27" spans="1:17" x14ac:dyDescent="0.35">
      <c r="A27" s="4" t="s">
        <v>68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7" x14ac:dyDescent="0.35">
      <c r="A28" s="5" t="s">
        <v>96</v>
      </c>
      <c r="B28" s="35"/>
      <c r="C28" s="35">
        <f>C20</f>
        <v>2768130.5555555555</v>
      </c>
      <c r="D28" s="35">
        <f t="shared" ref="D28:N28" si="6">D20</f>
        <v>2854930.5555555555</v>
      </c>
      <c r="E28" s="35">
        <f t="shared" si="6"/>
        <v>3722930.5555555555</v>
      </c>
      <c r="F28" s="35">
        <f t="shared" si="6"/>
        <v>2854930.5555555555</v>
      </c>
      <c r="G28" s="35">
        <f t="shared" si="6"/>
        <v>4439030.555555556</v>
      </c>
      <c r="H28" s="35">
        <f t="shared" si="6"/>
        <v>4417330.555555556</v>
      </c>
      <c r="I28" s="35">
        <f t="shared" si="6"/>
        <v>4677730.555555556</v>
      </c>
      <c r="J28" s="35">
        <f t="shared" si="6"/>
        <v>4200330.555555556</v>
      </c>
      <c r="K28" s="35">
        <f t="shared" si="6"/>
        <v>3288930.5555555555</v>
      </c>
      <c r="L28" s="35">
        <f t="shared" si="6"/>
        <v>3288930.5555555555</v>
      </c>
      <c r="M28" s="35">
        <f t="shared" si="6"/>
        <v>3245530.5555555555</v>
      </c>
      <c r="N28" s="35">
        <f t="shared" si="6"/>
        <v>2247330.5555555555</v>
      </c>
    </row>
    <row r="29" spans="1:17" x14ac:dyDescent="0.35">
      <c r="A29" s="5" t="s">
        <v>99</v>
      </c>
      <c r="B29" s="35"/>
      <c r="C29" s="35">
        <f>C13</f>
        <v>56944.444444444445</v>
      </c>
      <c r="D29" s="35">
        <f t="shared" ref="D29:N29" si="7">D13</f>
        <v>56944.444444444445</v>
      </c>
      <c r="E29" s="35">
        <f t="shared" si="7"/>
        <v>56944.444444444445</v>
      </c>
      <c r="F29" s="35">
        <f t="shared" si="7"/>
        <v>56944.444444444445</v>
      </c>
      <c r="G29" s="35">
        <f t="shared" si="7"/>
        <v>56944.444444444445</v>
      </c>
      <c r="H29" s="35">
        <f t="shared" si="7"/>
        <v>56944.444444444445</v>
      </c>
      <c r="I29" s="35">
        <f t="shared" si="7"/>
        <v>56944.444444444445</v>
      </c>
      <c r="J29" s="35">
        <f t="shared" si="7"/>
        <v>56944.444444444445</v>
      </c>
      <c r="K29" s="35">
        <f t="shared" si="7"/>
        <v>56944.444444444445</v>
      </c>
      <c r="L29" s="35">
        <f t="shared" si="7"/>
        <v>56944.444444444445</v>
      </c>
      <c r="M29" s="35">
        <f t="shared" si="7"/>
        <v>56944.444444444445</v>
      </c>
      <c r="N29" s="35">
        <f t="shared" si="7"/>
        <v>56944.444444444445</v>
      </c>
    </row>
    <row r="30" spans="1:17" x14ac:dyDescent="0.35">
      <c r="A30" s="5" t="s">
        <v>100</v>
      </c>
      <c r="B30" s="35">
        <f>-'Balance Sheet'!K9</f>
        <v>-500000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7" x14ac:dyDescent="0.35">
      <c r="A31" s="5" t="s">
        <v>110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7" x14ac:dyDescent="0.35">
      <c r="A32" s="5" t="s">
        <v>111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6" x14ac:dyDescent="0.35">
      <c r="A33" s="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6" x14ac:dyDescent="0.35">
      <c r="A34" s="4" t="s">
        <v>69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6" x14ac:dyDescent="0.35">
      <c r="A35" s="5" t="s">
        <v>71</v>
      </c>
      <c r="B35" s="35">
        <f>-'Balance Sheet'!K11-'Balance Sheet'!K12</f>
        <v>-4500000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6" x14ac:dyDescent="0.35">
      <c r="A36" s="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6" x14ac:dyDescent="0.35">
      <c r="A37" s="4" t="s">
        <v>70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6" x14ac:dyDescent="0.35">
      <c r="A38" s="5" t="s">
        <v>76</v>
      </c>
      <c r="B38" s="35">
        <f>'Balance Sheet'!K3</f>
        <v>3000000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  <row r="39" spans="1:16" x14ac:dyDescent="0.35">
      <c r="A39" s="5" t="s">
        <v>72</v>
      </c>
      <c r="B39" s="35">
        <f>'Balance Sheet'!K4</f>
        <v>2500000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</row>
    <row r="40" spans="1:16" x14ac:dyDescent="0.35">
      <c r="A40" s="5" t="s">
        <v>108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:16" x14ac:dyDescent="0.35">
      <c r="A41" s="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16" x14ac:dyDescent="0.35">
      <c r="A42" s="55" t="s">
        <v>41</v>
      </c>
      <c r="B42" s="57">
        <f>SUM(B26:B41)</f>
        <v>500000</v>
      </c>
      <c r="C42" s="57">
        <f t="shared" ref="C42:N42" si="8">SUM(C26:C41)</f>
        <v>3325075</v>
      </c>
      <c r="D42" s="57">
        <f t="shared" si="8"/>
        <v>6236950</v>
      </c>
      <c r="E42" s="57">
        <f t="shared" si="8"/>
        <v>10016825</v>
      </c>
      <c r="F42" s="57">
        <f t="shared" si="8"/>
        <v>12928700</v>
      </c>
      <c r="G42" s="57">
        <f t="shared" si="8"/>
        <v>17424675</v>
      </c>
      <c r="H42" s="57">
        <f t="shared" si="8"/>
        <v>21898950</v>
      </c>
      <c r="I42" s="57">
        <f t="shared" si="8"/>
        <v>26633625</v>
      </c>
      <c r="J42" s="57">
        <f t="shared" si="8"/>
        <v>30890900</v>
      </c>
      <c r="K42" s="57">
        <f t="shared" si="8"/>
        <v>34236775</v>
      </c>
      <c r="L42" s="57">
        <f t="shared" si="8"/>
        <v>37582650</v>
      </c>
      <c r="M42" s="57">
        <f t="shared" si="8"/>
        <v>40885125</v>
      </c>
      <c r="N42" s="57">
        <f t="shared" si="8"/>
        <v>43189400</v>
      </c>
    </row>
    <row r="43" spans="1:1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P44" s="5"/>
    </row>
    <row r="59" spans="7:7" x14ac:dyDescent="0.35">
      <c r="G59" s="5"/>
    </row>
    <row r="60" spans="7:7" x14ac:dyDescent="0.35">
      <c r="G60" s="5"/>
    </row>
    <row r="61" spans="7:7" x14ac:dyDescent="0.35">
      <c r="G61" s="5"/>
    </row>
    <row r="62" spans="7:7" x14ac:dyDescent="0.35">
      <c r="G62" s="5"/>
    </row>
    <row r="63" spans="7:7" x14ac:dyDescent="0.35">
      <c r="G63" s="5"/>
    </row>
    <row r="64" spans="7:7" x14ac:dyDescent="0.35">
      <c r="G64" s="5"/>
    </row>
    <row r="65" spans="7:7" x14ac:dyDescent="0.35">
      <c r="G65" s="5"/>
    </row>
    <row r="66" spans="7:7" x14ac:dyDescent="0.35">
      <c r="G66" s="5"/>
    </row>
    <row r="67" spans="7:7" x14ac:dyDescent="0.35">
      <c r="G67" s="5"/>
    </row>
    <row r="68" spans="7:7" x14ac:dyDescent="0.35">
      <c r="G68" s="5"/>
    </row>
    <row r="69" spans="7:7" x14ac:dyDescent="0.35">
      <c r="G69" s="5"/>
    </row>
    <row r="70" spans="7:7" x14ac:dyDescent="0.35">
      <c r="G70" s="5"/>
    </row>
    <row r="71" spans="7:7" x14ac:dyDescent="0.35">
      <c r="G71" s="5"/>
    </row>
    <row r="72" spans="7:7" x14ac:dyDescent="0.35">
      <c r="G72" s="5"/>
    </row>
    <row r="73" spans="7:7" x14ac:dyDescent="0.35">
      <c r="G73" s="5"/>
    </row>
  </sheetData>
  <pageMargins left="0.70866141732283472" right="0.70866141732283472" top="0.74803149606299213" bottom="0.74803149606299213" header="0.31496062992125984" footer="0.31496062992125984"/>
  <pageSetup paperSize="9" scale="52" orientation="landscape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49B6D2-256D-4295-95E1-7796757DCFAF}">
          <x14:formula1>
            <xm:f>Assumptions!$B$2:$D$2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22"/>
  <sheetViews>
    <sheetView topLeftCell="A5" zoomScaleNormal="100" workbookViewId="0">
      <selection activeCell="Q20" sqref="Q20"/>
    </sheetView>
  </sheetViews>
  <sheetFormatPr defaultColWidth="9" defaultRowHeight="14.5" x14ac:dyDescent="0.35"/>
  <cols>
    <col min="1" max="1" width="49.7265625" bestFit="1" customWidth="1"/>
    <col min="2" max="2" width="12.90625" bestFit="1" customWidth="1"/>
    <col min="3" max="3" width="8.7265625" bestFit="1" customWidth="1"/>
    <col min="4" max="15" width="10" bestFit="1" customWidth="1"/>
  </cols>
  <sheetData>
    <row r="1" spans="1:15" ht="18.5" x14ac:dyDescent="0.45">
      <c r="A1" s="6" t="s">
        <v>29</v>
      </c>
      <c r="B1" s="1"/>
      <c r="C1" s="1"/>
    </row>
    <row r="3" spans="1:15" x14ac:dyDescent="0.35">
      <c r="A3" s="42"/>
      <c r="B3" s="42"/>
      <c r="C3" s="42"/>
      <c r="D3" s="42" t="s">
        <v>1</v>
      </c>
      <c r="E3" s="42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2" t="s">
        <v>8</v>
      </c>
      <c r="L3" s="42" t="s">
        <v>9</v>
      </c>
      <c r="M3" s="42" t="s">
        <v>10</v>
      </c>
      <c r="N3" s="42" t="s">
        <v>11</v>
      </c>
      <c r="O3" s="42" t="s">
        <v>12</v>
      </c>
    </row>
    <row r="4" spans="1:15" x14ac:dyDescent="0.35">
      <c r="A4" s="3" t="s">
        <v>30</v>
      </c>
      <c r="B4" s="3"/>
      <c r="C4" s="3"/>
    </row>
    <row r="5" spans="1:15" x14ac:dyDescent="0.35">
      <c r="A5" t="s">
        <v>26</v>
      </c>
      <c r="D5" s="33">
        <f>Assumptions!$B$20/12</f>
        <v>41666.666666666664</v>
      </c>
      <c r="E5" s="33">
        <f>Assumptions!$B$20/12</f>
        <v>41666.666666666664</v>
      </c>
      <c r="F5" s="33">
        <f>Assumptions!$B$20/12</f>
        <v>41666.666666666664</v>
      </c>
      <c r="G5" s="33">
        <f>Assumptions!$B$20/12</f>
        <v>41666.666666666664</v>
      </c>
      <c r="H5" s="33">
        <f>Assumptions!$B$20/12</f>
        <v>41666.666666666664</v>
      </c>
      <c r="I5" s="33">
        <f>Assumptions!$B$20/12</f>
        <v>41666.666666666664</v>
      </c>
      <c r="J5" s="33">
        <f>Assumptions!$B$20/12</f>
        <v>41666.666666666664</v>
      </c>
      <c r="K5" s="33">
        <f>Assumptions!$B$20/12</f>
        <v>41666.666666666664</v>
      </c>
      <c r="L5" s="33">
        <f>Assumptions!$B$20/12</f>
        <v>41666.666666666664</v>
      </c>
      <c r="M5" s="33">
        <f>Assumptions!$B$20/12</f>
        <v>41666.666666666664</v>
      </c>
      <c r="N5" s="33">
        <f>Assumptions!$B$20/12</f>
        <v>41666.666666666664</v>
      </c>
      <c r="O5" s="33">
        <f>Assumptions!$B$20/12</f>
        <v>41666.666666666664</v>
      </c>
    </row>
    <row r="6" spans="1:15" x14ac:dyDescent="0.35">
      <c r="A6" t="s">
        <v>89</v>
      </c>
      <c r="D6" s="33">
        <f>D5*Assumptions!$B$21</f>
        <v>10416.666666666666</v>
      </c>
      <c r="E6" s="33">
        <f>E5*Assumptions!$B$21</f>
        <v>10416.666666666666</v>
      </c>
      <c r="F6" s="33">
        <f>F5*Assumptions!$B$21</f>
        <v>10416.666666666666</v>
      </c>
      <c r="G6" s="33">
        <f>G5*Assumptions!$B$21</f>
        <v>10416.666666666666</v>
      </c>
      <c r="H6" s="33">
        <f>H5*Assumptions!$B$21</f>
        <v>10416.666666666666</v>
      </c>
      <c r="I6" s="33">
        <f>I5*Assumptions!$B$21</f>
        <v>10416.666666666666</v>
      </c>
      <c r="J6" s="33">
        <f>J5*Assumptions!$B$21</f>
        <v>10416.666666666666</v>
      </c>
      <c r="K6" s="33">
        <f>K5*Assumptions!$B$21</f>
        <v>10416.666666666666</v>
      </c>
      <c r="L6" s="33">
        <f>L5*Assumptions!$B$21</f>
        <v>10416.666666666666</v>
      </c>
      <c r="M6" s="33">
        <f>M5*Assumptions!$B$21</f>
        <v>10416.666666666666</v>
      </c>
      <c r="N6" s="33">
        <f>N5*Assumptions!$B$21</f>
        <v>10416.666666666666</v>
      </c>
      <c r="O6" s="33">
        <f>O5*Assumptions!$B$21</f>
        <v>10416.666666666666</v>
      </c>
    </row>
    <row r="7" spans="1:15" x14ac:dyDescent="0.35">
      <c r="A7" s="58" t="s">
        <v>31</v>
      </c>
      <c r="B7" s="58"/>
      <c r="C7" s="58"/>
      <c r="D7" s="59">
        <f>D5+D6</f>
        <v>52083.333333333328</v>
      </c>
      <c r="E7" s="59">
        <f t="shared" ref="E7:O7" si="0">E5+E6</f>
        <v>52083.333333333328</v>
      </c>
      <c r="F7" s="59">
        <f t="shared" si="0"/>
        <v>52083.333333333328</v>
      </c>
      <c r="G7" s="59">
        <f t="shared" si="0"/>
        <v>52083.333333333328</v>
      </c>
      <c r="H7" s="59">
        <f t="shared" si="0"/>
        <v>52083.333333333328</v>
      </c>
      <c r="I7" s="59">
        <f t="shared" si="0"/>
        <v>52083.333333333328</v>
      </c>
      <c r="J7" s="59">
        <f t="shared" si="0"/>
        <v>52083.333333333328</v>
      </c>
      <c r="K7" s="59">
        <f t="shared" si="0"/>
        <v>52083.333333333328</v>
      </c>
      <c r="L7" s="59">
        <f t="shared" si="0"/>
        <v>52083.333333333328</v>
      </c>
      <c r="M7" s="59">
        <f t="shared" si="0"/>
        <v>52083.333333333328</v>
      </c>
      <c r="N7" s="59">
        <f t="shared" si="0"/>
        <v>52083.333333333328</v>
      </c>
      <c r="O7" s="59">
        <f t="shared" si="0"/>
        <v>52083.333333333328</v>
      </c>
    </row>
    <row r="9" spans="1:15" x14ac:dyDescent="0.35">
      <c r="A9" t="s">
        <v>32</v>
      </c>
      <c r="D9" s="33">
        <f>Assumptions!$B$23</f>
        <v>1300000</v>
      </c>
      <c r="E9" s="33">
        <f>Assumptions!$B$23</f>
        <v>1300000</v>
      </c>
      <c r="F9" s="33">
        <f>Assumptions!$B$23</f>
        <v>1300000</v>
      </c>
      <c r="G9" s="33">
        <f>Assumptions!$B$23</f>
        <v>1300000</v>
      </c>
      <c r="H9" s="33">
        <f>Assumptions!$B$23</f>
        <v>1300000</v>
      </c>
      <c r="I9" s="33">
        <f>Assumptions!$B$23</f>
        <v>1300000</v>
      </c>
      <c r="J9" s="33">
        <f>Assumptions!$B$23</f>
        <v>1300000</v>
      </c>
      <c r="K9" s="33">
        <f>Assumptions!$B$23</f>
        <v>1300000</v>
      </c>
      <c r="L9" s="33">
        <f>Assumptions!$B$23</f>
        <v>1300000</v>
      </c>
      <c r="M9" s="33">
        <f>Assumptions!$B$23</f>
        <v>1300000</v>
      </c>
      <c r="N9" s="33">
        <f>Assumptions!$B$23</f>
        <v>1300000</v>
      </c>
      <c r="O9" s="33">
        <f>Assumptions!$B$23</f>
        <v>1300000</v>
      </c>
    </row>
    <row r="10" spans="1:15" x14ac:dyDescent="0.35">
      <c r="A10" t="s">
        <v>33</v>
      </c>
      <c r="D10" s="33">
        <f>Assumptions!$B$24</f>
        <v>75000</v>
      </c>
      <c r="E10" s="33">
        <f>Assumptions!$B$24</f>
        <v>75000</v>
      </c>
      <c r="F10" s="33">
        <f>Assumptions!$B$24</f>
        <v>75000</v>
      </c>
      <c r="G10" s="33">
        <f>Assumptions!$B$24</f>
        <v>75000</v>
      </c>
      <c r="H10" s="33">
        <f>Assumptions!$B$24</f>
        <v>75000</v>
      </c>
      <c r="I10" s="33">
        <f>Assumptions!$B$24</f>
        <v>75000</v>
      </c>
      <c r="J10" s="33">
        <f>Assumptions!$B$24</f>
        <v>75000</v>
      </c>
      <c r="K10" s="33">
        <f>Assumptions!$B$24</f>
        <v>75000</v>
      </c>
      <c r="L10" s="33">
        <f>Assumptions!$B$24</f>
        <v>75000</v>
      </c>
      <c r="M10" s="33">
        <f>Assumptions!$B$24</f>
        <v>75000</v>
      </c>
      <c r="N10" s="33">
        <f>Assumptions!$B$24</f>
        <v>75000</v>
      </c>
      <c r="O10" s="33">
        <f>Assumptions!$B$24</f>
        <v>75000</v>
      </c>
    </row>
    <row r="11" spans="1:15" x14ac:dyDescent="0.35">
      <c r="A11" t="s">
        <v>34</v>
      </c>
      <c r="D11" s="33">
        <f>Revenue!B8*Assumptions!B32*Assumptions!$B$17</f>
        <v>1056000</v>
      </c>
      <c r="E11" s="33">
        <f>Revenue!C8*Assumptions!C32*Assumptions!$B$17</f>
        <v>1080000</v>
      </c>
      <c r="F11" s="33">
        <f>Revenue!D8*Assumptions!D32*Assumptions!$B$17</f>
        <v>1320000</v>
      </c>
      <c r="G11" s="33">
        <f>Revenue!E8*Assumptions!E32*Assumptions!$B$17</f>
        <v>1080000</v>
      </c>
      <c r="H11" s="33">
        <f>Revenue!F8*Assumptions!F32*Assumptions!$B$17</f>
        <v>1518000</v>
      </c>
      <c r="I11" s="33">
        <f>Revenue!G8*Assumptions!G32*Assumptions!$B$17</f>
        <v>1512000</v>
      </c>
      <c r="J11" s="33">
        <f>Revenue!H8*Assumptions!H32*Assumptions!$B$17</f>
        <v>1584000</v>
      </c>
      <c r="K11" s="33">
        <f>Revenue!I8*Assumptions!I32*Assumptions!$B$17</f>
        <v>1452000</v>
      </c>
      <c r="L11" s="33">
        <f>Revenue!J8*Assumptions!J32*Assumptions!$B$17</f>
        <v>1200000</v>
      </c>
      <c r="M11" s="33">
        <f>Revenue!K8*Assumptions!K32*Assumptions!$B$17</f>
        <v>1200000</v>
      </c>
      <c r="N11" s="33">
        <f>Revenue!L8*Assumptions!L32*Assumptions!$B$17</f>
        <v>1188000</v>
      </c>
      <c r="O11" s="33">
        <f>Revenue!M8*Assumptions!M32*Assumptions!$B$17</f>
        <v>912000</v>
      </c>
    </row>
    <row r="12" spans="1:15" x14ac:dyDescent="0.35">
      <c r="A12" s="58" t="s">
        <v>35</v>
      </c>
      <c r="B12" s="58"/>
      <c r="C12" s="58"/>
      <c r="D12" s="59">
        <f>SUM(D9:D11)</f>
        <v>2431000</v>
      </c>
      <c r="E12" s="59">
        <f t="shared" ref="E12:O12" si="1">SUM(E9:E11)</f>
        <v>2455000</v>
      </c>
      <c r="F12" s="59">
        <f t="shared" si="1"/>
        <v>2695000</v>
      </c>
      <c r="G12" s="59">
        <f t="shared" si="1"/>
        <v>2455000</v>
      </c>
      <c r="H12" s="59">
        <f t="shared" si="1"/>
        <v>2893000</v>
      </c>
      <c r="I12" s="59">
        <f t="shared" si="1"/>
        <v>2887000</v>
      </c>
      <c r="J12" s="59">
        <f t="shared" si="1"/>
        <v>2959000</v>
      </c>
      <c r="K12" s="59">
        <f t="shared" si="1"/>
        <v>2827000</v>
      </c>
      <c r="L12" s="59">
        <f t="shared" si="1"/>
        <v>2575000</v>
      </c>
      <c r="M12" s="59">
        <f t="shared" si="1"/>
        <v>2575000</v>
      </c>
      <c r="N12" s="59">
        <f t="shared" si="1"/>
        <v>2563000</v>
      </c>
      <c r="O12" s="59">
        <f t="shared" si="1"/>
        <v>2287000</v>
      </c>
    </row>
    <row r="14" spans="1:15" x14ac:dyDescent="0.35">
      <c r="A14" s="60" t="s">
        <v>36</v>
      </c>
      <c r="B14" s="60"/>
      <c r="C14" s="60"/>
      <c r="D14" s="60">
        <f>SUM(D7,D12)</f>
        <v>2483083.3333333335</v>
      </c>
      <c r="E14" s="60">
        <f t="shared" ref="E14:O14" si="2">SUM(E7,E12)</f>
        <v>2507083.3333333335</v>
      </c>
      <c r="F14" s="60">
        <f t="shared" si="2"/>
        <v>2747083.3333333335</v>
      </c>
      <c r="G14" s="60">
        <f t="shared" si="2"/>
        <v>2507083.3333333335</v>
      </c>
      <c r="H14" s="60">
        <f t="shared" si="2"/>
        <v>2945083.3333333335</v>
      </c>
      <c r="I14" s="60">
        <f t="shared" si="2"/>
        <v>2939083.3333333335</v>
      </c>
      <c r="J14" s="60">
        <f t="shared" si="2"/>
        <v>3011083.3333333335</v>
      </c>
      <c r="K14" s="60">
        <f t="shared" si="2"/>
        <v>2879083.3333333335</v>
      </c>
      <c r="L14" s="60">
        <f t="shared" si="2"/>
        <v>2627083.3333333335</v>
      </c>
      <c r="M14" s="60">
        <f t="shared" si="2"/>
        <v>2627083.3333333335</v>
      </c>
      <c r="N14" s="60">
        <f t="shared" si="2"/>
        <v>2615083.3333333335</v>
      </c>
      <c r="O14" s="60">
        <f t="shared" si="2"/>
        <v>2339083.3333333335</v>
      </c>
    </row>
    <row r="17" spans="1:15" ht="18.5" x14ac:dyDescent="0.45">
      <c r="A17" s="6" t="s">
        <v>116</v>
      </c>
    </row>
    <row r="19" spans="1:15" x14ac:dyDescent="0.35">
      <c r="A19" s="42"/>
      <c r="B19" s="42" t="s">
        <v>82</v>
      </c>
      <c r="C19" s="42" t="s">
        <v>83</v>
      </c>
      <c r="D19" s="42" t="s">
        <v>1</v>
      </c>
      <c r="E19" s="42" t="s">
        <v>2</v>
      </c>
      <c r="F19" s="42" t="s">
        <v>3</v>
      </c>
      <c r="G19" s="42" t="s">
        <v>4</v>
      </c>
      <c r="H19" s="42" t="s">
        <v>5</v>
      </c>
      <c r="I19" s="42" t="s">
        <v>6</v>
      </c>
      <c r="J19" s="42" t="s">
        <v>7</v>
      </c>
      <c r="K19" s="42" t="s">
        <v>8</v>
      </c>
      <c r="L19" s="42" t="s">
        <v>9</v>
      </c>
      <c r="M19" s="42" t="s">
        <v>10</v>
      </c>
      <c r="N19" s="42" t="s">
        <v>11</v>
      </c>
      <c r="O19" s="42" t="s">
        <v>12</v>
      </c>
    </row>
    <row r="20" spans="1:15" x14ac:dyDescent="0.35">
      <c r="A20" t="str">
        <f>'Balance Sheet'!J11</f>
        <v>Shawarma Machine</v>
      </c>
      <c r="B20" s="36">
        <f>'Balance Sheet'!K11</f>
        <v>1000000</v>
      </c>
      <c r="C20" s="24">
        <v>3</v>
      </c>
      <c r="D20" s="35">
        <f>$B20/$C20/12</f>
        <v>27777.777777777777</v>
      </c>
      <c r="E20" s="35">
        <f t="shared" ref="E20:O21" si="3">$B20/$C20/12</f>
        <v>27777.777777777777</v>
      </c>
      <c r="F20" s="35">
        <f t="shared" si="3"/>
        <v>27777.777777777777</v>
      </c>
      <c r="G20" s="35">
        <f t="shared" si="3"/>
        <v>27777.777777777777</v>
      </c>
      <c r="H20" s="35">
        <f t="shared" si="3"/>
        <v>27777.777777777777</v>
      </c>
      <c r="I20" s="35">
        <f t="shared" si="3"/>
        <v>27777.777777777777</v>
      </c>
      <c r="J20" s="35">
        <f t="shared" si="3"/>
        <v>27777.777777777777</v>
      </c>
      <c r="K20" s="35">
        <f t="shared" si="3"/>
        <v>27777.777777777777</v>
      </c>
      <c r="L20" s="35">
        <f t="shared" si="3"/>
        <v>27777.777777777777</v>
      </c>
      <c r="M20" s="35">
        <f t="shared" si="3"/>
        <v>27777.777777777777</v>
      </c>
      <c r="N20" s="35">
        <f t="shared" si="3"/>
        <v>27777.777777777777</v>
      </c>
      <c r="O20" s="35">
        <f t="shared" si="3"/>
        <v>27777.777777777777</v>
      </c>
    </row>
    <row r="21" spans="1:15" x14ac:dyDescent="0.35">
      <c r="A21" t="str">
        <f>'Balance Sheet'!J12</f>
        <v>Furniture &amp; Fixtures</v>
      </c>
      <c r="B21" s="36">
        <f>'Balance Sheet'!K12</f>
        <v>3500000</v>
      </c>
      <c r="C21" s="24">
        <v>10</v>
      </c>
      <c r="D21" s="35">
        <f>$B21/$C21/12</f>
        <v>29166.666666666668</v>
      </c>
      <c r="E21" s="35">
        <f t="shared" si="3"/>
        <v>29166.666666666668</v>
      </c>
      <c r="F21" s="35">
        <f t="shared" si="3"/>
        <v>29166.666666666668</v>
      </c>
      <c r="G21" s="35">
        <f t="shared" si="3"/>
        <v>29166.666666666668</v>
      </c>
      <c r="H21" s="35">
        <f t="shared" si="3"/>
        <v>29166.666666666668</v>
      </c>
      <c r="I21" s="35">
        <f t="shared" si="3"/>
        <v>29166.666666666668</v>
      </c>
      <c r="J21" s="35">
        <f t="shared" si="3"/>
        <v>29166.666666666668</v>
      </c>
      <c r="K21" s="35">
        <f t="shared" si="3"/>
        <v>29166.666666666668</v>
      </c>
      <c r="L21" s="35">
        <f t="shared" si="3"/>
        <v>29166.666666666668</v>
      </c>
      <c r="M21" s="35">
        <f t="shared" si="3"/>
        <v>29166.666666666668</v>
      </c>
      <c r="N21" s="35">
        <f t="shared" si="3"/>
        <v>29166.666666666668</v>
      </c>
      <c r="O21" s="35">
        <f t="shared" si="3"/>
        <v>29166.666666666668</v>
      </c>
    </row>
    <row r="22" spans="1:15" x14ac:dyDescent="0.35">
      <c r="A22" s="60" t="s">
        <v>94</v>
      </c>
      <c r="B22" s="60"/>
      <c r="C22" s="60"/>
      <c r="D22" s="57">
        <f>SUM(D20:D21)</f>
        <v>56944.444444444445</v>
      </c>
      <c r="E22" s="57">
        <f t="shared" ref="E22:O22" si="4">SUM(E20:E21)</f>
        <v>56944.444444444445</v>
      </c>
      <c r="F22" s="57">
        <f t="shared" si="4"/>
        <v>56944.444444444445</v>
      </c>
      <c r="G22" s="57">
        <f t="shared" si="4"/>
        <v>56944.444444444445</v>
      </c>
      <c r="H22" s="57">
        <f t="shared" si="4"/>
        <v>56944.444444444445</v>
      </c>
      <c r="I22" s="57">
        <f t="shared" si="4"/>
        <v>56944.444444444445</v>
      </c>
      <c r="J22" s="57">
        <f t="shared" si="4"/>
        <v>56944.444444444445</v>
      </c>
      <c r="K22" s="57">
        <f t="shared" si="4"/>
        <v>56944.444444444445</v>
      </c>
      <c r="L22" s="57">
        <f t="shared" si="4"/>
        <v>56944.444444444445</v>
      </c>
      <c r="M22" s="57">
        <f t="shared" si="4"/>
        <v>56944.444444444445</v>
      </c>
      <c r="N22" s="57">
        <f t="shared" si="4"/>
        <v>56944.444444444445</v>
      </c>
      <c r="O22" s="57">
        <f t="shared" si="4"/>
        <v>56944.444444444445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M19"/>
  <sheetViews>
    <sheetView showZeros="0" zoomScaleNormal="100" workbookViewId="0">
      <selection activeCell="H11" sqref="H11"/>
    </sheetView>
  </sheetViews>
  <sheetFormatPr defaultColWidth="9" defaultRowHeight="14.5" x14ac:dyDescent="0.35"/>
  <cols>
    <col min="1" max="1" width="21.7265625" bestFit="1" customWidth="1"/>
    <col min="2" max="5" width="10" bestFit="1" customWidth="1"/>
    <col min="6" max="9" width="11" bestFit="1" customWidth="1"/>
    <col min="10" max="13" width="10" bestFit="1" customWidth="1"/>
  </cols>
  <sheetData>
    <row r="1" spans="1:13" ht="18.5" x14ac:dyDescent="0.45">
      <c r="A1" s="6" t="s">
        <v>14</v>
      </c>
    </row>
    <row r="3" spans="1:13" x14ac:dyDescent="0.35">
      <c r="A3" s="51"/>
      <c r="B3" s="42" t="s">
        <v>1</v>
      </c>
      <c r="C3" s="42" t="s">
        <v>2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  <c r="J3" s="42" t="s">
        <v>9</v>
      </c>
      <c r="K3" s="42" t="s">
        <v>10</v>
      </c>
      <c r="L3" s="42" t="s">
        <v>11</v>
      </c>
      <c r="M3" s="42" t="s">
        <v>12</v>
      </c>
    </row>
    <row r="4" spans="1:13" x14ac:dyDescent="0.35">
      <c r="A4" s="3" t="s">
        <v>15</v>
      </c>
    </row>
    <row r="5" spans="1:13" x14ac:dyDescent="0.35">
      <c r="A5" t="s">
        <v>125</v>
      </c>
      <c r="B5" s="17">
        <f>Assumptions!$B$9*Assumptions!B34</f>
        <v>80</v>
      </c>
      <c r="C5" s="17">
        <f>Assumptions!$B$9*Assumptions!C34</f>
        <v>90</v>
      </c>
      <c r="D5" s="17">
        <f>Assumptions!$B$9*Assumptions!D34</f>
        <v>100</v>
      </c>
      <c r="E5" s="17">
        <f>Assumptions!$B$9*Assumptions!E34</f>
        <v>100</v>
      </c>
      <c r="F5" s="17">
        <f>Assumptions!$B$9*Assumptions!F34</f>
        <v>110.00000000000001</v>
      </c>
      <c r="G5" s="17">
        <f>Assumptions!$B$9*Assumptions!G34</f>
        <v>120</v>
      </c>
      <c r="H5" s="17">
        <f>Assumptions!$B$9*Assumptions!H34</f>
        <v>120</v>
      </c>
      <c r="I5" s="17">
        <f>Assumptions!$B$9*Assumptions!I34</f>
        <v>110.00000000000001</v>
      </c>
      <c r="J5" s="17">
        <f>Assumptions!$B$9*Assumptions!J34</f>
        <v>100</v>
      </c>
      <c r="K5" s="17">
        <f>Assumptions!$B$9*Assumptions!K34</f>
        <v>100</v>
      </c>
      <c r="L5" s="17">
        <f>Assumptions!$B$9*Assumptions!L34</f>
        <v>90</v>
      </c>
      <c r="M5" s="17">
        <f>Assumptions!$B$9*Assumptions!M34</f>
        <v>80</v>
      </c>
    </row>
    <row r="6" spans="1:13" x14ac:dyDescent="0.35">
      <c r="A6" t="s">
        <v>90</v>
      </c>
      <c r="B6" s="17">
        <f>Assumptions!$B$12*Revenue!B5</f>
        <v>32</v>
      </c>
      <c r="C6" s="17">
        <f>Assumptions!$B$12*Revenue!C5</f>
        <v>36</v>
      </c>
      <c r="D6" s="17">
        <f>Assumptions!$B$12*Revenue!D5</f>
        <v>40</v>
      </c>
      <c r="E6" s="17">
        <f>Assumptions!$B$12*Revenue!E5</f>
        <v>40</v>
      </c>
      <c r="F6" s="17">
        <f>Assumptions!$B$12*Revenue!F5</f>
        <v>44.000000000000007</v>
      </c>
      <c r="G6" s="17">
        <f>Assumptions!$B$12*Revenue!G5</f>
        <v>48</v>
      </c>
      <c r="H6" s="17">
        <f>Assumptions!$B$12*Revenue!H5</f>
        <v>48</v>
      </c>
      <c r="I6" s="17">
        <f>Assumptions!$B$12*Revenue!I5</f>
        <v>44.000000000000007</v>
      </c>
      <c r="J6" s="17">
        <f>Assumptions!$B$12*Revenue!J5</f>
        <v>40</v>
      </c>
      <c r="K6" s="17">
        <f>Assumptions!$B$12*Revenue!K5</f>
        <v>40</v>
      </c>
      <c r="L6" s="17">
        <f>Assumptions!$B$12*Revenue!L5</f>
        <v>36</v>
      </c>
      <c r="M6" s="17">
        <f>Assumptions!$B$12*Revenue!M5</f>
        <v>32</v>
      </c>
    </row>
    <row r="7" spans="1:13" x14ac:dyDescent="0.35">
      <c r="A7" t="s">
        <v>91</v>
      </c>
      <c r="B7" s="17">
        <f>Assumptions!$B$13*Revenue!B5</f>
        <v>48</v>
      </c>
      <c r="C7" s="17">
        <f>Assumptions!$B$13*Revenue!C5</f>
        <v>54</v>
      </c>
      <c r="D7" s="17">
        <f>Assumptions!$B$13*Revenue!D5</f>
        <v>60</v>
      </c>
      <c r="E7" s="17">
        <f>Assumptions!$B$13*Revenue!E5</f>
        <v>60</v>
      </c>
      <c r="F7" s="17">
        <f>Assumptions!$B$13*Revenue!F5</f>
        <v>66</v>
      </c>
      <c r="G7" s="17">
        <f>Assumptions!$B$13*Revenue!G5</f>
        <v>72</v>
      </c>
      <c r="H7" s="17">
        <f>Assumptions!$B$13*Revenue!H5</f>
        <v>72</v>
      </c>
      <c r="I7" s="17">
        <f>Assumptions!$B$13*Revenue!I5</f>
        <v>66</v>
      </c>
      <c r="J7" s="17">
        <f>Assumptions!$B$13*Revenue!J5</f>
        <v>60</v>
      </c>
      <c r="K7" s="17">
        <f>Assumptions!$B$13*Revenue!K5</f>
        <v>60</v>
      </c>
      <c r="L7" s="17">
        <f>Assumptions!$B$13*Revenue!L5</f>
        <v>54</v>
      </c>
      <c r="M7" s="17">
        <f>Assumptions!$B$13*Revenue!M5</f>
        <v>48</v>
      </c>
    </row>
    <row r="8" spans="1:13" x14ac:dyDescent="0.35">
      <c r="A8" s="58" t="s">
        <v>19</v>
      </c>
      <c r="B8" s="65">
        <f>B6+B7</f>
        <v>80</v>
      </c>
      <c r="C8" s="65">
        <f t="shared" ref="C8:M8" si="0">C6+C7</f>
        <v>90</v>
      </c>
      <c r="D8" s="65">
        <f t="shared" si="0"/>
        <v>100</v>
      </c>
      <c r="E8" s="65">
        <f t="shared" si="0"/>
        <v>100</v>
      </c>
      <c r="F8" s="65">
        <f t="shared" si="0"/>
        <v>110</v>
      </c>
      <c r="G8" s="65">
        <f t="shared" si="0"/>
        <v>120</v>
      </c>
      <c r="H8" s="65">
        <f t="shared" si="0"/>
        <v>120</v>
      </c>
      <c r="I8" s="65">
        <f t="shared" si="0"/>
        <v>110</v>
      </c>
      <c r="J8" s="65">
        <f t="shared" si="0"/>
        <v>100</v>
      </c>
      <c r="K8" s="65">
        <f t="shared" si="0"/>
        <v>100</v>
      </c>
      <c r="L8" s="65">
        <f t="shared" si="0"/>
        <v>90</v>
      </c>
      <c r="M8" s="65">
        <f t="shared" si="0"/>
        <v>80</v>
      </c>
    </row>
    <row r="9" spans="1:13" x14ac:dyDescent="0.35">
      <c r="A9" s="2" t="s">
        <v>20</v>
      </c>
      <c r="B9" s="21">
        <f>B8-B5</f>
        <v>0</v>
      </c>
      <c r="C9" s="21">
        <f t="shared" ref="C9:M9" si="1">C8-C5</f>
        <v>0</v>
      </c>
      <c r="D9" s="21">
        <f t="shared" si="1"/>
        <v>0</v>
      </c>
      <c r="E9" s="21">
        <f t="shared" si="1"/>
        <v>0</v>
      </c>
      <c r="F9" s="21">
        <f t="shared" si="1"/>
        <v>0</v>
      </c>
      <c r="G9" s="21">
        <f t="shared" si="1"/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</row>
    <row r="11" spans="1:13" x14ac:dyDescent="0.35">
      <c r="A11" s="3" t="s">
        <v>21</v>
      </c>
    </row>
    <row r="12" spans="1:13" x14ac:dyDescent="0.35">
      <c r="A12" t="s">
        <v>22</v>
      </c>
      <c r="B12" s="33">
        <f>B6*Assumptions!$C$12</f>
        <v>128000</v>
      </c>
      <c r="C12" s="33">
        <f>C6*Assumptions!$C$12</f>
        <v>144000</v>
      </c>
      <c r="D12" s="33">
        <f>D6*Assumptions!$C$12</f>
        <v>160000</v>
      </c>
      <c r="E12" s="33">
        <f>E6*Assumptions!$C$12</f>
        <v>160000</v>
      </c>
      <c r="F12" s="33">
        <f>F6*Assumptions!$C$12</f>
        <v>176000.00000000003</v>
      </c>
      <c r="G12" s="33">
        <f>G6*Assumptions!$C$12</f>
        <v>192000</v>
      </c>
      <c r="H12" s="33">
        <f>H6*Assumptions!$C$12</f>
        <v>192000</v>
      </c>
      <c r="I12" s="33">
        <f>I6*Assumptions!$C$12</f>
        <v>176000.00000000003</v>
      </c>
      <c r="J12" s="33">
        <f>J6*Assumptions!$C$12</f>
        <v>160000</v>
      </c>
      <c r="K12" s="33">
        <f>K6*Assumptions!$C$12</f>
        <v>160000</v>
      </c>
      <c r="L12" s="33">
        <f>L6*Assumptions!$C$12</f>
        <v>144000</v>
      </c>
      <c r="M12" s="33">
        <f>M6*Assumptions!$C$12</f>
        <v>128000</v>
      </c>
    </row>
    <row r="13" spans="1:13" x14ac:dyDescent="0.35">
      <c r="A13" t="s">
        <v>23</v>
      </c>
      <c r="B13" s="33">
        <f>B7*Assumptions!$C$13</f>
        <v>168000</v>
      </c>
      <c r="C13" s="33">
        <f>C7*Assumptions!$C$13</f>
        <v>189000</v>
      </c>
      <c r="D13" s="33">
        <f>D7*Assumptions!$C$13</f>
        <v>210000</v>
      </c>
      <c r="E13" s="33">
        <f>E7*Assumptions!$C$13</f>
        <v>210000</v>
      </c>
      <c r="F13" s="33">
        <f>F7*Assumptions!$C$13</f>
        <v>231000</v>
      </c>
      <c r="G13" s="33">
        <f>G7*Assumptions!$C$13</f>
        <v>252000</v>
      </c>
      <c r="H13" s="33">
        <f>H7*Assumptions!$C$13</f>
        <v>252000</v>
      </c>
      <c r="I13" s="33">
        <f>I7*Assumptions!$C$13</f>
        <v>231000</v>
      </c>
      <c r="J13" s="33">
        <f>J7*Assumptions!$C$13</f>
        <v>210000</v>
      </c>
      <c r="K13" s="33">
        <f>K7*Assumptions!$C$13</f>
        <v>210000</v>
      </c>
      <c r="L13" s="33">
        <f>L7*Assumptions!$C$13</f>
        <v>189000</v>
      </c>
      <c r="M13" s="33">
        <f>M7*Assumptions!$C$13</f>
        <v>168000</v>
      </c>
    </row>
    <row r="14" spans="1:13" s="3" customFormat="1" x14ac:dyDescent="0.35">
      <c r="A14" s="63" t="s">
        <v>24</v>
      </c>
      <c r="B14" s="64">
        <f>B12+B13</f>
        <v>296000</v>
      </c>
      <c r="C14" s="64">
        <f t="shared" ref="C14:M14" si="2">C12+C13</f>
        <v>333000</v>
      </c>
      <c r="D14" s="64">
        <f t="shared" si="2"/>
        <v>370000</v>
      </c>
      <c r="E14" s="64">
        <f t="shared" si="2"/>
        <v>370000</v>
      </c>
      <c r="F14" s="64">
        <f t="shared" si="2"/>
        <v>407000</v>
      </c>
      <c r="G14" s="64">
        <f t="shared" si="2"/>
        <v>444000</v>
      </c>
      <c r="H14" s="64">
        <f t="shared" si="2"/>
        <v>444000</v>
      </c>
      <c r="I14" s="64">
        <f t="shared" si="2"/>
        <v>407000</v>
      </c>
      <c r="J14" s="64">
        <f t="shared" si="2"/>
        <v>370000</v>
      </c>
      <c r="K14" s="64">
        <f t="shared" si="2"/>
        <v>370000</v>
      </c>
      <c r="L14" s="64">
        <f t="shared" si="2"/>
        <v>333000</v>
      </c>
      <c r="M14" s="64">
        <f t="shared" si="2"/>
        <v>296000</v>
      </c>
    </row>
    <row r="15" spans="1:13" x14ac:dyDescent="0.35">
      <c r="A15" s="61" t="s">
        <v>25</v>
      </c>
      <c r="B15" s="62">
        <f>B14*Assumptions!B32</f>
        <v>6512000</v>
      </c>
      <c r="C15" s="62">
        <f>C14*Assumptions!C32</f>
        <v>6660000</v>
      </c>
      <c r="D15" s="62">
        <f>D14*Assumptions!D32</f>
        <v>8140000</v>
      </c>
      <c r="E15" s="62">
        <f>E14*Assumptions!E32</f>
        <v>6660000</v>
      </c>
      <c r="F15" s="62">
        <f>F14*Assumptions!F32</f>
        <v>9361000</v>
      </c>
      <c r="G15" s="62">
        <f>G14*Assumptions!G32</f>
        <v>9324000</v>
      </c>
      <c r="H15" s="62">
        <f>H14*Assumptions!H32</f>
        <v>9768000</v>
      </c>
      <c r="I15" s="62">
        <f>I14*Assumptions!I32</f>
        <v>8954000</v>
      </c>
      <c r="J15" s="62">
        <f>J14*Assumptions!J32</f>
        <v>7400000</v>
      </c>
      <c r="K15" s="62">
        <f>K14*Assumptions!K32</f>
        <v>7400000</v>
      </c>
      <c r="L15" s="62">
        <f>L14*Assumptions!L32</f>
        <v>7326000</v>
      </c>
      <c r="M15" s="62">
        <f>M14*Assumptions!M32</f>
        <v>5624000</v>
      </c>
    </row>
    <row r="17" spans="2:11" x14ac:dyDescent="0.35">
      <c r="B17" s="18"/>
    </row>
    <row r="19" spans="2:11" x14ac:dyDescent="0.35">
      <c r="K19" s="25"/>
    </row>
  </sheetData>
  <conditionalFormatting sqref="B9:M9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M35"/>
  <sheetViews>
    <sheetView zoomScaleNormal="100" workbookViewId="0">
      <selection activeCell="J4" sqref="J4"/>
    </sheetView>
  </sheetViews>
  <sheetFormatPr defaultColWidth="9" defaultRowHeight="14.5" x14ac:dyDescent="0.35"/>
  <cols>
    <col min="1" max="1" width="33.7265625" bestFit="1" customWidth="1"/>
    <col min="2" max="4" width="12.54296875" bestFit="1" customWidth="1"/>
    <col min="8" max="13" width="9" customWidth="1"/>
  </cols>
  <sheetData>
    <row r="1" spans="1:13" ht="18.5" x14ac:dyDescent="0.45">
      <c r="A1" s="6" t="s">
        <v>112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35">
      <c r="A2" s="11"/>
      <c r="B2" s="12" t="s">
        <v>42</v>
      </c>
      <c r="C2" s="12" t="s">
        <v>43</v>
      </c>
      <c r="D2" s="12" t="s">
        <v>44</v>
      </c>
    </row>
    <row r="3" spans="1:13" x14ac:dyDescent="0.35">
      <c r="A3" t="s">
        <v>121</v>
      </c>
      <c r="B3" s="22">
        <v>100</v>
      </c>
      <c r="C3" s="22">
        <v>120</v>
      </c>
      <c r="D3" s="22">
        <v>140</v>
      </c>
    </row>
    <row r="4" spans="1:13" x14ac:dyDescent="0.35">
      <c r="A4" t="s">
        <v>32</v>
      </c>
      <c r="B4" s="30">
        <v>1300000</v>
      </c>
      <c r="C4" s="30">
        <v>1200000</v>
      </c>
      <c r="D4" s="30">
        <v>1000000</v>
      </c>
    </row>
    <row r="6" spans="1:13" ht="18.5" x14ac:dyDescent="0.45">
      <c r="A6" s="6" t="s">
        <v>0</v>
      </c>
    </row>
    <row r="7" spans="1:13" x14ac:dyDescent="0.35">
      <c r="A7" s="16" t="s">
        <v>86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35">
      <c r="A8" s="2"/>
    </row>
    <row r="9" spans="1:13" x14ac:dyDescent="0.35">
      <c r="A9" t="s">
        <v>126</v>
      </c>
      <c r="B9" s="28">
        <f>HLOOKUP('IS Cash Flow'!$B$1,$B$2:$D$4,2,0)</f>
        <v>100</v>
      </c>
    </row>
    <row r="10" spans="1:13" x14ac:dyDescent="0.35">
      <c r="A10" s="2"/>
    </row>
    <row r="11" spans="1:13" x14ac:dyDescent="0.35">
      <c r="A11" s="12"/>
      <c r="B11" s="12" t="s">
        <v>85</v>
      </c>
      <c r="C11" s="12" t="s">
        <v>18</v>
      </c>
    </row>
    <row r="12" spans="1:13" x14ac:dyDescent="0.35">
      <c r="A12" t="s">
        <v>16</v>
      </c>
      <c r="B12" s="23">
        <v>0.4</v>
      </c>
      <c r="C12" s="31">
        <v>4000</v>
      </c>
    </row>
    <row r="13" spans="1:13" x14ac:dyDescent="0.35">
      <c r="A13" t="s">
        <v>17</v>
      </c>
      <c r="B13" s="23">
        <v>0.6</v>
      </c>
      <c r="C13" s="31">
        <v>3500</v>
      </c>
    </row>
    <row r="15" spans="1:13" x14ac:dyDescent="0.35">
      <c r="A15" s="16" t="s">
        <v>87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35">
      <c r="A16" s="10"/>
    </row>
    <row r="17" spans="1:13" x14ac:dyDescent="0.35">
      <c r="A17" t="s">
        <v>122</v>
      </c>
      <c r="B17" s="30">
        <v>600</v>
      </c>
    </row>
    <row r="18" spans="1:13" x14ac:dyDescent="0.35">
      <c r="A18" s="2" t="s">
        <v>123</v>
      </c>
    </row>
    <row r="19" spans="1:13" x14ac:dyDescent="0.35">
      <c r="A19" s="10"/>
    </row>
    <row r="20" spans="1:13" x14ac:dyDescent="0.35">
      <c r="A20" t="s">
        <v>26</v>
      </c>
      <c r="B20" s="32">
        <v>500000</v>
      </c>
    </row>
    <row r="21" spans="1:13" x14ac:dyDescent="0.35">
      <c r="A21" t="s">
        <v>89</v>
      </c>
      <c r="B21" s="23">
        <v>0.25</v>
      </c>
    </row>
    <row r="23" spans="1:13" x14ac:dyDescent="0.35">
      <c r="A23" t="s">
        <v>27</v>
      </c>
      <c r="B23" s="32">
        <f>HLOOKUP('IS Cash Flow'!$B$1,$B$2:$D$4,3,0)</f>
        <v>1300000</v>
      </c>
    </row>
    <row r="24" spans="1:13" x14ac:dyDescent="0.35">
      <c r="A24" t="s">
        <v>28</v>
      </c>
      <c r="B24" s="32">
        <v>75000</v>
      </c>
    </row>
    <row r="26" spans="1:13" x14ac:dyDescent="0.35">
      <c r="A26" t="s">
        <v>119</v>
      </c>
      <c r="B26" s="23">
        <v>7.0000000000000007E-2</v>
      </c>
    </row>
    <row r="27" spans="1:13" x14ac:dyDescent="0.35">
      <c r="A27" s="2" t="s">
        <v>39</v>
      </c>
      <c r="B27" s="23">
        <v>0.3</v>
      </c>
    </row>
    <row r="28" spans="1:13" x14ac:dyDescent="0.35">
      <c r="A28" s="2" t="s">
        <v>84</v>
      </c>
    </row>
    <row r="30" spans="1:13" x14ac:dyDescent="0.35">
      <c r="A30" s="16" t="s">
        <v>88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x14ac:dyDescent="0.35">
      <c r="A31" s="11"/>
      <c r="B31" s="12" t="s">
        <v>1</v>
      </c>
      <c r="C31" s="12" t="s">
        <v>2</v>
      </c>
      <c r="D31" s="12" t="s">
        <v>3</v>
      </c>
      <c r="E31" s="12" t="s">
        <v>4</v>
      </c>
      <c r="F31" s="12" t="s">
        <v>5</v>
      </c>
      <c r="G31" s="12" t="s">
        <v>6</v>
      </c>
      <c r="H31" s="12" t="s">
        <v>7</v>
      </c>
      <c r="I31" s="12" t="s">
        <v>8</v>
      </c>
      <c r="J31" s="12" t="s">
        <v>9</v>
      </c>
      <c r="K31" s="12" t="s">
        <v>10</v>
      </c>
      <c r="L31" s="12" t="s">
        <v>11</v>
      </c>
      <c r="M31" s="12" t="s">
        <v>12</v>
      </c>
    </row>
    <row r="32" spans="1:13" x14ac:dyDescent="0.35">
      <c r="A32" t="s">
        <v>13</v>
      </c>
      <c r="B32" s="24">
        <v>22</v>
      </c>
      <c r="C32" s="24">
        <v>20</v>
      </c>
      <c r="D32" s="24">
        <v>22</v>
      </c>
      <c r="E32" s="24">
        <v>18</v>
      </c>
      <c r="F32" s="24">
        <v>23</v>
      </c>
      <c r="G32" s="24">
        <v>21</v>
      </c>
      <c r="H32" s="24">
        <v>22</v>
      </c>
      <c r="I32" s="24">
        <v>22</v>
      </c>
      <c r="J32" s="24">
        <v>20</v>
      </c>
      <c r="K32" s="24">
        <v>20</v>
      </c>
      <c r="L32" s="24">
        <v>22</v>
      </c>
      <c r="M32" s="24">
        <v>19</v>
      </c>
    </row>
    <row r="33" spans="1:13" x14ac:dyDescent="0.35">
      <c r="A33" s="2" t="s">
        <v>45</v>
      </c>
    </row>
    <row r="34" spans="1:13" x14ac:dyDescent="0.35">
      <c r="A34" t="s">
        <v>113</v>
      </c>
      <c r="B34" s="23">
        <v>0.8</v>
      </c>
      <c r="C34" s="23">
        <v>0.9</v>
      </c>
      <c r="D34" s="23">
        <v>1</v>
      </c>
      <c r="E34" s="23">
        <v>1</v>
      </c>
      <c r="F34" s="23">
        <v>1.1000000000000001</v>
      </c>
      <c r="G34" s="23">
        <v>1.2</v>
      </c>
      <c r="H34" s="23">
        <v>1.2</v>
      </c>
      <c r="I34" s="23">
        <v>1.1000000000000001</v>
      </c>
      <c r="J34" s="23">
        <v>1</v>
      </c>
      <c r="K34" s="23">
        <v>1</v>
      </c>
      <c r="L34" s="23">
        <v>0.9</v>
      </c>
      <c r="M34" s="23">
        <v>0.8</v>
      </c>
    </row>
    <row r="35" spans="1:13" x14ac:dyDescent="0.35">
      <c r="A35" s="2" t="s">
        <v>114</v>
      </c>
    </row>
  </sheetData>
  <pageMargins left="0.70866141732283472" right="0.70866141732283472" top="0.74803149606299213" bottom="0.74803149606299213" header="0.31496062992125984" footer="0.31496062992125984"/>
  <pageSetup paperSize="9" scale="8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IS Cash Flow</vt:lpstr>
      <vt:lpstr>Expenses</vt:lpstr>
      <vt:lpstr>Revenue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Stein Fairhurst</dc:creator>
  <cp:lastModifiedBy>Paschal Ugwu</cp:lastModifiedBy>
  <cp:lastPrinted>2016-10-05T00:16:58Z</cp:lastPrinted>
  <dcterms:created xsi:type="dcterms:W3CDTF">2008-01-25T05:05:44Z</dcterms:created>
  <dcterms:modified xsi:type="dcterms:W3CDTF">2025-02-21T15:47:40Z</dcterms:modified>
</cp:coreProperties>
</file>