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hoemaker/Desktop/AFOSR_STMD/Ca wave models current/Dendrite_IO_Files_Current/"/>
    </mc:Choice>
  </mc:AlternateContent>
  <xr:revisionPtr revIDLastSave="0" documentId="13_ncr:1_{7CF4C365-54C5-BA43-8C18-1A7D90E6C729}" xr6:coauthVersionLast="47" xr6:coauthVersionMax="47" xr10:uidLastSave="{00000000-0000-0000-0000-000000000000}"/>
  <bookViews>
    <workbookView xWindow="4300" yWindow="1000" windowWidth="24120" windowHeight="15920" activeTab="2" xr2:uid="{F1230F0C-9F3E-094E-A031-6FA6DE31A727}"/>
  </bookViews>
  <sheets>
    <sheet name="Speed RyR" sheetId="1" r:id="rId1"/>
    <sheet name="Ampl RyR" sheetId="2" r:id="rId2"/>
    <sheet name="Speed noRyR" sheetId="6" r:id="rId3"/>
    <sheet name="Ampl noRyR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7" l="1"/>
  <c r="U5" i="7"/>
  <c r="U4" i="7"/>
  <c r="U3" i="7"/>
  <c r="U2" i="7"/>
  <c r="U6" i="6"/>
  <c r="U5" i="6"/>
  <c r="U4" i="6"/>
  <c r="U3" i="6"/>
  <c r="U2" i="6"/>
  <c r="S5" i="7"/>
  <c r="S4" i="7"/>
  <c r="S3" i="7"/>
  <c r="S2" i="7"/>
  <c r="S5" i="6"/>
  <c r="S4" i="6"/>
  <c r="S3" i="6"/>
  <c r="S2" i="6"/>
  <c r="Q6" i="6"/>
  <c r="Q5" i="6"/>
  <c r="Q4" i="6"/>
  <c r="Q3" i="6"/>
  <c r="Q2" i="6"/>
  <c r="Q6" i="7"/>
  <c r="Q5" i="7"/>
  <c r="Q4" i="7"/>
  <c r="Q3" i="7"/>
  <c r="Q2" i="7"/>
  <c r="M5" i="7"/>
  <c r="M4" i="7"/>
  <c r="M3" i="7"/>
  <c r="M2" i="7"/>
  <c r="M5" i="6"/>
  <c r="M4" i="6"/>
  <c r="M3" i="6"/>
  <c r="M2" i="6"/>
  <c r="I8" i="6"/>
  <c r="I7" i="6"/>
  <c r="I6" i="6"/>
  <c r="I5" i="6"/>
  <c r="I4" i="6"/>
  <c r="I3" i="6"/>
  <c r="I2" i="6"/>
  <c r="I8" i="7"/>
  <c r="I7" i="7"/>
  <c r="I6" i="7"/>
  <c r="I5" i="7"/>
  <c r="I4" i="7"/>
  <c r="I3" i="7"/>
  <c r="I2" i="7"/>
  <c r="G2" i="6"/>
  <c r="G3" i="6"/>
  <c r="G4" i="6"/>
  <c r="G6" i="6"/>
  <c r="G7" i="6"/>
  <c r="K2" i="6"/>
  <c r="K3" i="6"/>
  <c r="K4" i="6"/>
  <c r="K5" i="6"/>
  <c r="K6" i="6"/>
  <c r="C6" i="7"/>
  <c r="C5" i="7"/>
  <c r="C4" i="7"/>
  <c r="C3" i="7"/>
  <c r="C2" i="7"/>
  <c r="C6" i="6"/>
  <c r="C5" i="6"/>
  <c r="C4" i="6"/>
  <c r="C3" i="6"/>
  <c r="C2" i="6"/>
  <c r="C6" i="2"/>
  <c r="C5" i="2"/>
  <c r="C4" i="2"/>
  <c r="C3" i="2"/>
  <c r="C2" i="2"/>
  <c r="C6" i="1"/>
  <c r="C5" i="1"/>
  <c r="C4" i="1"/>
  <c r="C3" i="1"/>
  <c r="C2" i="1"/>
  <c r="A9" i="7"/>
  <c r="A8" i="7"/>
  <c r="A7" i="7"/>
  <c r="A6" i="7"/>
  <c r="A5" i="7"/>
  <c r="A4" i="7"/>
  <c r="A3" i="7"/>
  <c r="A2" i="7"/>
  <c r="A9" i="6"/>
  <c r="A8" i="6"/>
  <c r="A7" i="6"/>
  <c r="A6" i="6"/>
  <c r="A5" i="6"/>
  <c r="A4" i="6"/>
  <c r="A3" i="6"/>
  <c r="A2" i="6"/>
  <c r="E10" i="7"/>
  <c r="E9" i="7"/>
  <c r="E8" i="7"/>
  <c r="G7" i="7"/>
  <c r="E7" i="7"/>
  <c r="K6" i="7"/>
  <c r="G6" i="7"/>
  <c r="E6" i="7"/>
  <c r="O5" i="7"/>
  <c r="K5" i="7"/>
  <c r="O4" i="7"/>
  <c r="K4" i="7"/>
  <c r="G4" i="7"/>
  <c r="E4" i="7"/>
  <c r="O3" i="7"/>
  <c r="K3" i="7"/>
  <c r="G3" i="7"/>
  <c r="E3" i="7"/>
  <c r="O2" i="7"/>
  <c r="K2" i="7"/>
  <c r="G2" i="7"/>
  <c r="E2" i="7"/>
  <c r="O5" i="6"/>
  <c r="O4" i="6"/>
  <c r="O3" i="6"/>
  <c r="O2" i="6"/>
  <c r="A8" i="2"/>
  <c r="A7" i="2"/>
  <c r="A6" i="2"/>
  <c r="A5" i="2"/>
  <c r="A4" i="2"/>
  <c r="A3" i="2"/>
  <c r="A2" i="2"/>
  <c r="A8" i="1"/>
  <c r="A7" i="1"/>
  <c r="A6" i="1"/>
  <c r="A5" i="1"/>
  <c r="A4" i="1"/>
  <c r="A3" i="1"/>
  <c r="A2" i="1"/>
  <c r="U4" i="1"/>
  <c r="U3" i="1"/>
  <c r="U2" i="1"/>
  <c r="U4" i="2"/>
  <c r="U3" i="2"/>
  <c r="U2" i="2"/>
  <c r="S4" i="2"/>
  <c r="S3" i="2"/>
  <c r="S2" i="2"/>
  <c r="S4" i="1"/>
  <c r="S3" i="1"/>
  <c r="S2" i="1"/>
  <c r="Q5" i="2"/>
  <c r="Q4" i="2"/>
  <c r="Q3" i="2"/>
  <c r="Q2" i="2"/>
  <c r="Q5" i="1"/>
  <c r="Q4" i="1"/>
  <c r="Q3" i="1"/>
  <c r="Q2" i="1"/>
  <c r="O5" i="1"/>
  <c r="O4" i="1"/>
  <c r="O3" i="1"/>
  <c r="O2" i="1"/>
  <c r="O5" i="2"/>
  <c r="O4" i="2"/>
  <c r="O3" i="2"/>
  <c r="O2" i="2"/>
  <c r="M5" i="2"/>
  <c r="M4" i="2"/>
  <c r="M3" i="2"/>
  <c r="M2" i="2"/>
  <c r="K6" i="1"/>
  <c r="K5" i="1"/>
  <c r="K4" i="1"/>
  <c r="K3" i="1"/>
  <c r="K2" i="1"/>
  <c r="K6" i="2"/>
  <c r="K5" i="2"/>
  <c r="K4" i="2"/>
  <c r="K3" i="2"/>
  <c r="K2" i="2"/>
  <c r="G7" i="2"/>
  <c r="G6" i="2"/>
  <c r="G4" i="2"/>
  <c r="G3" i="2"/>
  <c r="G2" i="2"/>
  <c r="G7" i="1"/>
  <c r="G6" i="1"/>
  <c r="G4" i="1"/>
  <c r="G3" i="1"/>
  <c r="G2" i="1"/>
  <c r="E10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<sst xmlns="http://schemas.openxmlformats.org/spreadsheetml/2006/main" count="96" uniqueCount="14">
  <si>
    <t>fCac</t>
  </si>
  <si>
    <t>Vel</t>
  </si>
  <si>
    <t>Ampl</t>
  </si>
  <si>
    <t>rle</t>
  </si>
  <si>
    <t>fCae</t>
  </si>
  <si>
    <t>fInP3</t>
  </si>
  <si>
    <t>Rp_PM</t>
  </si>
  <si>
    <t>RpS</t>
  </si>
  <si>
    <t>kbCf</t>
  </si>
  <si>
    <t>rmIf</t>
  </si>
  <si>
    <t>kiPI</t>
  </si>
  <si>
    <t>rIg</t>
  </si>
  <si>
    <t>rlx CeCtl</t>
  </si>
  <si>
    <t>Ce0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</si>
</sst>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70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C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 wrapText="1"/>
    </xf>
    <xf numFmtId="0" fontId="0" fillId="0" borderId="0" xfId="0" quotePrefix="1" applyAlignment="1">
      <alignment horizontal="right"/>
    </xf>
    <xf numFmtId="164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quotePrefix="1" applyNumberFormat="1" applyAlignment="1">
      <alignment horizontal="right"/>
    </xf>
    <xf numFmtId="164" fontId="0" fillId="0" borderId="0" xfId="0" applyNumberFormat="1" applyAlignment="1">
      <alignment horizontal="center" wrapText="1"/>
    </xf>
    <xf numFmtId="165" fontId="0" fillId="0" borderId="0" xfId="0" quotePrefix="1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right"/>
    </xf>
    <xf numFmtId="170" fontId="0" fillId="0" borderId="0" xfId="0" applyNumberFormat="1" applyAlignment="1">
      <alignment horizontal="center"/>
    </xf>
    <xf numFmtId="170" fontId="2" fillId="0" borderId="0" xfId="0" applyNumberFormat="1" applyFont="1" applyAlignment="1">
      <alignment horizontal="center"/>
    </xf>
    <xf numFmtId="164" fontId="0" fillId="0" borderId="0" xfId="0" applyNumberFormat="1"/>
    <xf numFmtId="170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70" fontId="0" fillId="0" borderId="0" xfId="0" quotePrefix="1" applyNumberFormat="1" applyAlignment="1">
      <alignment horizontal="right"/>
    </xf>
    <xf numFmtId="164" fontId="2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right"/>
    </xf>
    <xf numFmtId="0" fontId="3" fillId="0" borderId="0" xfId="0" quotePrefix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quotePrefix="1" applyNumberFormat="1" applyAlignment="1">
      <alignment horizontal="left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 wrapText="1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 wrapText="1"/>
    </xf>
    <xf numFmtId="0" fontId="0" fillId="2" borderId="0" xfId="0" applyFill="1" applyAlignment="1">
      <alignment horizontal="right" wrapText="1"/>
    </xf>
    <xf numFmtId="165" fontId="0" fillId="2" borderId="0" xfId="0" applyNumberFormat="1" applyFill="1" applyAlignment="1">
      <alignment horizontal="right"/>
    </xf>
    <xf numFmtId="0" fontId="3" fillId="2" borderId="0" xfId="0" quotePrefix="1" applyFon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quotePrefix="1" applyFill="1" applyAlignment="1">
      <alignment horizontal="right"/>
    </xf>
    <xf numFmtId="0" fontId="1" fillId="2" borderId="0" xfId="0" quotePrefix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rlx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RyR'!$A$3:$A$8</c:f>
              <c:numCache>
                <c:formatCode>0.00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'Speed RyR'!$B$3:$B$8</c:f>
              <c:numCache>
                <c:formatCode>General</c:formatCode>
                <c:ptCount val="6"/>
                <c:pt idx="0" formatCode="0.0">
                  <c:v>167</c:v>
                </c:pt>
                <c:pt idx="1">
                  <c:v>171.6</c:v>
                </c:pt>
                <c:pt idx="2">
                  <c:v>174.7</c:v>
                </c:pt>
                <c:pt idx="3">
                  <c:v>179.4</c:v>
                </c:pt>
                <c:pt idx="4" formatCode="0.0">
                  <c:v>184</c:v>
                </c:pt>
                <c:pt idx="5">
                  <c:v>190.5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C-5C4F-8AE7-0F3376AA168C}"/>
            </c:ext>
          </c:extLst>
        </c:ser>
        <c:ser>
          <c:idx val="1"/>
          <c:order val="1"/>
          <c:tx>
            <c:v>rle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RyR'!$C$2:$C$6</c:f>
              <c:numCache>
                <c:formatCode>0.0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2.2000000000000002</c:v>
                </c:pt>
                <c:pt idx="4">
                  <c:v>3</c:v>
                </c:pt>
              </c:numCache>
            </c:numRef>
          </c:xVal>
          <c:yVal>
            <c:numRef>
              <c:f>'Speed RyR'!$D$2:$D$6</c:f>
              <c:numCache>
                <c:formatCode>General</c:formatCode>
                <c:ptCount val="5"/>
                <c:pt idx="0">
                  <c:v>176.1</c:v>
                </c:pt>
                <c:pt idx="1">
                  <c:v>171.6</c:v>
                </c:pt>
                <c:pt idx="2">
                  <c:v>167.3</c:v>
                </c:pt>
                <c:pt idx="3">
                  <c:v>161.5</c:v>
                </c:pt>
                <c:pt idx="4">
                  <c:v>155.4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7C-5C4F-8AE7-0F3376AA168C}"/>
            </c:ext>
          </c:extLst>
        </c:ser>
        <c:ser>
          <c:idx val="2"/>
          <c:order val="2"/>
          <c:tx>
            <c:v>fCac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 RyR'!$E$2:$E$10</c:f>
              <c:numCache>
                <c:formatCode>0.0000</c:formatCode>
                <c:ptCount val="9"/>
                <c:pt idx="0">
                  <c:v>0.1333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2.6667000000000001</c:v>
                </c:pt>
                <c:pt idx="8">
                  <c:v>3.3332999999999999</c:v>
                </c:pt>
              </c:numCache>
            </c:numRef>
          </c:xVal>
          <c:yVal>
            <c:numRef>
              <c:f>'Speed RyR'!$F$2:$F$10</c:f>
              <c:numCache>
                <c:formatCode>General</c:formatCode>
                <c:ptCount val="9"/>
                <c:pt idx="0">
                  <c:v>54.64</c:v>
                </c:pt>
                <c:pt idx="1">
                  <c:v>92.39</c:v>
                </c:pt>
                <c:pt idx="2" formatCode="0.0">
                  <c:v>127</c:v>
                </c:pt>
                <c:pt idx="3">
                  <c:v>171.6</c:v>
                </c:pt>
                <c:pt idx="4">
                  <c:v>225.9</c:v>
                </c:pt>
                <c:pt idx="5">
                  <c:v>273.8</c:v>
                </c:pt>
                <c:pt idx="6">
                  <c:v>315.8</c:v>
                </c:pt>
                <c:pt idx="7">
                  <c:v>387.6</c:v>
                </c:pt>
                <c:pt idx="8">
                  <c:v>448.2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7C-5C4F-8AE7-0F3376AA168C}"/>
            </c:ext>
          </c:extLst>
        </c:ser>
        <c:ser>
          <c:idx val="3"/>
          <c:order val="3"/>
          <c:tx>
            <c:v>fCae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 RyR'!$G$2:$G$7</c:f>
              <c:numCache>
                <c:formatCode>0.0000</c:formatCode>
                <c:ptCount val="6"/>
                <c:pt idx="0">
                  <c:v>0.16666666666666669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1.3333333333333335</c:v>
                </c:pt>
                <c:pt idx="5">
                  <c:v>1.6666666666666667</c:v>
                </c:pt>
              </c:numCache>
            </c:numRef>
          </c:xVal>
          <c:yVal>
            <c:numRef>
              <c:f>'Speed RyR'!$H$2:$H$7</c:f>
              <c:numCache>
                <c:formatCode>General</c:formatCode>
                <c:ptCount val="6"/>
                <c:pt idx="0" formatCode="0.0">
                  <c:v>170</c:v>
                </c:pt>
                <c:pt idx="1">
                  <c:v>176.3</c:v>
                </c:pt>
                <c:pt idx="2">
                  <c:v>174.8</c:v>
                </c:pt>
                <c:pt idx="3">
                  <c:v>171.6</c:v>
                </c:pt>
                <c:pt idx="4">
                  <c:v>166.1</c:v>
                </c:pt>
                <c:pt idx="5">
                  <c:v>159.69999999999999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7C-5C4F-8AE7-0F3376AA168C}"/>
            </c:ext>
          </c:extLst>
        </c:ser>
        <c:ser>
          <c:idx val="4"/>
          <c:order val="4"/>
          <c:tx>
            <c:v>fInP3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 RyR'!$I$2:$I$7</c:f>
              <c:numCache>
                <c:formatCode>0.000</c:formatCode>
                <c:ptCount val="6"/>
                <c:pt idx="0">
                  <c:v>0.04</c:v>
                </c:pt>
                <c:pt idx="1">
                  <c:v>0.2</c:v>
                </c:pt>
                <c:pt idx="2">
                  <c:v>0.7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'Speed RyR'!$J$2:$J$7</c:f>
              <c:numCache>
                <c:formatCode>General</c:formatCode>
                <c:ptCount val="6"/>
                <c:pt idx="0" formatCode="0.0">
                  <c:v>165</c:v>
                </c:pt>
                <c:pt idx="1">
                  <c:v>165.4</c:v>
                </c:pt>
                <c:pt idx="2">
                  <c:v>168.1</c:v>
                </c:pt>
                <c:pt idx="3">
                  <c:v>171.6</c:v>
                </c:pt>
                <c:pt idx="4">
                  <c:v>179.6</c:v>
                </c:pt>
                <c:pt idx="5">
                  <c:v>188.4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7C-5C4F-8AE7-0F3376AA168C}"/>
            </c:ext>
          </c:extLst>
        </c:ser>
        <c:ser>
          <c:idx val="5"/>
          <c:order val="5"/>
          <c:tx>
            <c:v>Rp_PM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 RyR'!$K$2:$K$6</c:f>
              <c:numCache>
                <c:formatCode>0.0000</c:formatCode>
                <c:ptCount val="5"/>
                <c:pt idx="0">
                  <c:v>0.5</c:v>
                </c:pt>
                <c:pt idx="1">
                  <c:v>0.7142857142857143</c:v>
                </c:pt>
                <c:pt idx="2">
                  <c:v>1</c:v>
                </c:pt>
                <c:pt idx="3">
                  <c:v>1.4285714285714286</c:v>
                </c:pt>
                <c:pt idx="4">
                  <c:v>2</c:v>
                </c:pt>
              </c:numCache>
            </c:numRef>
          </c:xVal>
          <c:yVal>
            <c:numRef>
              <c:f>'Speed RyR'!$L$2:$L$6</c:f>
              <c:numCache>
                <c:formatCode>General</c:formatCode>
                <c:ptCount val="5"/>
                <c:pt idx="0">
                  <c:v>201.9</c:v>
                </c:pt>
                <c:pt idx="1">
                  <c:v>188.5</c:v>
                </c:pt>
                <c:pt idx="2">
                  <c:v>171.6</c:v>
                </c:pt>
                <c:pt idx="3">
                  <c:v>148.19999999999999</c:v>
                </c:pt>
                <c:pt idx="4">
                  <c:v>122.3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7C-5C4F-8AE7-0F3376AA168C}"/>
            </c:ext>
          </c:extLst>
        </c:ser>
        <c:ser>
          <c:idx val="9"/>
          <c:order val="6"/>
          <c:tx>
            <c:v>RpS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 RyR'!$M$2:$M$5</c:f>
              <c:numCache>
                <c:formatCode>0.0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'Speed RyR'!$N$2:$N$5</c:f>
              <c:numCache>
                <c:formatCode>General</c:formatCode>
                <c:ptCount val="4"/>
                <c:pt idx="0">
                  <c:v>188.2</c:v>
                </c:pt>
                <c:pt idx="1">
                  <c:v>171.6</c:v>
                </c:pt>
                <c:pt idx="2">
                  <c:v>146.6</c:v>
                </c:pt>
                <c:pt idx="3">
                  <c:v>130.80000000000001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D7C-5C4F-8AE7-0F3376AA168C}"/>
            </c:ext>
          </c:extLst>
        </c:ser>
        <c:ser>
          <c:idx val="6"/>
          <c:order val="7"/>
          <c:tx>
            <c:v>kbCf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 RyR'!$O$2:$O$5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1.5000000000000002</c:v>
                </c:pt>
                <c:pt idx="3">
                  <c:v>2</c:v>
                </c:pt>
              </c:numCache>
            </c:numRef>
          </c:xVal>
          <c:yVal>
            <c:numRef>
              <c:f>'Speed RyR'!$P$2:$P$5</c:f>
              <c:numCache>
                <c:formatCode>General</c:formatCode>
                <c:ptCount val="4"/>
                <c:pt idx="0">
                  <c:v>197.7</c:v>
                </c:pt>
                <c:pt idx="1">
                  <c:v>171.6</c:v>
                </c:pt>
                <c:pt idx="2">
                  <c:v>146.4</c:v>
                </c:pt>
                <c:pt idx="3">
                  <c:v>126.7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7C-5C4F-8AE7-0F3376AA168C}"/>
            </c:ext>
          </c:extLst>
        </c:ser>
        <c:ser>
          <c:idx val="7"/>
          <c:order val="8"/>
          <c:tx>
            <c:v>rmIf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 RyR'!$Q$2:$Q$5</c:f>
              <c:numCache>
                <c:formatCode>0.00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'Speed RyR'!$R$2:$R$5</c:f>
              <c:numCache>
                <c:formatCode>General</c:formatCode>
                <c:ptCount val="4"/>
                <c:pt idx="0">
                  <c:v>164.7</c:v>
                </c:pt>
                <c:pt idx="1">
                  <c:v>165.7</c:v>
                </c:pt>
                <c:pt idx="2">
                  <c:v>171.6</c:v>
                </c:pt>
                <c:pt idx="3">
                  <c:v>188.3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7C-5C4F-8AE7-0F3376AA168C}"/>
            </c:ext>
          </c:extLst>
        </c:ser>
        <c:ser>
          <c:idx val="8"/>
          <c:order val="9"/>
          <c:tx>
            <c:v>rIg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 RyR'!$U$2:$U$4</c:f>
              <c:numCache>
                <c:formatCode>0.00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'Speed RyR'!$V$2:$V$4</c:f>
              <c:numCache>
                <c:formatCode>General</c:formatCode>
                <c:ptCount val="3"/>
                <c:pt idx="0">
                  <c:v>168.9</c:v>
                </c:pt>
                <c:pt idx="1">
                  <c:v>171.6</c:v>
                </c:pt>
                <c:pt idx="2">
                  <c:v>174.8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D7C-5C4F-8AE7-0F3376AA168C}"/>
            </c:ext>
          </c:extLst>
        </c:ser>
        <c:ser>
          <c:idx val="10"/>
          <c:order val="10"/>
          <c:tx>
            <c:v>Ce0</c:v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'Speed RyR'!$W$2:$W$7</c:f>
              <c:numCache>
                <c:formatCode>General</c:formatCode>
                <c:ptCount val="6"/>
                <c:pt idx="0">
                  <c:v>0.77332669818362787</c:v>
                </c:pt>
                <c:pt idx="1">
                  <c:v>0.89474993779547163</c:v>
                </c:pt>
                <c:pt idx="2">
                  <c:v>1</c:v>
                </c:pt>
                <c:pt idx="3">
                  <c:v>1.0935556108484699</c:v>
                </c:pt>
                <c:pt idx="4">
                  <c:v>1.1769096790246332</c:v>
                </c:pt>
                <c:pt idx="5">
                  <c:v>1.2722070166708137</c:v>
                </c:pt>
              </c:numCache>
            </c:numRef>
          </c:xVal>
          <c:yVal>
            <c:numRef>
              <c:f>'Speed RyR'!$X$2:$X$7</c:f>
              <c:numCache>
                <c:formatCode>General</c:formatCode>
                <c:ptCount val="6"/>
                <c:pt idx="0">
                  <c:v>117.5</c:v>
                </c:pt>
                <c:pt idx="1">
                  <c:v>146.69999999999999</c:v>
                </c:pt>
                <c:pt idx="2">
                  <c:v>171.6</c:v>
                </c:pt>
                <c:pt idx="3">
                  <c:v>192.3</c:v>
                </c:pt>
                <c:pt idx="4">
                  <c:v>210.1</c:v>
                </c:pt>
                <c:pt idx="5">
                  <c:v>236.9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D7C-5C4F-8AE7-0F3376AA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004704"/>
        <c:axId val="1091700592"/>
      </c:scatterChart>
      <c:valAx>
        <c:axId val="160700470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00592"/>
        <c:crosses val="autoZero"/>
        <c:crossBetween val="midCat"/>
      </c:valAx>
      <c:valAx>
        <c:axId val="1091700592"/>
        <c:scaling>
          <c:orientation val="minMax"/>
          <c:max val="27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047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rlx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'Ampl RyR'!$A$2:$A$8</c:f>
              <c:numCache>
                <c:formatCode>0.00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'Ampl RyR'!$B$2:$B$8</c:f>
              <c:numCache>
                <c:formatCode>General</c:formatCode>
                <c:ptCount val="7"/>
                <c:pt idx="0" formatCode="0.00">
                  <c:v>11.8</c:v>
                </c:pt>
                <c:pt idx="1">
                  <c:v>11.79</c:v>
                </c:pt>
                <c:pt idx="2">
                  <c:v>11.91</c:v>
                </c:pt>
                <c:pt idx="3">
                  <c:v>11.91</c:v>
                </c:pt>
                <c:pt idx="4">
                  <c:v>11.99</c:v>
                </c:pt>
                <c:pt idx="5">
                  <c:v>12.03</c:v>
                </c:pt>
                <c:pt idx="6">
                  <c:v>12.11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39-CF48-8486-B7D9F08FAEE6}"/>
            </c:ext>
          </c:extLst>
        </c:ser>
        <c:ser>
          <c:idx val="1"/>
          <c:order val="1"/>
          <c:tx>
            <c:v>rle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'Ampl RyR'!$C$2:$C$6</c:f>
              <c:numCache>
                <c:formatCode>0.00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2.2000000000000002</c:v>
                </c:pt>
                <c:pt idx="4">
                  <c:v>3</c:v>
                </c:pt>
              </c:numCache>
            </c:numRef>
          </c:xVal>
          <c:yVal>
            <c:numRef>
              <c:f>'Ampl RyR'!$D$2:$D$6</c:f>
              <c:numCache>
                <c:formatCode>General</c:formatCode>
                <c:ptCount val="5"/>
                <c:pt idx="0">
                  <c:v>12.33</c:v>
                </c:pt>
                <c:pt idx="1">
                  <c:v>11.91</c:v>
                </c:pt>
                <c:pt idx="2">
                  <c:v>11.52</c:v>
                </c:pt>
                <c:pt idx="3">
                  <c:v>11.03</c:v>
                </c:pt>
                <c:pt idx="4">
                  <c:v>10.51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39-CF48-8486-B7D9F08FAEE6}"/>
            </c:ext>
          </c:extLst>
        </c:ser>
        <c:ser>
          <c:idx val="2"/>
          <c:order val="2"/>
          <c:tx>
            <c:v>fCac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'Ampl RyR'!$E$2:$E$10</c:f>
              <c:numCache>
                <c:formatCode>0.0000</c:formatCode>
                <c:ptCount val="9"/>
                <c:pt idx="0">
                  <c:v>0.13333333333333333</c:v>
                </c:pt>
                <c:pt idx="1">
                  <c:v>0.33333333333333337</c:v>
                </c:pt>
                <c:pt idx="2">
                  <c:v>0.66666666666666674</c:v>
                </c:pt>
                <c:pt idx="3">
                  <c:v>1</c:v>
                </c:pt>
                <c:pt idx="4">
                  <c:v>1.3333333333333335</c:v>
                </c:pt>
                <c:pt idx="5">
                  <c:v>1.6666666666666667</c:v>
                </c:pt>
                <c:pt idx="6">
                  <c:v>2</c:v>
                </c:pt>
                <c:pt idx="7">
                  <c:v>2.666666666666667</c:v>
                </c:pt>
                <c:pt idx="8">
                  <c:v>3.3333333333333335</c:v>
                </c:pt>
              </c:numCache>
            </c:numRef>
          </c:xVal>
          <c:yVal>
            <c:numRef>
              <c:f>'Ampl RyR'!$F$2:$F$10</c:f>
              <c:numCache>
                <c:formatCode>General</c:formatCode>
                <c:ptCount val="9"/>
                <c:pt idx="0">
                  <c:v>15.42</c:v>
                </c:pt>
                <c:pt idx="1">
                  <c:v>14.33</c:v>
                </c:pt>
                <c:pt idx="2">
                  <c:v>12.83</c:v>
                </c:pt>
                <c:pt idx="3">
                  <c:v>11.91</c:v>
                </c:pt>
                <c:pt idx="4">
                  <c:v>11.27</c:v>
                </c:pt>
                <c:pt idx="5">
                  <c:v>10.89</c:v>
                </c:pt>
                <c:pt idx="6" formatCode="0.00">
                  <c:v>10.7</c:v>
                </c:pt>
                <c:pt idx="7">
                  <c:v>10.47</c:v>
                </c:pt>
                <c:pt idx="8">
                  <c:v>10.34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39-CF48-8486-B7D9F08FAEE6}"/>
            </c:ext>
          </c:extLst>
        </c:ser>
        <c:ser>
          <c:idx val="3"/>
          <c:order val="3"/>
          <c:tx>
            <c:v>fCae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'Ampl RyR'!$G$2:$G$7</c:f>
              <c:numCache>
                <c:formatCode>0.0000</c:formatCode>
                <c:ptCount val="6"/>
                <c:pt idx="0">
                  <c:v>0.16666666666666669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1.3333333333333335</c:v>
                </c:pt>
                <c:pt idx="5">
                  <c:v>1.6666666666666667</c:v>
                </c:pt>
              </c:numCache>
            </c:numRef>
          </c:xVal>
          <c:yVal>
            <c:numRef>
              <c:f>'Ampl RyR'!$H$2:$H$7</c:f>
              <c:numCache>
                <c:formatCode>General</c:formatCode>
                <c:ptCount val="6"/>
                <c:pt idx="0">
                  <c:v>11.52</c:v>
                </c:pt>
                <c:pt idx="1">
                  <c:v>11.61</c:v>
                </c:pt>
                <c:pt idx="2">
                  <c:v>11.78</c:v>
                </c:pt>
                <c:pt idx="3">
                  <c:v>11.91</c:v>
                </c:pt>
                <c:pt idx="4">
                  <c:v>12.13</c:v>
                </c:pt>
                <c:pt idx="5">
                  <c:v>12.33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39-CF48-8486-B7D9F08FAEE6}"/>
            </c:ext>
          </c:extLst>
        </c:ser>
        <c:ser>
          <c:idx val="4"/>
          <c:order val="4"/>
          <c:tx>
            <c:v>fInP3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'Ampl RyR'!$I$2:$I$7</c:f>
              <c:numCache>
                <c:formatCode>0.000</c:formatCode>
                <c:ptCount val="6"/>
                <c:pt idx="0">
                  <c:v>0.04</c:v>
                </c:pt>
                <c:pt idx="1">
                  <c:v>0.2</c:v>
                </c:pt>
                <c:pt idx="2">
                  <c:v>0.7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'Ampl RyR'!$J$2:$J$7</c:f>
              <c:numCache>
                <c:formatCode>General</c:formatCode>
                <c:ptCount val="6"/>
                <c:pt idx="0">
                  <c:v>11.52</c:v>
                </c:pt>
                <c:pt idx="1">
                  <c:v>11.61</c:v>
                </c:pt>
                <c:pt idx="2">
                  <c:v>11.78</c:v>
                </c:pt>
                <c:pt idx="3">
                  <c:v>11.91</c:v>
                </c:pt>
                <c:pt idx="4">
                  <c:v>12.13</c:v>
                </c:pt>
                <c:pt idx="5">
                  <c:v>12.33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39-CF48-8486-B7D9F08FAEE6}"/>
            </c:ext>
          </c:extLst>
        </c:ser>
        <c:ser>
          <c:idx val="5"/>
          <c:order val="5"/>
          <c:tx>
            <c:v>Rp_PM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'Ampl RyR'!$K$2:$K$6</c:f>
              <c:numCache>
                <c:formatCode>0.0000</c:formatCode>
                <c:ptCount val="5"/>
                <c:pt idx="0">
                  <c:v>0.5</c:v>
                </c:pt>
                <c:pt idx="1">
                  <c:v>0.7142857142857143</c:v>
                </c:pt>
                <c:pt idx="2">
                  <c:v>1</c:v>
                </c:pt>
                <c:pt idx="3">
                  <c:v>1.4285714285714286</c:v>
                </c:pt>
                <c:pt idx="4">
                  <c:v>2</c:v>
                </c:pt>
              </c:numCache>
            </c:numRef>
          </c:xVal>
          <c:yVal>
            <c:numRef>
              <c:f>'Ampl RyR'!$L$2:$L$6</c:f>
              <c:numCache>
                <c:formatCode>General</c:formatCode>
                <c:ptCount val="5"/>
                <c:pt idx="0">
                  <c:v>13.08</c:v>
                </c:pt>
                <c:pt idx="1">
                  <c:v>12.57</c:v>
                </c:pt>
                <c:pt idx="2">
                  <c:v>11.91</c:v>
                </c:pt>
                <c:pt idx="3">
                  <c:v>10.98</c:v>
                </c:pt>
                <c:pt idx="4" formatCode="0.000">
                  <c:v>9.6999999999999993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139-CF48-8486-B7D9F08FAEE6}"/>
            </c:ext>
          </c:extLst>
        </c:ser>
        <c:ser>
          <c:idx val="6"/>
          <c:order val="6"/>
          <c:tx>
            <c:v>RpS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'Ampl RyR'!$M$2:$M$5</c:f>
              <c:numCache>
                <c:formatCode>0.0</c:formatCode>
                <c:ptCount val="4"/>
                <c:pt idx="0">
                  <c:v>0.75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'Ampl RyR'!$N$2:$N$5</c:f>
              <c:numCache>
                <c:formatCode>General</c:formatCode>
                <c:ptCount val="4"/>
                <c:pt idx="0">
                  <c:v>12.13</c:v>
                </c:pt>
                <c:pt idx="1">
                  <c:v>11.91</c:v>
                </c:pt>
                <c:pt idx="2">
                  <c:v>11.47</c:v>
                </c:pt>
                <c:pt idx="3">
                  <c:v>11.14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39-CF48-8486-B7D9F08FAEE6}"/>
            </c:ext>
          </c:extLst>
        </c:ser>
        <c:ser>
          <c:idx val="7"/>
          <c:order val="7"/>
          <c:tx>
            <c:v>kbCf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'Ampl RyR'!$O$2:$O$5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1.5000000000000002</c:v>
                </c:pt>
                <c:pt idx="3">
                  <c:v>2</c:v>
                </c:pt>
              </c:numCache>
            </c:numRef>
          </c:xVal>
          <c:yVal>
            <c:numRef>
              <c:f>'Ampl RyR'!$P$2:$P$5</c:f>
              <c:numCache>
                <c:formatCode>General</c:formatCode>
                <c:ptCount val="4"/>
                <c:pt idx="0">
                  <c:v>14.58</c:v>
                </c:pt>
                <c:pt idx="1">
                  <c:v>11.91</c:v>
                </c:pt>
                <c:pt idx="2">
                  <c:v>10.210000000000001</c:v>
                </c:pt>
                <c:pt idx="3">
                  <c:v>8.9380000000000006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39-CF48-8486-B7D9F08FAEE6}"/>
            </c:ext>
          </c:extLst>
        </c:ser>
        <c:ser>
          <c:idx val="8"/>
          <c:order val="8"/>
          <c:tx>
            <c:v>rmIf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'Ampl RyR'!$Q$2:$Q$5</c:f>
              <c:numCache>
                <c:formatCode>0.00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'Ampl RyR'!$R$2:$R$5</c:f>
              <c:numCache>
                <c:formatCode>General</c:formatCode>
                <c:ptCount val="4"/>
                <c:pt idx="0" formatCode="0.00">
                  <c:v>11.5</c:v>
                </c:pt>
                <c:pt idx="1">
                  <c:v>11.58</c:v>
                </c:pt>
                <c:pt idx="2">
                  <c:v>11.91</c:v>
                </c:pt>
                <c:pt idx="3">
                  <c:v>12.47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139-CF48-8486-B7D9F08FAEE6}"/>
            </c:ext>
          </c:extLst>
        </c:ser>
        <c:ser>
          <c:idx val="9"/>
          <c:order val="9"/>
          <c:tx>
            <c:v>rIg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'Ampl RyR'!$U$2:$U$4</c:f>
              <c:numCache>
                <c:formatCode>0.00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'Ampl RyR'!$V$2:$V$4</c:f>
              <c:numCache>
                <c:formatCode>General</c:formatCode>
                <c:ptCount val="3"/>
                <c:pt idx="0">
                  <c:v>11.88</c:v>
                </c:pt>
                <c:pt idx="1">
                  <c:v>11.91</c:v>
                </c:pt>
                <c:pt idx="2" formatCode="0.00">
                  <c:v>11.9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139-CF48-8486-B7D9F08FAEE6}"/>
            </c:ext>
          </c:extLst>
        </c:ser>
        <c:ser>
          <c:idx val="10"/>
          <c:order val="10"/>
          <c:tx>
            <c:v>Ce0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139-CF48-8486-B7D9F08FAEE6}"/>
              </c:ext>
            </c:extLst>
          </c:dPt>
          <c:xVal>
            <c:numRef>
              <c:f>'Ampl RyR'!$W$2:$W$7</c:f>
              <c:numCache>
                <c:formatCode>General</c:formatCode>
                <c:ptCount val="6"/>
                <c:pt idx="0">
                  <c:v>0.77332669818362787</c:v>
                </c:pt>
                <c:pt idx="1">
                  <c:v>0.89474993779547163</c:v>
                </c:pt>
                <c:pt idx="2">
                  <c:v>1</c:v>
                </c:pt>
                <c:pt idx="3">
                  <c:v>1.0935556108484699</c:v>
                </c:pt>
                <c:pt idx="4">
                  <c:v>1.1769096790246332</c:v>
                </c:pt>
                <c:pt idx="5">
                  <c:v>1.2722070166708137</c:v>
                </c:pt>
              </c:numCache>
            </c:numRef>
          </c:xVal>
          <c:yVal>
            <c:numRef>
              <c:f>'Ampl RyR'!$X$2:$X$7</c:f>
              <c:numCache>
                <c:formatCode>General</c:formatCode>
                <c:ptCount val="6"/>
                <c:pt idx="0">
                  <c:v>8.0719999999999992</c:v>
                </c:pt>
                <c:pt idx="1">
                  <c:v>10.130000000000001</c:v>
                </c:pt>
                <c:pt idx="2">
                  <c:v>11.91</c:v>
                </c:pt>
                <c:pt idx="3">
                  <c:v>13.51</c:v>
                </c:pt>
                <c:pt idx="4">
                  <c:v>14.95</c:v>
                </c:pt>
                <c:pt idx="5">
                  <c:v>16.66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139-CF48-8486-B7D9F08F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95312"/>
        <c:axId val="1091659152"/>
      </c:scatterChart>
      <c:valAx>
        <c:axId val="16084953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59152"/>
        <c:crosses val="autoZero"/>
        <c:crossBetween val="midCat"/>
      </c:valAx>
      <c:valAx>
        <c:axId val="1091659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rlx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 noRyR'!$A$2:$A$9</c:f>
              <c:numCache>
                <c:formatCode>0.00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'Speed noRyR'!$B$2:$B$9</c:f>
              <c:numCache>
                <c:formatCode>General</c:formatCode>
                <c:ptCount val="8"/>
                <c:pt idx="0">
                  <c:v>77.09</c:v>
                </c:pt>
                <c:pt idx="1">
                  <c:v>77.709999999999994</c:v>
                </c:pt>
                <c:pt idx="2">
                  <c:v>79.239999999999995</c:v>
                </c:pt>
                <c:pt idx="3">
                  <c:v>80.88</c:v>
                </c:pt>
                <c:pt idx="4">
                  <c:v>82.54</c:v>
                </c:pt>
                <c:pt idx="5">
                  <c:v>84.46</c:v>
                </c:pt>
                <c:pt idx="6">
                  <c:v>86.63</c:v>
                </c:pt>
                <c:pt idx="7">
                  <c:v>93.56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E-CD43-9EAF-69BEEA1C2431}"/>
            </c:ext>
          </c:extLst>
        </c:ser>
        <c:ser>
          <c:idx val="1"/>
          <c:order val="1"/>
          <c:tx>
            <c:v>rle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 noRyR'!$C$2:$C$6</c:f>
              <c:numCache>
                <c:formatCode>0.00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2.2000000000000002</c:v>
                </c:pt>
                <c:pt idx="4">
                  <c:v>3</c:v>
                </c:pt>
              </c:numCache>
            </c:numRef>
          </c:xVal>
          <c:yVal>
            <c:numRef>
              <c:f>'Speed noRyR'!$D$2:$D$6</c:f>
              <c:numCache>
                <c:formatCode>General</c:formatCode>
                <c:ptCount val="5"/>
                <c:pt idx="0">
                  <c:v>80.41</c:v>
                </c:pt>
                <c:pt idx="1">
                  <c:v>79.239999999999995</c:v>
                </c:pt>
                <c:pt idx="2">
                  <c:v>78.099999999999994</c:v>
                </c:pt>
                <c:pt idx="3">
                  <c:v>76.59</c:v>
                </c:pt>
                <c:pt idx="4">
                  <c:v>74.900000000000006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1E-CD43-9EAF-69BEEA1C2431}"/>
            </c:ext>
          </c:extLst>
        </c:ser>
        <c:ser>
          <c:idx val="2"/>
          <c:order val="2"/>
          <c:tx>
            <c:v>fCac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 noRyR'!$E$2:$E$10</c:f>
              <c:numCache>
                <c:formatCode>0.0000</c:formatCode>
                <c:ptCount val="9"/>
                <c:pt idx="0">
                  <c:v>0.1333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2.6667000000000001</c:v>
                </c:pt>
                <c:pt idx="8">
                  <c:v>3.3332999999999999</c:v>
                </c:pt>
              </c:numCache>
            </c:numRef>
          </c:xVal>
          <c:yVal>
            <c:numRef>
              <c:f>'Speed noRyR'!$F$2:$F$10</c:f>
              <c:numCache>
                <c:formatCode>General</c:formatCode>
                <c:ptCount val="9"/>
                <c:pt idx="0">
                  <c:v>16.55</c:v>
                </c:pt>
                <c:pt idx="1">
                  <c:v>55.03</c:v>
                </c:pt>
                <c:pt idx="2">
                  <c:v>71.37</c:v>
                </c:pt>
                <c:pt idx="3">
                  <c:v>79.239999999999995</c:v>
                </c:pt>
                <c:pt idx="4">
                  <c:v>84.32</c:v>
                </c:pt>
                <c:pt idx="5">
                  <c:v>88.09</c:v>
                </c:pt>
                <c:pt idx="6">
                  <c:v>91.11</c:v>
                </c:pt>
                <c:pt idx="7">
                  <c:v>95.9</c:v>
                </c:pt>
                <c:pt idx="8">
                  <c:v>99.64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1E-CD43-9EAF-69BEEA1C2431}"/>
            </c:ext>
          </c:extLst>
        </c:ser>
        <c:ser>
          <c:idx val="3"/>
          <c:order val="3"/>
          <c:tx>
            <c:v>fCae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 noRyR'!$G$2:$G$7</c:f>
              <c:numCache>
                <c:formatCode>0.0000</c:formatCode>
                <c:ptCount val="6"/>
                <c:pt idx="0">
                  <c:v>0.16666666666666669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1.3333333333333335</c:v>
                </c:pt>
                <c:pt idx="5">
                  <c:v>1.6666666666666667</c:v>
                </c:pt>
              </c:numCache>
            </c:numRef>
          </c:xVal>
          <c:yVal>
            <c:numRef>
              <c:f>'Speed noRyR'!$H$2:$H$7</c:f>
              <c:numCache>
                <c:formatCode>General</c:formatCode>
                <c:ptCount val="6"/>
                <c:pt idx="0">
                  <c:v>83.58</c:v>
                </c:pt>
                <c:pt idx="1">
                  <c:v>81.73</c:v>
                </c:pt>
                <c:pt idx="2">
                  <c:v>80.39</c:v>
                </c:pt>
                <c:pt idx="3">
                  <c:v>79.239999999999995</c:v>
                </c:pt>
                <c:pt idx="4">
                  <c:v>77.95</c:v>
                </c:pt>
                <c:pt idx="5">
                  <c:v>76.92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1E-CD43-9EAF-69BEEA1C2431}"/>
            </c:ext>
          </c:extLst>
        </c:ser>
        <c:ser>
          <c:idx val="4"/>
          <c:order val="4"/>
          <c:tx>
            <c:v>fInP3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 noRyR'!$I$2:$I$8</c:f>
              <c:numCache>
                <c:formatCode>0.000</c:formatCode>
                <c:ptCount val="7"/>
                <c:pt idx="0">
                  <c:v>0.04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'Speed noRyR'!$J$2:$J$8</c:f>
              <c:numCache>
                <c:formatCode>General</c:formatCode>
                <c:ptCount val="7"/>
                <c:pt idx="0">
                  <c:v>13.14</c:v>
                </c:pt>
                <c:pt idx="1">
                  <c:v>40.07</c:v>
                </c:pt>
                <c:pt idx="2">
                  <c:v>54.8</c:v>
                </c:pt>
                <c:pt idx="3">
                  <c:v>69.02</c:v>
                </c:pt>
                <c:pt idx="4">
                  <c:v>79.239999999999995</c:v>
                </c:pt>
                <c:pt idx="5">
                  <c:v>91.78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1E-CD43-9EAF-69BEEA1C2431}"/>
            </c:ext>
          </c:extLst>
        </c:ser>
        <c:ser>
          <c:idx val="5"/>
          <c:order val="5"/>
          <c:tx>
            <c:v>Rp_PM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 noRyR'!$K$2:$K$6</c:f>
              <c:numCache>
                <c:formatCode>0.0000</c:formatCode>
                <c:ptCount val="5"/>
                <c:pt idx="0">
                  <c:v>0.5</c:v>
                </c:pt>
                <c:pt idx="1">
                  <c:v>0.7142857142857143</c:v>
                </c:pt>
                <c:pt idx="2">
                  <c:v>1</c:v>
                </c:pt>
                <c:pt idx="3">
                  <c:v>1.4285714285714286</c:v>
                </c:pt>
                <c:pt idx="4">
                  <c:v>2</c:v>
                </c:pt>
              </c:numCache>
            </c:numRef>
          </c:xVal>
          <c:yVal>
            <c:numRef>
              <c:f>'Speed noRyR'!$L$2:$L$6</c:f>
              <c:numCache>
                <c:formatCode>General</c:formatCode>
                <c:ptCount val="5"/>
                <c:pt idx="0">
                  <c:v>90.84</c:v>
                </c:pt>
                <c:pt idx="1">
                  <c:v>85.68</c:v>
                </c:pt>
                <c:pt idx="2">
                  <c:v>79.239999999999995</c:v>
                </c:pt>
                <c:pt idx="3">
                  <c:v>69.66</c:v>
                </c:pt>
                <c:pt idx="4">
                  <c:v>54.74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1E-CD43-9EAF-69BEEA1C2431}"/>
            </c:ext>
          </c:extLst>
        </c:ser>
        <c:ser>
          <c:idx val="6"/>
          <c:order val="6"/>
          <c:tx>
            <c:v>RpS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 noRyR'!$M$2:$M$5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'Speed noRyR'!$N$2:$N$5</c:f>
              <c:numCache>
                <c:formatCode>General</c:formatCode>
                <c:ptCount val="4"/>
                <c:pt idx="0">
                  <c:v>92.56</c:v>
                </c:pt>
                <c:pt idx="1">
                  <c:v>79.239999999999995</c:v>
                </c:pt>
                <c:pt idx="2">
                  <c:v>72.13</c:v>
                </c:pt>
                <c:pt idx="3">
                  <c:v>66.680000000000007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1E-CD43-9EAF-69BEEA1C2431}"/>
            </c:ext>
          </c:extLst>
        </c:ser>
        <c:ser>
          <c:idx val="7"/>
          <c:order val="7"/>
          <c:tx>
            <c:v>kbCf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 noRyR'!$O$2:$O$5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1.5000000000000002</c:v>
                </c:pt>
                <c:pt idx="3">
                  <c:v>2</c:v>
                </c:pt>
              </c:numCache>
            </c:numRef>
          </c:xVal>
          <c:yVal>
            <c:numRef>
              <c:f>'Speed noRyR'!$P$2:$P$5</c:f>
              <c:numCache>
                <c:formatCode>General</c:formatCode>
                <c:ptCount val="4"/>
                <c:pt idx="0">
                  <c:v>87.2</c:v>
                </c:pt>
                <c:pt idx="1">
                  <c:v>79.239999999999995</c:v>
                </c:pt>
                <c:pt idx="2">
                  <c:v>73.31</c:v>
                </c:pt>
                <c:pt idx="3">
                  <c:v>68.44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1E-CD43-9EAF-69BEEA1C2431}"/>
            </c:ext>
          </c:extLst>
        </c:ser>
        <c:ser>
          <c:idx val="8"/>
          <c:order val="8"/>
          <c:tx>
            <c:v>rmIf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 noRyR'!$Q$2:$Q$6</c:f>
              <c:numCache>
                <c:formatCode>0.00</c:formatCode>
                <c:ptCount val="5"/>
                <c:pt idx="0">
                  <c:v>0.5</c:v>
                </c:pt>
                <c:pt idx="1">
                  <c:v>0.75000000000000011</c:v>
                </c:pt>
                <c:pt idx="2">
                  <c:v>1</c:v>
                </c:pt>
                <c:pt idx="3">
                  <c:v>1.5000000000000002</c:v>
                </c:pt>
                <c:pt idx="4">
                  <c:v>2</c:v>
                </c:pt>
              </c:numCache>
            </c:numRef>
          </c:xVal>
          <c:yVal>
            <c:numRef>
              <c:f>'Speed noRyR'!$R$2:$R$6</c:f>
              <c:numCache>
                <c:formatCode>General</c:formatCode>
                <c:ptCount val="5"/>
                <c:pt idx="0">
                  <c:v>38.340000000000003</c:v>
                </c:pt>
                <c:pt idx="1">
                  <c:v>63.63</c:v>
                </c:pt>
                <c:pt idx="2">
                  <c:v>79.239999999999995</c:v>
                </c:pt>
                <c:pt idx="3">
                  <c:v>98.04</c:v>
                </c:pt>
                <c:pt idx="4">
                  <c:v>109.8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1E-CD43-9EAF-69BEEA1C2431}"/>
            </c:ext>
          </c:extLst>
        </c:ser>
        <c:ser>
          <c:idx val="9"/>
          <c:order val="9"/>
          <c:tx>
            <c:v>rIg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 noRyR'!$U$2:$U$6</c:f>
              <c:numCache>
                <c:formatCode>0.00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'Speed noRyR'!$V$2:$V$6</c:f>
              <c:numCache>
                <c:formatCode>General</c:formatCode>
                <c:ptCount val="5"/>
                <c:pt idx="0">
                  <c:v>60.08</c:v>
                </c:pt>
                <c:pt idx="1">
                  <c:v>71.489999999999995</c:v>
                </c:pt>
                <c:pt idx="2">
                  <c:v>79.239999999999995</c:v>
                </c:pt>
                <c:pt idx="3">
                  <c:v>83.19</c:v>
                </c:pt>
                <c:pt idx="4">
                  <c:v>84.57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1E-CD43-9EAF-69BEEA1C2431}"/>
            </c:ext>
          </c:extLst>
        </c:ser>
        <c:ser>
          <c:idx val="10"/>
          <c:order val="10"/>
          <c:tx>
            <c:v>Ce0</c:v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 noRyR'!$W$2:$W$10</c:f>
              <c:numCache>
                <c:formatCode>General</c:formatCode>
                <c:ptCount val="9"/>
                <c:pt idx="0">
                  <c:v>0.67858916999999996</c:v>
                </c:pt>
                <c:pt idx="1">
                  <c:v>0.77223050000000004</c:v>
                </c:pt>
                <c:pt idx="2">
                  <c:v>0.89369100999999995</c:v>
                </c:pt>
                <c:pt idx="3">
                  <c:v>1</c:v>
                </c:pt>
                <c:pt idx="4">
                  <c:v>1.09488326</c:v>
                </c:pt>
                <c:pt idx="5">
                  <c:v>1.18082464</c:v>
                </c:pt>
                <c:pt idx="6">
                  <c:v>1.28191754</c:v>
                </c:pt>
                <c:pt idx="7">
                  <c:v>1.3782911099999999</c:v>
                </c:pt>
                <c:pt idx="8">
                  <c:v>1.4110779899999999</c:v>
                </c:pt>
              </c:numCache>
            </c:numRef>
          </c:xVal>
          <c:yVal>
            <c:numRef>
              <c:f>'Speed noRyR'!$X$2:$X$10</c:f>
              <c:numCache>
                <c:formatCode>General</c:formatCode>
                <c:ptCount val="9"/>
                <c:pt idx="0">
                  <c:v>51.79</c:v>
                </c:pt>
                <c:pt idx="1">
                  <c:v>62.38</c:v>
                </c:pt>
                <c:pt idx="2">
                  <c:v>72.11</c:v>
                </c:pt>
                <c:pt idx="3">
                  <c:v>79.239999999999995</c:v>
                </c:pt>
                <c:pt idx="4">
                  <c:v>85.18</c:v>
                </c:pt>
                <c:pt idx="5">
                  <c:v>90.38</c:v>
                </c:pt>
                <c:pt idx="6">
                  <c:v>96.75</c:v>
                </c:pt>
                <c:pt idx="7">
                  <c:v>104.2</c:v>
                </c:pt>
                <c:pt idx="8">
                  <c:v>109.5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1E-CD43-9EAF-69BEEA1C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99264"/>
        <c:axId val="1108830944"/>
      </c:scatterChart>
      <c:valAx>
        <c:axId val="1092399264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30944"/>
        <c:crosses val="autoZero"/>
        <c:crossBetween val="midCat"/>
      </c:valAx>
      <c:valAx>
        <c:axId val="11088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rlx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'Ampl noRyR'!$A$2:$A$9</c:f>
              <c:numCache>
                <c:formatCode>0.00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'Ampl noRyR'!$B$2:$B$9</c:f>
              <c:numCache>
                <c:formatCode>General</c:formatCode>
                <c:ptCount val="8"/>
                <c:pt idx="0">
                  <c:v>3.7309999999999999</c:v>
                </c:pt>
                <c:pt idx="1">
                  <c:v>3.7450000000000001</c:v>
                </c:pt>
                <c:pt idx="2">
                  <c:v>3.7789999999999999</c:v>
                </c:pt>
                <c:pt idx="3">
                  <c:v>3.8140000000000001</c:v>
                </c:pt>
                <c:pt idx="4">
                  <c:v>3.847</c:v>
                </c:pt>
                <c:pt idx="5">
                  <c:v>3.8860000000000001</c:v>
                </c:pt>
                <c:pt idx="6">
                  <c:v>3.9260000000000002</c:v>
                </c:pt>
                <c:pt idx="7">
                  <c:v>4.0419999999999998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A6-214A-AB92-21B0A289FE63}"/>
            </c:ext>
          </c:extLst>
        </c:ser>
        <c:ser>
          <c:idx val="1"/>
          <c:order val="1"/>
          <c:tx>
            <c:v>rle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'Ampl noRyR'!$C$2:$C$6</c:f>
              <c:numCache>
                <c:formatCode>0.00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2.2000000000000002</c:v>
                </c:pt>
                <c:pt idx="4">
                  <c:v>3</c:v>
                </c:pt>
              </c:numCache>
            </c:numRef>
          </c:xVal>
          <c:yVal>
            <c:numRef>
              <c:f>'Ampl noRyR'!$D$2:$D$6</c:f>
              <c:numCache>
                <c:formatCode>General</c:formatCode>
                <c:ptCount val="5"/>
                <c:pt idx="0">
                  <c:v>3.847</c:v>
                </c:pt>
                <c:pt idx="1">
                  <c:v>3.7789999999999999</c:v>
                </c:pt>
                <c:pt idx="2">
                  <c:v>3.7149999999999999</c:v>
                </c:pt>
                <c:pt idx="3">
                  <c:v>3.6309999999999998</c:v>
                </c:pt>
                <c:pt idx="4">
                  <c:v>3.5419999999999998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A6-214A-AB92-21B0A289FE63}"/>
            </c:ext>
          </c:extLst>
        </c:ser>
        <c:ser>
          <c:idx val="2"/>
          <c:order val="2"/>
          <c:tx>
            <c:v>fCac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'Ampl noRyR'!$E$2:$E$10</c:f>
              <c:numCache>
                <c:formatCode>0.0000</c:formatCode>
                <c:ptCount val="9"/>
                <c:pt idx="0">
                  <c:v>0.13333333333333333</c:v>
                </c:pt>
                <c:pt idx="1">
                  <c:v>0.33333333333333337</c:v>
                </c:pt>
                <c:pt idx="2">
                  <c:v>0.66666666666666674</c:v>
                </c:pt>
                <c:pt idx="3">
                  <c:v>1</c:v>
                </c:pt>
                <c:pt idx="4">
                  <c:v>1.3333333333333335</c:v>
                </c:pt>
                <c:pt idx="5">
                  <c:v>1.6666666666666667</c:v>
                </c:pt>
                <c:pt idx="6">
                  <c:v>2</c:v>
                </c:pt>
                <c:pt idx="7">
                  <c:v>2.666666666666667</c:v>
                </c:pt>
                <c:pt idx="8">
                  <c:v>3.3333333333333335</c:v>
                </c:pt>
              </c:numCache>
            </c:numRef>
          </c:xVal>
          <c:yVal>
            <c:numRef>
              <c:f>'Ampl noRyR'!$F$2:$F$10</c:f>
              <c:numCache>
                <c:formatCode>General</c:formatCode>
                <c:ptCount val="9"/>
                <c:pt idx="0">
                  <c:v>1.034</c:v>
                </c:pt>
                <c:pt idx="1">
                  <c:v>3.1789999999999998</c:v>
                </c:pt>
                <c:pt idx="2">
                  <c:v>3.6970000000000001</c:v>
                </c:pt>
                <c:pt idx="3">
                  <c:v>3.7789999999999999</c:v>
                </c:pt>
                <c:pt idx="4">
                  <c:v>3.78</c:v>
                </c:pt>
                <c:pt idx="5">
                  <c:v>3.7589999999999999</c:v>
                </c:pt>
                <c:pt idx="6">
                  <c:v>3.7309999999999999</c:v>
                </c:pt>
                <c:pt idx="7">
                  <c:v>3.673</c:v>
                </c:pt>
                <c:pt idx="8">
                  <c:v>3.621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A6-214A-AB92-21B0A289FE63}"/>
            </c:ext>
          </c:extLst>
        </c:ser>
        <c:ser>
          <c:idx val="3"/>
          <c:order val="3"/>
          <c:tx>
            <c:v>fCae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'Ampl noRyR'!$G$2:$G$7</c:f>
              <c:numCache>
                <c:formatCode>0.0000</c:formatCode>
                <c:ptCount val="6"/>
                <c:pt idx="0">
                  <c:v>0.16666666666666669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1.3333333333333335</c:v>
                </c:pt>
                <c:pt idx="5">
                  <c:v>1.6666666666666667</c:v>
                </c:pt>
              </c:numCache>
            </c:numRef>
          </c:xVal>
          <c:yVal>
            <c:numRef>
              <c:f>'Ampl noRyR'!$H$2:$H$7</c:f>
              <c:numCache>
                <c:formatCode>General</c:formatCode>
                <c:ptCount val="6"/>
                <c:pt idx="0">
                  <c:v>3.802</c:v>
                </c:pt>
                <c:pt idx="1">
                  <c:v>3.782</c:v>
                </c:pt>
                <c:pt idx="2">
                  <c:v>3.78</c:v>
                </c:pt>
                <c:pt idx="3">
                  <c:v>3.7789999999999999</c:v>
                </c:pt>
                <c:pt idx="4">
                  <c:v>3.7789999999999999</c:v>
                </c:pt>
                <c:pt idx="5">
                  <c:v>3.7810000000000001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A6-214A-AB92-21B0A289FE63}"/>
            </c:ext>
          </c:extLst>
        </c:ser>
        <c:ser>
          <c:idx val="4"/>
          <c:order val="4"/>
          <c:tx>
            <c:v>fInP3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'Ampl noRyR'!$I$2:$I$8</c:f>
              <c:numCache>
                <c:formatCode>0.000</c:formatCode>
                <c:ptCount val="7"/>
                <c:pt idx="0">
                  <c:v>0.04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'Ampl noRyR'!$J$2:$J$8</c:f>
              <c:numCache>
                <c:formatCode>General</c:formatCode>
                <c:ptCount val="7"/>
                <c:pt idx="0">
                  <c:v>2.085</c:v>
                </c:pt>
                <c:pt idx="1">
                  <c:v>2.99</c:v>
                </c:pt>
                <c:pt idx="2">
                  <c:v>3.3170000000000002</c:v>
                </c:pt>
                <c:pt idx="3">
                  <c:v>3.593</c:v>
                </c:pt>
                <c:pt idx="4">
                  <c:v>3.7789999999999999</c:v>
                </c:pt>
                <c:pt idx="5">
                  <c:v>4</c:v>
                </c:pt>
                <c:pt idx="6">
                  <c:v>4.1609999999999996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A6-214A-AB92-21B0A289FE63}"/>
            </c:ext>
          </c:extLst>
        </c:ser>
        <c:ser>
          <c:idx val="5"/>
          <c:order val="5"/>
          <c:tx>
            <c:v>Rp_PM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'Ampl noRyR'!$K$2:$K$6</c:f>
              <c:numCache>
                <c:formatCode>0.0000</c:formatCode>
                <c:ptCount val="5"/>
                <c:pt idx="0">
                  <c:v>0.5</c:v>
                </c:pt>
                <c:pt idx="1">
                  <c:v>0.7142857142857143</c:v>
                </c:pt>
                <c:pt idx="2">
                  <c:v>1</c:v>
                </c:pt>
                <c:pt idx="3">
                  <c:v>1.4285714285714286</c:v>
                </c:pt>
                <c:pt idx="4">
                  <c:v>2</c:v>
                </c:pt>
              </c:numCache>
            </c:numRef>
          </c:xVal>
          <c:yVal>
            <c:numRef>
              <c:f>'Ampl noRyR'!$L$2:$L$6</c:f>
              <c:numCache>
                <c:formatCode>General</c:formatCode>
                <c:ptCount val="5"/>
                <c:pt idx="0">
                  <c:v>4.4539999999999997</c:v>
                </c:pt>
                <c:pt idx="1">
                  <c:v>4.1470000000000002</c:v>
                </c:pt>
                <c:pt idx="2">
                  <c:v>3.7789999999999999</c:v>
                </c:pt>
                <c:pt idx="3">
                  <c:v>3.2629999999999999</c:v>
                </c:pt>
                <c:pt idx="4">
                  <c:v>2.5350000000000001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A6-214A-AB92-21B0A289FE63}"/>
            </c:ext>
          </c:extLst>
        </c:ser>
        <c:ser>
          <c:idx val="6"/>
          <c:order val="6"/>
          <c:tx>
            <c:v>RpS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'Ampl noRyR'!$M$2:$M$5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'Ampl noRyR'!$N$2:$N$5</c:f>
              <c:numCache>
                <c:formatCode>General</c:formatCode>
                <c:ptCount val="4"/>
                <c:pt idx="0">
                  <c:v>4.0640000000000001</c:v>
                </c:pt>
                <c:pt idx="1">
                  <c:v>3.7789999999999999</c:v>
                </c:pt>
                <c:pt idx="2">
                  <c:v>3.5960000000000001</c:v>
                </c:pt>
                <c:pt idx="3">
                  <c:v>3.4510000000000001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A6-214A-AB92-21B0A289FE63}"/>
            </c:ext>
          </c:extLst>
        </c:ser>
        <c:ser>
          <c:idx val="7"/>
          <c:order val="7"/>
          <c:tx>
            <c:v>kbCf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'Ampl noRyR'!$O$2:$O$5</c:f>
              <c:numCache>
                <c:formatCode>0.0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1.5000000000000002</c:v>
                </c:pt>
                <c:pt idx="3">
                  <c:v>2</c:v>
                </c:pt>
              </c:numCache>
            </c:numRef>
          </c:xVal>
          <c:yVal>
            <c:numRef>
              <c:f>'Ampl noRyR'!$P$2:$P$5</c:f>
              <c:numCache>
                <c:formatCode>General</c:formatCode>
                <c:ptCount val="4"/>
                <c:pt idx="0">
                  <c:v>4.4370000000000003</c:v>
                </c:pt>
                <c:pt idx="1">
                  <c:v>3.7789999999999999</c:v>
                </c:pt>
                <c:pt idx="2">
                  <c:v>3.4020000000000001</c:v>
                </c:pt>
                <c:pt idx="3">
                  <c:v>3.1429999999999998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A6-214A-AB92-21B0A289FE63}"/>
            </c:ext>
          </c:extLst>
        </c:ser>
        <c:ser>
          <c:idx val="8"/>
          <c:order val="8"/>
          <c:tx>
            <c:v>rmIf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'Ampl noRyR'!$Q$2:$Q$6</c:f>
              <c:numCache>
                <c:formatCode>0.00</c:formatCode>
                <c:ptCount val="5"/>
                <c:pt idx="0">
                  <c:v>0.5</c:v>
                </c:pt>
                <c:pt idx="1">
                  <c:v>0.75000000000000011</c:v>
                </c:pt>
                <c:pt idx="2">
                  <c:v>1</c:v>
                </c:pt>
                <c:pt idx="3">
                  <c:v>1.5000000000000002</c:v>
                </c:pt>
                <c:pt idx="4">
                  <c:v>2</c:v>
                </c:pt>
              </c:numCache>
            </c:numRef>
          </c:xVal>
          <c:yVal>
            <c:numRef>
              <c:f>'Ampl noRyR'!$R$2:$R$6</c:f>
              <c:numCache>
                <c:formatCode>General</c:formatCode>
                <c:ptCount val="5"/>
                <c:pt idx="0">
                  <c:v>2.113</c:v>
                </c:pt>
                <c:pt idx="1">
                  <c:v>3.1139999999999999</c:v>
                </c:pt>
                <c:pt idx="2">
                  <c:v>3.7789999999999999</c:v>
                </c:pt>
                <c:pt idx="3">
                  <c:v>4.5090000000000003</c:v>
                </c:pt>
                <c:pt idx="4">
                  <c:v>4.8650000000000002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A6-214A-AB92-21B0A289FE63}"/>
            </c:ext>
          </c:extLst>
        </c:ser>
        <c:ser>
          <c:idx val="9"/>
          <c:order val="9"/>
          <c:tx>
            <c:v>rIg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'Ampl noRyR'!$U$2:$U$6</c:f>
              <c:numCache>
                <c:formatCode>0.00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'Ampl noRyR'!$V$2:$V$6</c:f>
              <c:numCache>
                <c:formatCode>General</c:formatCode>
                <c:ptCount val="5"/>
                <c:pt idx="0">
                  <c:v>3.6909999999999998</c:v>
                </c:pt>
                <c:pt idx="1">
                  <c:v>3.919</c:v>
                </c:pt>
                <c:pt idx="2">
                  <c:v>3.7789999999999999</c:v>
                </c:pt>
                <c:pt idx="3">
                  <c:v>3.383</c:v>
                </c:pt>
                <c:pt idx="4">
                  <c:v>3.032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A6-214A-AB92-21B0A289FE63}"/>
            </c:ext>
          </c:extLst>
        </c:ser>
        <c:ser>
          <c:idx val="10"/>
          <c:order val="10"/>
          <c:tx>
            <c:v>Ce0</c:v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'Ampl noRyR'!$W$2:$W$10</c:f>
              <c:numCache>
                <c:formatCode>General</c:formatCode>
                <c:ptCount val="9"/>
                <c:pt idx="0">
                  <c:v>0.67858916999999996</c:v>
                </c:pt>
                <c:pt idx="1">
                  <c:v>0.77223050000000004</c:v>
                </c:pt>
                <c:pt idx="2">
                  <c:v>0.89369100999999995</c:v>
                </c:pt>
                <c:pt idx="3">
                  <c:v>1</c:v>
                </c:pt>
                <c:pt idx="4">
                  <c:v>1.09488326</c:v>
                </c:pt>
                <c:pt idx="5">
                  <c:v>1.18082464</c:v>
                </c:pt>
                <c:pt idx="6">
                  <c:v>1.28191754</c:v>
                </c:pt>
                <c:pt idx="7">
                  <c:v>1.3782911099999999</c:v>
                </c:pt>
                <c:pt idx="8">
                  <c:v>1.4110779899999999</c:v>
                </c:pt>
              </c:numCache>
            </c:numRef>
          </c:xVal>
          <c:yVal>
            <c:numRef>
              <c:f>'Ampl noRyR'!$X$2:$X$10</c:f>
              <c:numCache>
                <c:formatCode>General</c:formatCode>
                <c:ptCount val="9"/>
                <c:pt idx="0">
                  <c:v>2.5950000000000002</c:v>
                </c:pt>
                <c:pt idx="1">
                  <c:v>3.032</c:v>
                </c:pt>
                <c:pt idx="2">
                  <c:v>3.452</c:v>
                </c:pt>
                <c:pt idx="3">
                  <c:v>3.7789999999999999</c:v>
                </c:pt>
                <c:pt idx="4">
                  <c:v>4.0629999999999997</c:v>
                </c:pt>
                <c:pt idx="5">
                  <c:v>4.3209999999999997</c:v>
                </c:pt>
                <c:pt idx="6">
                  <c:v>4.6340000000000003</c:v>
                </c:pt>
                <c:pt idx="7">
                  <c:v>4.9630000000000001</c:v>
                </c:pt>
                <c:pt idx="8">
                  <c:v>5.1269999999999998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A6-214A-AB92-21B0A289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307024"/>
        <c:axId val="1142918160"/>
      </c:scatterChart>
      <c:valAx>
        <c:axId val="1092307024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18160"/>
        <c:crosses val="autoZero"/>
        <c:crossBetween val="midCat"/>
      </c:valAx>
      <c:valAx>
        <c:axId val="114291816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0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50800</xdr:rowOff>
    </xdr:from>
    <xdr:to>
      <xdr:col>11</xdr:col>
      <xdr:colOff>12700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6549C-39FB-8A59-50A2-D793E2E9C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12700</xdr:rowOff>
    </xdr:from>
    <xdr:to>
      <xdr:col>11</xdr:col>
      <xdr:colOff>12700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69EE3-61F0-6286-0596-5714FBAD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0</xdr:rowOff>
    </xdr:from>
    <xdr:to>
      <xdr:col>11</xdr:col>
      <xdr:colOff>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C1573-6CB3-9236-52B9-34D65C2DA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12700</xdr:rowOff>
    </xdr:from>
    <xdr:to>
      <xdr:col>10</xdr:col>
      <xdr:colOff>647700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6707A-5E26-176E-02F1-9BD4E5A1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06F5-43B0-414F-B2A6-124282D63ACB}">
  <dimension ref="A1:X10"/>
  <sheetViews>
    <sheetView workbookViewId="0">
      <selection activeCell="I4" sqref="I4"/>
    </sheetView>
  </sheetViews>
  <sheetFormatPr baseColWidth="10" defaultRowHeight="16" x14ac:dyDescent="0.2"/>
  <cols>
    <col min="1" max="26" width="8.83203125" customWidth="1"/>
  </cols>
  <sheetData>
    <row r="1" spans="1:24" s="22" customFormat="1" x14ac:dyDescent="0.2">
      <c r="A1" s="22" t="s">
        <v>12</v>
      </c>
      <c r="B1" s="22" t="s">
        <v>1</v>
      </c>
      <c r="C1" s="22" t="s">
        <v>3</v>
      </c>
      <c r="D1" s="22" t="s">
        <v>1</v>
      </c>
      <c r="E1" s="23" t="s">
        <v>0</v>
      </c>
      <c r="F1" s="22" t="s">
        <v>1</v>
      </c>
      <c r="G1" s="22" t="s">
        <v>4</v>
      </c>
      <c r="H1" s="22" t="s">
        <v>1</v>
      </c>
      <c r="I1" s="22" t="s">
        <v>5</v>
      </c>
      <c r="J1" s="22" t="s">
        <v>1</v>
      </c>
      <c r="K1" s="22" t="s">
        <v>6</v>
      </c>
      <c r="L1" s="22" t="s">
        <v>1</v>
      </c>
      <c r="M1" s="22" t="s">
        <v>7</v>
      </c>
      <c r="N1" s="22" t="s">
        <v>1</v>
      </c>
      <c r="O1" s="22" t="s">
        <v>8</v>
      </c>
      <c r="P1" s="22" t="s">
        <v>1</v>
      </c>
      <c r="Q1" s="22" t="s">
        <v>9</v>
      </c>
      <c r="R1" s="22" t="s">
        <v>1</v>
      </c>
      <c r="S1" s="29" t="s">
        <v>10</v>
      </c>
      <c r="T1" s="29" t="s">
        <v>1</v>
      </c>
      <c r="U1" s="22" t="s">
        <v>11</v>
      </c>
      <c r="V1" s="22" t="s">
        <v>1</v>
      </c>
      <c r="W1" s="22" t="s">
        <v>13</v>
      </c>
      <c r="X1" s="22" t="s">
        <v>1</v>
      </c>
    </row>
    <row r="2" spans="1:24" x14ac:dyDescent="0.2">
      <c r="A2" s="1">
        <f>1.5/5</f>
        <v>0.3</v>
      </c>
      <c r="B2" s="3">
        <v>165.9</v>
      </c>
      <c r="C2" s="8">
        <f>2.5/5</f>
        <v>0.5</v>
      </c>
      <c r="D2" s="3">
        <v>176.1</v>
      </c>
      <c r="E2" s="10">
        <v>0.1333</v>
      </c>
      <c r="F2" s="3">
        <v>54.64</v>
      </c>
      <c r="G2" s="9">
        <f>0.1/0.6</f>
        <v>0.16666666666666669</v>
      </c>
      <c r="H2" s="4">
        <v>170</v>
      </c>
      <c r="I2" s="13">
        <v>0.04</v>
      </c>
      <c r="J2" s="14">
        <v>165</v>
      </c>
      <c r="K2" s="16">
        <f>7/14</f>
        <v>0.5</v>
      </c>
      <c r="L2">
        <v>201.9</v>
      </c>
      <c r="M2" s="18">
        <v>0.8</v>
      </c>
      <c r="N2" s="3">
        <v>188.2</v>
      </c>
      <c r="O2" s="14">
        <f>0.95/1.9</f>
        <v>0.5</v>
      </c>
      <c r="P2" s="3">
        <v>197.7</v>
      </c>
      <c r="Q2" s="1">
        <f>0.35/1.4</f>
        <v>0.25</v>
      </c>
      <c r="R2">
        <v>164.7</v>
      </c>
      <c r="S2" s="30">
        <f>0</f>
        <v>0</v>
      </c>
      <c r="T2" s="39">
        <v>171.7</v>
      </c>
      <c r="U2" s="1">
        <f>35/70</f>
        <v>0.5</v>
      </c>
      <c r="V2">
        <v>168.9</v>
      </c>
      <c r="W2">
        <v>0.77332669818362787</v>
      </c>
      <c r="X2" s="3">
        <v>117.5</v>
      </c>
    </row>
    <row r="3" spans="1:24" x14ac:dyDescent="0.2">
      <c r="A3" s="1">
        <f>2.5/5</f>
        <v>0.5</v>
      </c>
      <c r="B3" s="4">
        <v>167</v>
      </c>
      <c r="C3" s="8">
        <f>1</f>
        <v>1</v>
      </c>
      <c r="D3" s="5">
        <v>171.6</v>
      </c>
      <c r="E3" s="10">
        <v>0.33329999999999999</v>
      </c>
      <c r="F3" s="3">
        <v>92.39</v>
      </c>
      <c r="G3" s="9">
        <f>0.3/0.6</f>
        <v>0.5</v>
      </c>
      <c r="H3" s="3">
        <v>176.3</v>
      </c>
      <c r="I3" s="13">
        <v>0.2</v>
      </c>
      <c r="J3" s="3">
        <v>165.4</v>
      </c>
      <c r="K3" s="16">
        <f>10/14</f>
        <v>0.7142857142857143</v>
      </c>
      <c r="L3" s="3">
        <v>188.5</v>
      </c>
      <c r="M3" s="18">
        <v>1</v>
      </c>
      <c r="N3" s="11">
        <v>171.6</v>
      </c>
      <c r="O3" s="14">
        <f>1</f>
        <v>1</v>
      </c>
      <c r="P3" s="11">
        <v>171.6</v>
      </c>
      <c r="Q3" s="1">
        <f>0.7/1.4</f>
        <v>0.5</v>
      </c>
      <c r="R3" s="3">
        <v>165.7</v>
      </c>
      <c r="S3" s="32">
        <f>1</f>
        <v>1</v>
      </c>
      <c r="T3" s="40">
        <v>171.6</v>
      </c>
      <c r="U3" s="1">
        <f>1</f>
        <v>1</v>
      </c>
      <c r="V3" s="11">
        <v>171.6</v>
      </c>
      <c r="W3">
        <v>0.89474993779547163</v>
      </c>
      <c r="X3" s="3">
        <v>146.69999999999999</v>
      </c>
    </row>
    <row r="4" spans="1:24" x14ac:dyDescent="0.2">
      <c r="A4" s="1">
        <f>1</f>
        <v>1</v>
      </c>
      <c r="B4" s="5">
        <v>171.6</v>
      </c>
      <c r="C4" s="8">
        <f>7.5/5</f>
        <v>1.5</v>
      </c>
      <c r="D4" s="3">
        <v>167.3</v>
      </c>
      <c r="E4" s="10">
        <v>0.66669999999999996</v>
      </c>
      <c r="F4" s="4">
        <v>127</v>
      </c>
      <c r="G4" s="9">
        <f>0.45/0.6</f>
        <v>0.75</v>
      </c>
      <c r="H4" s="3">
        <v>174.8</v>
      </c>
      <c r="I4" s="13">
        <v>0.7</v>
      </c>
      <c r="J4" s="3">
        <v>168.1</v>
      </c>
      <c r="K4" s="16">
        <f>1</f>
        <v>1</v>
      </c>
      <c r="L4" s="11">
        <v>171.6</v>
      </c>
      <c r="M4" s="18">
        <v>1.5</v>
      </c>
      <c r="N4" s="3">
        <v>146.6</v>
      </c>
      <c r="O4" s="14">
        <f>2.85/1.9</f>
        <v>1.5000000000000002</v>
      </c>
      <c r="P4" s="3">
        <v>146.4</v>
      </c>
      <c r="Q4" s="1">
        <f>1</f>
        <v>1</v>
      </c>
      <c r="R4" s="11">
        <v>171.6</v>
      </c>
      <c r="S4" s="32">
        <f>0.94/0.0943</f>
        <v>9.9681866383881221</v>
      </c>
      <c r="T4" s="39">
        <v>171.1</v>
      </c>
      <c r="U4" s="1">
        <f>140/70</f>
        <v>2</v>
      </c>
      <c r="V4" s="3">
        <v>174.8</v>
      </c>
      <c r="W4">
        <v>1</v>
      </c>
      <c r="X4" s="11">
        <v>171.6</v>
      </c>
    </row>
    <row r="5" spans="1:24" x14ac:dyDescent="0.2">
      <c r="A5" s="1">
        <f>7.5/5</f>
        <v>1.5</v>
      </c>
      <c r="B5" s="3">
        <v>174.7</v>
      </c>
      <c r="C5" s="8">
        <f>11/5</f>
        <v>2.2000000000000002</v>
      </c>
      <c r="D5" s="3">
        <v>161.5</v>
      </c>
      <c r="E5" s="10">
        <v>1</v>
      </c>
      <c r="F5" s="11">
        <v>171.6</v>
      </c>
      <c r="G5" s="9">
        <v>1</v>
      </c>
      <c r="H5" s="11">
        <v>171.6</v>
      </c>
      <c r="I5" s="13">
        <v>1</v>
      </c>
      <c r="J5" s="11">
        <v>171.6</v>
      </c>
      <c r="K5" s="16">
        <f>20/14</f>
        <v>1.4285714285714286</v>
      </c>
      <c r="L5" s="3">
        <v>148.19999999999999</v>
      </c>
      <c r="M5" s="18">
        <v>2</v>
      </c>
      <c r="N5" s="3">
        <v>130.80000000000001</v>
      </c>
      <c r="O5" s="14">
        <f>3.8/1.9</f>
        <v>2</v>
      </c>
      <c r="P5" s="3">
        <v>126.7</v>
      </c>
      <c r="Q5" s="1">
        <f>2.8/1.4</f>
        <v>2</v>
      </c>
      <c r="R5" s="3">
        <v>188.3</v>
      </c>
      <c r="S5" s="19"/>
      <c r="W5">
        <v>1.0935556108484699</v>
      </c>
      <c r="X5" s="3">
        <v>192.3</v>
      </c>
    </row>
    <row r="6" spans="1:24" x14ac:dyDescent="0.2">
      <c r="A6" s="2">
        <f>10/5</f>
        <v>2</v>
      </c>
      <c r="B6" s="6">
        <v>179.4</v>
      </c>
      <c r="C6" s="8">
        <f>15/5</f>
        <v>3</v>
      </c>
      <c r="D6" s="3">
        <v>155.4</v>
      </c>
      <c r="E6" s="10">
        <v>1.3332999999999999</v>
      </c>
      <c r="F6" s="3">
        <v>225.9</v>
      </c>
      <c r="G6" s="9">
        <f>0.8/0.6</f>
        <v>1.3333333333333335</v>
      </c>
      <c r="H6" s="3">
        <v>166.1</v>
      </c>
      <c r="I6" s="13">
        <v>1.5</v>
      </c>
      <c r="J6" s="3">
        <v>179.6</v>
      </c>
      <c r="K6" s="16">
        <f>28/14</f>
        <v>2</v>
      </c>
      <c r="L6" s="3">
        <v>122.3</v>
      </c>
      <c r="W6">
        <v>1.1769096790246332</v>
      </c>
      <c r="X6" s="3">
        <v>210.1</v>
      </c>
    </row>
    <row r="7" spans="1:24" x14ac:dyDescent="0.2">
      <c r="A7" s="2">
        <f>12.5/5</f>
        <v>2.5</v>
      </c>
      <c r="B7" s="4">
        <v>184</v>
      </c>
      <c r="C7" s="4"/>
      <c r="D7" s="4"/>
      <c r="E7" s="10">
        <v>1.6667000000000001</v>
      </c>
      <c r="F7" s="3">
        <v>273.8</v>
      </c>
      <c r="G7" s="9">
        <f>1/0.6</f>
        <v>1.6666666666666667</v>
      </c>
      <c r="H7" s="3">
        <v>159.69999999999999</v>
      </c>
      <c r="I7" s="13">
        <v>2</v>
      </c>
      <c r="J7" s="3">
        <v>188.4</v>
      </c>
      <c r="K7" s="15"/>
      <c r="L7" s="3"/>
      <c r="W7">
        <v>1.2722070166708137</v>
      </c>
      <c r="X7" s="3">
        <v>236.9</v>
      </c>
    </row>
    <row r="8" spans="1:24" x14ac:dyDescent="0.2">
      <c r="A8" s="2">
        <f>15/5</f>
        <v>3</v>
      </c>
      <c r="B8" s="3">
        <v>190.5</v>
      </c>
      <c r="C8" s="3"/>
      <c r="D8" s="3"/>
      <c r="E8" s="10">
        <v>2</v>
      </c>
      <c r="F8" s="3">
        <v>315.8</v>
      </c>
    </row>
    <row r="9" spans="1:24" x14ac:dyDescent="0.2">
      <c r="E9" s="10">
        <v>2.6667000000000001</v>
      </c>
      <c r="F9" s="3">
        <v>387.6</v>
      </c>
    </row>
    <row r="10" spans="1:24" x14ac:dyDescent="0.2">
      <c r="E10" s="10">
        <v>3.3332999999999999</v>
      </c>
      <c r="F10" s="3">
        <v>448.2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8D7F-3BA4-534B-9DA6-DA71F4BB02C2}">
  <dimension ref="A1:X10"/>
  <sheetViews>
    <sheetView workbookViewId="0">
      <selection activeCell="U3" sqref="U3"/>
    </sheetView>
  </sheetViews>
  <sheetFormatPr baseColWidth="10" defaultRowHeight="16" x14ac:dyDescent="0.2"/>
  <cols>
    <col min="1" max="26" width="8.83203125" customWidth="1"/>
  </cols>
  <sheetData>
    <row r="1" spans="1:24" s="22" customFormat="1" x14ac:dyDescent="0.2">
      <c r="A1" s="22" t="s">
        <v>12</v>
      </c>
      <c r="B1" s="22" t="s">
        <v>2</v>
      </c>
      <c r="C1" s="22" t="s">
        <v>3</v>
      </c>
      <c r="D1" s="22" t="s">
        <v>2</v>
      </c>
      <c r="E1" s="22" t="s">
        <v>0</v>
      </c>
      <c r="F1" s="22" t="s">
        <v>2</v>
      </c>
      <c r="G1" s="22" t="s">
        <v>4</v>
      </c>
      <c r="H1" s="22" t="s">
        <v>2</v>
      </c>
      <c r="I1" s="22" t="s">
        <v>5</v>
      </c>
      <c r="J1" s="22" t="s">
        <v>2</v>
      </c>
      <c r="K1" s="22" t="s">
        <v>6</v>
      </c>
      <c r="L1" s="22" t="s">
        <v>2</v>
      </c>
      <c r="M1" s="22" t="s">
        <v>7</v>
      </c>
      <c r="N1" s="22" t="s">
        <v>2</v>
      </c>
      <c r="O1" s="22" t="s">
        <v>8</v>
      </c>
      <c r="P1" s="22" t="s">
        <v>2</v>
      </c>
      <c r="Q1" s="22" t="s">
        <v>9</v>
      </c>
      <c r="R1" s="22" t="s">
        <v>2</v>
      </c>
      <c r="S1" s="29" t="s">
        <v>10</v>
      </c>
      <c r="T1" s="29" t="s">
        <v>2</v>
      </c>
      <c r="U1" s="22" t="s">
        <v>11</v>
      </c>
      <c r="V1" s="22" t="s">
        <v>2</v>
      </c>
      <c r="W1" s="22" t="s">
        <v>13</v>
      </c>
      <c r="X1" s="22" t="s">
        <v>2</v>
      </c>
    </row>
    <row r="2" spans="1:24" x14ac:dyDescent="0.2">
      <c r="A2" s="1">
        <f>1.5/5</f>
        <v>0.3</v>
      </c>
      <c r="B2" s="7">
        <v>11.8</v>
      </c>
      <c r="C2" s="24">
        <f>2.5/5</f>
        <v>0.5</v>
      </c>
      <c r="D2" s="3">
        <v>12.33</v>
      </c>
      <c r="E2" s="9">
        <f>0.04/0.3</f>
        <v>0.13333333333333333</v>
      </c>
      <c r="F2" s="3">
        <v>15.42</v>
      </c>
      <c r="G2" s="9">
        <f>0.1/0.6</f>
        <v>0.16666666666666669</v>
      </c>
      <c r="H2">
        <v>11.52</v>
      </c>
      <c r="I2" s="13">
        <v>0.04</v>
      </c>
      <c r="J2">
        <v>11.52</v>
      </c>
      <c r="K2" s="16">
        <f>7/14</f>
        <v>0.5</v>
      </c>
      <c r="L2">
        <v>13.08</v>
      </c>
      <c r="M2" s="8">
        <f>3000/4000</f>
        <v>0.75</v>
      </c>
      <c r="N2" s="3">
        <v>12.13</v>
      </c>
      <c r="O2" s="14">
        <f>0.95/1.9</f>
        <v>0.5</v>
      </c>
      <c r="P2" s="3">
        <v>14.58</v>
      </c>
      <c r="Q2" s="1">
        <f>0.35/1.4</f>
        <v>0.25</v>
      </c>
      <c r="R2" s="1">
        <v>11.5</v>
      </c>
      <c r="S2" s="30">
        <f>0</f>
        <v>0</v>
      </c>
      <c r="T2" s="39">
        <v>11.92</v>
      </c>
      <c r="U2" s="1">
        <f>35/70</f>
        <v>0.5</v>
      </c>
      <c r="V2">
        <v>11.88</v>
      </c>
      <c r="W2">
        <v>0.77332669818362787</v>
      </c>
      <c r="X2" s="3">
        <v>8.0719999999999992</v>
      </c>
    </row>
    <row r="3" spans="1:24" x14ac:dyDescent="0.2">
      <c r="A3" s="1">
        <f>2.5/5</f>
        <v>0.5</v>
      </c>
      <c r="B3" s="3">
        <v>11.79</v>
      </c>
      <c r="C3" s="24">
        <f>1</f>
        <v>1</v>
      </c>
      <c r="D3" s="5">
        <v>11.91</v>
      </c>
      <c r="E3" s="9">
        <f>0.1/0.3</f>
        <v>0.33333333333333337</v>
      </c>
      <c r="F3" s="3">
        <v>14.33</v>
      </c>
      <c r="G3" s="9">
        <f>0.3/0.6</f>
        <v>0.5</v>
      </c>
      <c r="H3" s="3">
        <v>11.61</v>
      </c>
      <c r="I3" s="13">
        <v>0.2</v>
      </c>
      <c r="J3" s="3">
        <v>11.61</v>
      </c>
      <c r="K3" s="16">
        <f>10/14</f>
        <v>0.7142857142857143</v>
      </c>
      <c r="L3" s="3">
        <v>12.57</v>
      </c>
      <c r="M3" s="8">
        <f>1</f>
        <v>1</v>
      </c>
      <c r="N3" s="11">
        <v>11.91</v>
      </c>
      <c r="O3" s="14">
        <f>1</f>
        <v>1</v>
      </c>
      <c r="P3" s="11">
        <v>11.91</v>
      </c>
      <c r="Q3" s="1">
        <f>0.7/1.4</f>
        <v>0.5</v>
      </c>
      <c r="R3" s="3">
        <v>11.58</v>
      </c>
      <c r="S3" s="32">
        <f>1</f>
        <v>1</v>
      </c>
      <c r="T3" s="40">
        <v>11.91</v>
      </c>
      <c r="U3" s="1">
        <f>1</f>
        <v>1</v>
      </c>
      <c r="V3" s="11">
        <v>11.91</v>
      </c>
      <c r="W3">
        <v>0.89474993779547163</v>
      </c>
      <c r="X3" s="3">
        <v>10.130000000000001</v>
      </c>
    </row>
    <row r="4" spans="1:24" x14ac:dyDescent="0.2">
      <c r="A4" s="1">
        <f>1</f>
        <v>1</v>
      </c>
      <c r="B4" s="5">
        <v>11.91</v>
      </c>
      <c r="C4" s="24">
        <f>7.5/5</f>
        <v>1.5</v>
      </c>
      <c r="D4" s="3">
        <v>11.52</v>
      </c>
      <c r="E4" s="9">
        <f>0.2/0.3</f>
        <v>0.66666666666666674</v>
      </c>
      <c r="F4" s="3">
        <v>12.83</v>
      </c>
      <c r="G4" s="9">
        <f>0.45/0.6</f>
        <v>0.75</v>
      </c>
      <c r="H4" s="3">
        <v>11.78</v>
      </c>
      <c r="I4" s="13">
        <v>0.7</v>
      </c>
      <c r="J4" s="3">
        <v>11.78</v>
      </c>
      <c r="K4" s="16">
        <f>1</f>
        <v>1</v>
      </c>
      <c r="L4" s="11">
        <v>11.91</v>
      </c>
      <c r="M4" s="8">
        <f>6000/4000</f>
        <v>1.5</v>
      </c>
      <c r="N4" s="3">
        <v>11.47</v>
      </c>
      <c r="O4" s="14">
        <f>2.85/1.9</f>
        <v>1.5000000000000002</v>
      </c>
      <c r="P4" s="3">
        <v>10.210000000000001</v>
      </c>
      <c r="Q4" s="1">
        <f>1</f>
        <v>1</v>
      </c>
      <c r="R4" s="11">
        <v>11.91</v>
      </c>
      <c r="S4" s="32">
        <f>0.94/0.0943</f>
        <v>9.9681866383881221</v>
      </c>
      <c r="T4" s="39">
        <v>11.88</v>
      </c>
      <c r="U4" s="1">
        <f>140/70</f>
        <v>2</v>
      </c>
      <c r="V4" s="7">
        <v>11.9</v>
      </c>
      <c r="W4">
        <v>1</v>
      </c>
      <c r="X4" s="11">
        <v>11.91</v>
      </c>
    </row>
    <row r="5" spans="1:24" x14ac:dyDescent="0.2">
      <c r="A5" s="1">
        <f>7.5/5</f>
        <v>1.5</v>
      </c>
      <c r="B5" s="3">
        <v>11.91</v>
      </c>
      <c r="C5" s="24">
        <f>11/5</f>
        <v>2.2000000000000002</v>
      </c>
      <c r="D5" s="3">
        <v>11.03</v>
      </c>
      <c r="E5" s="9">
        <v>1</v>
      </c>
      <c r="F5" s="11">
        <v>11.91</v>
      </c>
      <c r="G5" s="9">
        <v>1</v>
      </c>
      <c r="H5" s="11">
        <v>11.91</v>
      </c>
      <c r="I5" s="13">
        <v>1</v>
      </c>
      <c r="J5" s="11">
        <v>11.91</v>
      </c>
      <c r="K5" s="16">
        <f>20/14</f>
        <v>1.4285714285714286</v>
      </c>
      <c r="L5" s="3">
        <v>10.98</v>
      </c>
      <c r="M5" s="8">
        <f>8000/4000</f>
        <v>2</v>
      </c>
      <c r="N5" s="3">
        <v>11.14</v>
      </c>
      <c r="O5" s="14">
        <f>3.8/1.9</f>
        <v>2</v>
      </c>
      <c r="P5" s="3">
        <v>8.9380000000000006</v>
      </c>
      <c r="Q5" s="1">
        <f>2.8/1.4</f>
        <v>2</v>
      </c>
      <c r="R5" s="3">
        <v>12.47</v>
      </c>
      <c r="S5" s="19"/>
      <c r="W5">
        <v>1.0935556108484699</v>
      </c>
      <c r="X5" s="3">
        <v>13.51</v>
      </c>
    </row>
    <row r="6" spans="1:24" x14ac:dyDescent="0.2">
      <c r="A6" s="2">
        <f>10/5</f>
        <v>2</v>
      </c>
      <c r="B6" s="6">
        <v>11.99</v>
      </c>
      <c r="C6" s="24">
        <f>15/5</f>
        <v>3</v>
      </c>
      <c r="D6" s="3">
        <v>10.51</v>
      </c>
      <c r="E6" s="9">
        <f>0.4/0.3</f>
        <v>1.3333333333333335</v>
      </c>
      <c r="F6" s="3">
        <v>11.27</v>
      </c>
      <c r="G6" s="9">
        <f>0.8/0.6</f>
        <v>1.3333333333333335</v>
      </c>
      <c r="H6" s="3">
        <v>12.13</v>
      </c>
      <c r="I6" s="13">
        <v>1.5</v>
      </c>
      <c r="J6" s="3">
        <v>12.13</v>
      </c>
      <c r="K6" s="16">
        <f>28/14</f>
        <v>2</v>
      </c>
      <c r="L6" s="17">
        <v>9.6999999999999993</v>
      </c>
      <c r="W6">
        <v>1.1769096790246332</v>
      </c>
      <c r="X6" s="3">
        <v>14.95</v>
      </c>
    </row>
    <row r="7" spans="1:24" x14ac:dyDescent="0.2">
      <c r="A7" s="2">
        <f>12.5/5</f>
        <v>2.5</v>
      </c>
      <c r="B7" s="3">
        <v>12.03</v>
      </c>
      <c r="C7" s="4"/>
      <c r="D7" s="3"/>
      <c r="E7" s="9">
        <f>0.5/0.3</f>
        <v>1.6666666666666667</v>
      </c>
      <c r="F7" s="3">
        <v>10.89</v>
      </c>
      <c r="G7" s="9">
        <f>1/0.6</f>
        <v>1.6666666666666667</v>
      </c>
      <c r="H7" s="3">
        <v>12.33</v>
      </c>
      <c r="I7" s="13">
        <v>2</v>
      </c>
      <c r="J7" s="3">
        <v>12.33</v>
      </c>
      <c r="K7" s="13"/>
      <c r="L7" s="3"/>
      <c r="W7">
        <v>1.2722070166708137</v>
      </c>
      <c r="X7" s="3">
        <v>16.66</v>
      </c>
    </row>
    <row r="8" spans="1:24" x14ac:dyDescent="0.2">
      <c r="A8" s="2">
        <f>15/5</f>
        <v>3</v>
      </c>
      <c r="B8" s="3">
        <v>12.11</v>
      </c>
      <c r="C8" s="3"/>
      <c r="D8" s="3"/>
      <c r="E8" s="9">
        <f>0.6/0.3</f>
        <v>2</v>
      </c>
      <c r="F8" s="7">
        <v>10.7</v>
      </c>
    </row>
    <row r="9" spans="1:24" x14ac:dyDescent="0.2">
      <c r="E9" s="9">
        <f>0.8/0.3</f>
        <v>2.666666666666667</v>
      </c>
      <c r="F9" s="3">
        <v>10.47</v>
      </c>
    </row>
    <row r="10" spans="1:24" x14ac:dyDescent="0.2">
      <c r="E10" s="9">
        <f>1/0.3</f>
        <v>3.3333333333333335</v>
      </c>
      <c r="F10" s="3">
        <v>10.34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53DA-3732-E849-982D-1254583DDA44}">
  <dimension ref="A1:X10"/>
  <sheetViews>
    <sheetView tabSelected="1" workbookViewId="0">
      <selection activeCell="M20" sqref="M20"/>
    </sheetView>
  </sheetViews>
  <sheetFormatPr baseColWidth="10" defaultRowHeight="16" x14ac:dyDescent="0.2"/>
  <cols>
    <col min="1" max="26" width="8.83203125" customWidth="1"/>
  </cols>
  <sheetData>
    <row r="1" spans="1:24" s="22" customFormat="1" x14ac:dyDescent="0.2">
      <c r="A1" s="22" t="s">
        <v>12</v>
      </c>
      <c r="B1" s="22" t="s">
        <v>1</v>
      </c>
      <c r="C1" s="22" t="s">
        <v>3</v>
      </c>
      <c r="D1" s="22" t="s">
        <v>1</v>
      </c>
      <c r="E1" s="23" t="s">
        <v>0</v>
      </c>
      <c r="F1" s="22" t="s">
        <v>1</v>
      </c>
      <c r="G1" s="22" t="s">
        <v>4</v>
      </c>
      <c r="H1" s="22" t="s">
        <v>1</v>
      </c>
      <c r="I1" s="22" t="s">
        <v>5</v>
      </c>
      <c r="J1" s="22" t="s">
        <v>1</v>
      </c>
      <c r="K1" s="22" t="s">
        <v>6</v>
      </c>
      <c r="L1" s="22" t="s">
        <v>1</v>
      </c>
      <c r="M1" s="22" t="s">
        <v>7</v>
      </c>
      <c r="N1" s="22" t="s">
        <v>1</v>
      </c>
      <c r="O1" s="22" t="s">
        <v>8</v>
      </c>
      <c r="P1" s="22" t="s">
        <v>1</v>
      </c>
      <c r="Q1" s="22" t="s">
        <v>9</v>
      </c>
      <c r="R1" s="22" t="s">
        <v>1</v>
      </c>
      <c r="S1" s="29" t="s">
        <v>10</v>
      </c>
      <c r="T1" s="29" t="s">
        <v>1</v>
      </c>
      <c r="U1" s="22" t="s">
        <v>11</v>
      </c>
      <c r="V1" s="22" t="s">
        <v>1</v>
      </c>
      <c r="W1" s="22" t="s">
        <v>13</v>
      </c>
      <c r="X1" s="22" t="s">
        <v>1</v>
      </c>
    </row>
    <row r="2" spans="1:24" x14ac:dyDescent="0.2">
      <c r="A2" s="21">
        <f>1.5/5</f>
        <v>0.3</v>
      </c>
      <c r="B2" s="3">
        <v>77.09</v>
      </c>
      <c r="C2" s="24">
        <f>2.5/5</f>
        <v>0.5</v>
      </c>
      <c r="D2" s="6">
        <v>80.41</v>
      </c>
      <c r="E2" s="10">
        <v>0.1333</v>
      </c>
      <c r="F2" s="3">
        <v>16.55</v>
      </c>
      <c r="G2" s="9">
        <f>0.1/0.6</f>
        <v>0.16666666666666669</v>
      </c>
      <c r="H2" s="3">
        <v>83.58</v>
      </c>
      <c r="I2" s="15">
        <f>0.02/0.5</f>
        <v>0.04</v>
      </c>
      <c r="J2" s="3">
        <v>13.14</v>
      </c>
      <c r="K2" s="16">
        <f>7/14</f>
        <v>0.5</v>
      </c>
      <c r="L2" s="6">
        <v>90.84</v>
      </c>
      <c r="M2" s="8">
        <f>2000/4000</f>
        <v>0.5</v>
      </c>
      <c r="N2" s="20">
        <v>92.56</v>
      </c>
      <c r="O2" s="14">
        <f>0.95/1.9</f>
        <v>0.5</v>
      </c>
      <c r="P2" s="28">
        <v>87.2</v>
      </c>
      <c r="Q2" s="1">
        <f>0.7/1.4</f>
        <v>0.5</v>
      </c>
      <c r="R2" s="3">
        <v>38.340000000000003</v>
      </c>
      <c r="S2" s="30">
        <f>0</f>
        <v>0</v>
      </c>
      <c r="T2" s="36">
        <v>79.489999999999995</v>
      </c>
      <c r="U2" s="1">
        <f>17.5/70</f>
        <v>0.25</v>
      </c>
      <c r="V2" s="3">
        <v>60.08</v>
      </c>
      <c r="W2" s="27">
        <v>0.67858916999999996</v>
      </c>
      <c r="X2" s="3">
        <v>51.79</v>
      </c>
    </row>
    <row r="3" spans="1:24" x14ac:dyDescent="0.2">
      <c r="A3" s="21">
        <f>2.5/5</f>
        <v>0.5</v>
      </c>
      <c r="B3" s="3">
        <v>77.709999999999994</v>
      </c>
      <c r="C3" s="24">
        <f>1</f>
        <v>1</v>
      </c>
      <c r="D3" s="20">
        <v>79.239999999999995</v>
      </c>
      <c r="E3" s="10">
        <v>0.33329999999999999</v>
      </c>
      <c r="F3" s="3">
        <v>55.03</v>
      </c>
      <c r="G3" s="9">
        <f>0.3/0.6</f>
        <v>0.5</v>
      </c>
      <c r="H3" s="3">
        <v>81.73</v>
      </c>
      <c r="I3" s="15">
        <f>0.1/0.5</f>
        <v>0.2</v>
      </c>
      <c r="J3" s="3">
        <v>40.07</v>
      </c>
      <c r="K3" s="16">
        <f>10/14</f>
        <v>0.7142857142857143</v>
      </c>
      <c r="L3" s="25">
        <v>85.68</v>
      </c>
      <c r="M3" s="8">
        <f>1</f>
        <v>1</v>
      </c>
      <c r="N3" s="20">
        <v>79.239999999999995</v>
      </c>
      <c r="O3" s="14">
        <f>1</f>
        <v>1</v>
      </c>
      <c r="P3" s="26">
        <v>79.239999999999995</v>
      </c>
      <c r="Q3" s="1">
        <f>1.05/1.4</f>
        <v>0.75000000000000011</v>
      </c>
      <c r="R3" s="3">
        <v>63.63</v>
      </c>
      <c r="S3" s="32">
        <f>1</f>
        <v>1</v>
      </c>
      <c r="T3" s="37">
        <v>79.239999999999995</v>
      </c>
      <c r="U3" s="1">
        <f>35/70</f>
        <v>0.5</v>
      </c>
      <c r="V3" s="3">
        <v>71.489999999999995</v>
      </c>
      <c r="W3" s="27">
        <v>0.77223050000000004</v>
      </c>
      <c r="X3">
        <v>62.38</v>
      </c>
    </row>
    <row r="4" spans="1:24" x14ac:dyDescent="0.2">
      <c r="A4" s="21">
        <f>1</f>
        <v>1</v>
      </c>
      <c r="B4" s="20">
        <v>79.239999999999995</v>
      </c>
      <c r="C4" s="24">
        <f>7.5/5</f>
        <v>1.5</v>
      </c>
      <c r="D4" s="6">
        <v>78.099999999999994</v>
      </c>
      <c r="E4" s="10">
        <v>0.66669999999999996</v>
      </c>
      <c r="F4" s="3">
        <v>71.37</v>
      </c>
      <c r="G4" s="9">
        <f>0.45/0.6</f>
        <v>0.75</v>
      </c>
      <c r="H4" s="3">
        <v>80.39</v>
      </c>
      <c r="I4" s="12">
        <f>0.2/0.5</f>
        <v>0.4</v>
      </c>
      <c r="J4" s="3">
        <v>54.8</v>
      </c>
      <c r="K4" s="16">
        <f>1</f>
        <v>1</v>
      </c>
      <c r="L4" s="20">
        <v>79.239999999999995</v>
      </c>
      <c r="M4" s="8">
        <f>6000/4000</f>
        <v>1.5</v>
      </c>
      <c r="N4">
        <v>72.13</v>
      </c>
      <c r="O4" s="14">
        <f>2.85/1.9</f>
        <v>1.5000000000000002</v>
      </c>
      <c r="P4" s="28">
        <v>73.31</v>
      </c>
      <c r="Q4" s="1">
        <f>1</f>
        <v>1</v>
      </c>
      <c r="R4" s="20">
        <v>79.239999999999995</v>
      </c>
      <c r="S4" s="32">
        <f>0.94/0.0943</f>
        <v>9.9681866383881221</v>
      </c>
      <c r="T4" s="38">
        <v>76.97</v>
      </c>
      <c r="U4" s="1">
        <f>1</f>
        <v>1</v>
      </c>
      <c r="V4" s="20">
        <v>79.239999999999995</v>
      </c>
      <c r="W4" s="27">
        <v>0.89369100999999995</v>
      </c>
      <c r="X4">
        <v>72.11</v>
      </c>
    </row>
    <row r="5" spans="1:24" x14ac:dyDescent="0.2">
      <c r="A5" s="21">
        <f>7.5/5</f>
        <v>1.5</v>
      </c>
      <c r="B5" s="3">
        <v>80.88</v>
      </c>
      <c r="C5" s="24">
        <f>11/5</f>
        <v>2.2000000000000002</v>
      </c>
      <c r="D5" s="6">
        <v>76.59</v>
      </c>
      <c r="E5" s="10">
        <v>1</v>
      </c>
      <c r="F5" s="20">
        <v>79.239999999999995</v>
      </c>
      <c r="G5" s="9">
        <v>1</v>
      </c>
      <c r="H5" s="20">
        <v>79.239999999999995</v>
      </c>
      <c r="I5" s="15">
        <f>0.35/0.5</f>
        <v>0.7</v>
      </c>
      <c r="J5" s="3">
        <v>69.02</v>
      </c>
      <c r="K5" s="16">
        <f>20/14</f>
        <v>1.4285714285714286</v>
      </c>
      <c r="L5" s="6">
        <v>69.66</v>
      </c>
      <c r="M5" s="8">
        <f>8000/4000</f>
        <v>2</v>
      </c>
      <c r="N5">
        <v>66.680000000000007</v>
      </c>
      <c r="O5" s="14">
        <f>3.8/1.9</f>
        <v>2</v>
      </c>
      <c r="P5" s="28">
        <v>68.44</v>
      </c>
      <c r="Q5" s="1">
        <f>2.1/1.4</f>
        <v>1.5000000000000002</v>
      </c>
      <c r="R5" s="3">
        <v>98.04</v>
      </c>
      <c r="S5" s="32">
        <f>4.7/0.0943</f>
        <v>49.840933191940621</v>
      </c>
      <c r="T5" s="38">
        <v>67.260000000000005</v>
      </c>
      <c r="U5" s="1">
        <f>140/70</f>
        <v>2</v>
      </c>
      <c r="V5" s="3">
        <v>83.19</v>
      </c>
      <c r="W5" s="27">
        <v>1</v>
      </c>
      <c r="X5" s="20">
        <v>79.239999999999995</v>
      </c>
    </row>
    <row r="6" spans="1:24" x14ac:dyDescent="0.2">
      <c r="A6" s="2">
        <f>10/5</f>
        <v>2</v>
      </c>
      <c r="B6" s="3">
        <v>82.54</v>
      </c>
      <c r="C6" s="24">
        <f>15/5</f>
        <v>3</v>
      </c>
      <c r="D6" s="6">
        <v>74.900000000000006</v>
      </c>
      <c r="E6" s="10">
        <v>1.3332999999999999</v>
      </c>
      <c r="F6" s="3">
        <v>84.32</v>
      </c>
      <c r="G6" s="9">
        <f>0.8/0.6</f>
        <v>1.3333333333333335</v>
      </c>
      <c r="H6" s="3">
        <v>77.95</v>
      </c>
      <c r="I6" s="15">
        <f>1</f>
        <v>1</v>
      </c>
      <c r="J6" s="20">
        <v>79.239999999999995</v>
      </c>
      <c r="K6" s="16">
        <f>28/14</f>
        <v>2</v>
      </c>
      <c r="L6">
        <v>54.74</v>
      </c>
      <c r="Q6" s="1">
        <f>2.8/1.4</f>
        <v>2</v>
      </c>
      <c r="R6" s="6">
        <v>109.8</v>
      </c>
      <c r="U6" s="1">
        <f>280/70</f>
        <v>4</v>
      </c>
      <c r="V6" s="3">
        <v>84.57</v>
      </c>
      <c r="W6" s="27">
        <v>1.09488326</v>
      </c>
      <c r="X6">
        <v>85.18</v>
      </c>
    </row>
    <row r="7" spans="1:24" x14ac:dyDescent="0.2">
      <c r="A7" s="2">
        <f>12.5/5</f>
        <v>2.5</v>
      </c>
      <c r="B7" s="3">
        <v>84.46</v>
      </c>
      <c r="C7" s="4"/>
      <c r="D7" s="4"/>
      <c r="E7" s="10">
        <v>1.6667000000000001</v>
      </c>
      <c r="F7" s="3">
        <v>88.09</v>
      </c>
      <c r="G7" s="9">
        <f>1/0.6</f>
        <v>1.6666666666666667</v>
      </c>
      <c r="H7" s="3">
        <v>76.92</v>
      </c>
      <c r="I7" s="15">
        <f>0.75/0.5</f>
        <v>1.5</v>
      </c>
      <c r="J7" s="3">
        <v>91.78</v>
      </c>
      <c r="K7" s="15"/>
      <c r="L7" s="3"/>
      <c r="V7" s="3"/>
      <c r="W7" s="27">
        <v>1.18082464</v>
      </c>
      <c r="X7">
        <v>90.38</v>
      </c>
    </row>
    <row r="8" spans="1:24" x14ac:dyDescent="0.2">
      <c r="A8" s="21">
        <f>15/5</f>
        <v>3</v>
      </c>
      <c r="B8" s="3">
        <v>86.63</v>
      </c>
      <c r="C8" s="3"/>
      <c r="D8" s="3"/>
      <c r="E8" s="10">
        <v>2</v>
      </c>
      <c r="F8" s="3">
        <v>91.11</v>
      </c>
      <c r="I8" s="15">
        <f>1/0.5</f>
        <v>2</v>
      </c>
      <c r="J8" s="3">
        <v>101</v>
      </c>
      <c r="W8" s="27">
        <v>1.28191754</v>
      </c>
      <c r="X8">
        <v>96.75</v>
      </c>
    </row>
    <row r="9" spans="1:24" x14ac:dyDescent="0.2">
      <c r="A9" s="2">
        <f>20/5</f>
        <v>4</v>
      </c>
      <c r="B9" s="6">
        <v>93.56</v>
      </c>
      <c r="E9" s="10">
        <v>2.6667000000000001</v>
      </c>
      <c r="F9" s="3">
        <v>95.9</v>
      </c>
      <c r="W9" s="27">
        <v>1.3782911099999999</v>
      </c>
      <c r="X9">
        <v>104.2</v>
      </c>
    </row>
    <row r="10" spans="1:24" x14ac:dyDescent="0.2">
      <c r="E10" s="10">
        <v>3.3332999999999999</v>
      </c>
      <c r="F10" s="3">
        <v>99.64</v>
      </c>
      <c r="W10" s="27">
        <v>1.4110779899999999</v>
      </c>
      <c r="X10">
        <v>109.5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CCB6-4B0F-2E4C-8E4C-F9855ABDEED2}">
  <dimension ref="A1:X10"/>
  <sheetViews>
    <sheetView workbookViewId="0">
      <selection activeCell="I3" sqref="I3"/>
    </sheetView>
  </sheetViews>
  <sheetFormatPr baseColWidth="10" defaultRowHeight="16" x14ac:dyDescent="0.2"/>
  <cols>
    <col min="1" max="26" width="8.83203125" customWidth="1"/>
  </cols>
  <sheetData>
    <row r="1" spans="1:24" s="22" customFormat="1" x14ac:dyDescent="0.2">
      <c r="A1" s="22" t="s">
        <v>12</v>
      </c>
      <c r="B1" s="22" t="s">
        <v>2</v>
      </c>
      <c r="C1" s="22" t="s">
        <v>3</v>
      </c>
      <c r="D1" s="22" t="s">
        <v>2</v>
      </c>
      <c r="E1" s="22" t="s">
        <v>0</v>
      </c>
      <c r="F1" s="22" t="s">
        <v>2</v>
      </c>
      <c r="G1" s="22" t="s">
        <v>4</v>
      </c>
      <c r="H1" s="22" t="s">
        <v>2</v>
      </c>
      <c r="I1" s="22" t="s">
        <v>5</v>
      </c>
      <c r="J1" s="22" t="s">
        <v>2</v>
      </c>
      <c r="K1" s="22" t="s">
        <v>6</v>
      </c>
      <c r="L1" s="22" t="s">
        <v>2</v>
      </c>
      <c r="M1" s="22" t="s">
        <v>7</v>
      </c>
      <c r="N1" s="22" t="s">
        <v>2</v>
      </c>
      <c r="O1" s="22" t="s">
        <v>8</v>
      </c>
      <c r="P1" s="22" t="s">
        <v>2</v>
      </c>
      <c r="Q1" s="22" t="s">
        <v>9</v>
      </c>
      <c r="R1" s="22" t="s">
        <v>2</v>
      </c>
      <c r="S1" s="29" t="s">
        <v>10</v>
      </c>
      <c r="T1" s="29" t="s">
        <v>2</v>
      </c>
      <c r="U1" s="22" t="s">
        <v>11</v>
      </c>
      <c r="V1" s="22" t="s">
        <v>2</v>
      </c>
      <c r="W1" s="22" t="s">
        <v>13</v>
      </c>
      <c r="X1" s="22" t="s">
        <v>2</v>
      </c>
    </row>
    <row r="2" spans="1:24" x14ac:dyDescent="0.2">
      <c r="A2" s="21">
        <f>1.5/5</f>
        <v>0.3</v>
      </c>
      <c r="B2" s="3">
        <v>3.7309999999999999</v>
      </c>
      <c r="C2" s="24">
        <f>2.5/5</f>
        <v>0.5</v>
      </c>
      <c r="D2" s="6">
        <v>3.847</v>
      </c>
      <c r="E2" s="9">
        <f>0.04/0.3</f>
        <v>0.13333333333333333</v>
      </c>
      <c r="F2" s="3">
        <v>1.034</v>
      </c>
      <c r="G2" s="9">
        <f>0.1/0.6</f>
        <v>0.16666666666666669</v>
      </c>
      <c r="H2" s="3">
        <v>3.802</v>
      </c>
      <c r="I2" s="15">
        <f>0.02/0.5</f>
        <v>0.04</v>
      </c>
      <c r="J2" s="3">
        <v>2.085</v>
      </c>
      <c r="K2" s="16">
        <f>7/14</f>
        <v>0.5</v>
      </c>
      <c r="L2" s="6">
        <v>4.4539999999999997</v>
      </c>
      <c r="M2" s="8">
        <f>2000/4000</f>
        <v>0.5</v>
      </c>
      <c r="N2" s="26">
        <v>4.0640000000000001</v>
      </c>
      <c r="O2" s="14">
        <f>0.95/1.9</f>
        <v>0.5</v>
      </c>
      <c r="P2" s="25">
        <v>4.4370000000000003</v>
      </c>
      <c r="Q2" s="1">
        <f>0.7/1.4</f>
        <v>0.5</v>
      </c>
      <c r="R2" s="3">
        <v>2.113</v>
      </c>
      <c r="S2" s="30">
        <f>0</f>
        <v>0</v>
      </c>
      <c r="T2" s="31">
        <v>3.7909999999999999</v>
      </c>
      <c r="U2" s="1">
        <f>17.5/70</f>
        <v>0.25</v>
      </c>
      <c r="V2" s="3">
        <v>3.6909999999999998</v>
      </c>
      <c r="W2" s="27">
        <v>0.67858916999999996</v>
      </c>
      <c r="X2" s="3">
        <v>2.5950000000000002</v>
      </c>
    </row>
    <row r="3" spans="1:24" x14ac:dyDescent="0.2">
      <c r="A3" s="21">
        <f>2.5/5</f>
        <v>0.5</v>
      </c>
      <c r="B3" s="3">
        <v>3.7450000000000001</v>
      </c>
      <c r="C3" s="24">
        <f>1</f>
        <v>1</v>
      </c>
      <c r="D3" s="20">
        <v>3.7789999999999999</v>
      </c>
      <c r="E3" s="9">
        <f>0.1/0.3</f>
        <v>0.33333333333333337</v>
      </c>
      <c r="F3" s="3">
        <v>3.1789999999999998</v>
      </c>
      <c r="G3" s="9">
        <f>0.3/0.6</f>
        <v>0.5</v>
      </c>
      <c r="H3" s="3">
        <v>3.782</v>
      </c>
      <c r="I3" s="15">
        <f>0.1/0.5</f>
        <v>0.2</v>
      </c>
      <c r="J3" s="3">
        <v>2.99</v>
      </c>
      <c r="K3" s="16">
        <f>10/14</f>
        <v>0.7142857142857143</v>
      </c>
      <c r="L3" s="25">
        <v>4.1470000000000002</v>
      </c>
      <c r="M3" s="8">
        <f>1</f>
        <v>1</v>
      </c>
      <c r="N3" s="26">
        <v>3.7789999999999999</v>
      </c>
      <c r="O3" s="14">
        <f>1</f>
        <v>1</v>
      </c>
      <c r="P3" s="20">
        <v>3.7789999999999999</v>
      </c>
      <c r="Q3" s="1">
        <f>1.05/1.4</f>
        <v>0.75000000000000011</v>
      </c>
      <c r="R3" s="3">
        <v>3.1139999999999999</v>
      </c>
      <c r="S3" s="32">
        <f>1</f>
        <v>1</v>
      </c>
      <c r="T3" s="33">
        <v>3.7789999999999999</v>
      </c>
      <c r="U3" s="1">
        <f>35/70</f>
        <v>0.5</v>
      </c>
      <c r="V3" s="3">
        <v>3.919</v>
      </c>
      <c r="W3" s="27">
        <v>0.77223050000000004</v>
      </c>
      <c r="X3">
        <v>3.032</v>
      </c>
    </row>
    <row r="4" spans="1:24" x14ac:dyDescent="0.2">
      <c r="A4" s="21">
        <f>1</f>
        <v>1</v>
      </c>
      <c r="B4" s="20">
        <v>3.7789999999999999</v>
      </c>
      <c r="C4" s="24">
        <f>7.5/5</f>
        <v>1.5</v>
      </c>
      <c r="D4" s="6">
        <v>3.7149999999999999</v>
      </c>
      <c r="E4" s="9">
        <f>0.2/0.3</f>
        <v>0.66666666666666674</v>
      </c>
      <c r="F4" s="3">
        <v>3.6970000000000001</v>
      </c>
      <c r="G4" s="9">
        <f>0.45/0.6</f>
        <v>0.75</v>
      </c>
      <c r="H4" s="3">
        <v>3.78</v>
      </c>
      <c r="I4" s="12">
        <f>0.2/0.5</f>
        <v>0.4</v>
      </c>
      <c r="J4" s="3">
        <v>3.3170000000000002</v>
      </c>
      <c r="K4" s="16">
        <f>1</f>
        <v>1</v>
      </c>
      <c r="L4" s="20">
        <v>3.7789999999999999</v>
      </c>
      <c r="M4" s="8">
        <f>6000/4000</f>
        <v>1.5</v>
      </c>
      <c r="N4" s="27">
        <v>3.5960000000000001</v>
      </c>
      <c r="O4" s="14">
        <f>2.85/1.9</f>
        <v>1.5000000000000002</v>
      </c>
      <c r="P4" s="25">
        <v>3.4020000000000001</v>
      </c>
      <c r="Q4" s="1">
        <f>1</f>
        <v>1</v>
      </c>
      <c r="R4" s="20">
        <v>3.7789999999999999</v>
      </c>
      <c r="S4" s="32">
        <f>0.94/0.0943</f>
        <v>9.9681866383881221</v>
      </c>
      <c r="T4" s="34">
        <v>3.6739999999999999</v>
      </c>
      <c r="U4" s="1">
        <f>1</f>
        <v>1</v>
      </c>
      <c r="V4" s="20">
        <v>3.7789999999999999</v>
      </c>
      <c r="W4" s="27">
        <v>0.89369100999999995</v>
      </c>
      <c r="X4">
        <v>3.452</v>
      </c>
    </row>
    <row r="5" spans="1:24" x14ac:dyDescent="0.2">
      <c r="A5" s="21">
        <f>7.5/5</f>
        <v>1.5</v>
      </c>
      <c r="B5" s="3">
        <v>3.8140000000000001</v>
      </c>
      <c r="C5" s="24">
        <f>11/5</f>
        <v>2.2000000000000002</v>
      </c>
      <c r="D5" s="6">
        <v>3.6309999999999998</v>
      </c>
      <c r="E5" s="9">
        <v>1</v>
      </c>
      <c r="F5" s="20">
        <v>3.7789999999999999</v>
      </c>
      <c r="G5" s="9">
        <v>1</v>
      </c>
      <c r="H5" s="20">
        <v>3.7789999999999999</v>
      </c>
      <c r="I5" s="15">
        <f>0.35/0.5</f>
        <v>0.7</v>
      </c>
      <c r="J5" s="3">
        <v>3.593</v>
      </c>
      <c r="K5" s="16">
        <f>20/14</f>
        <v>1.4285714285714286</v>
      </c>
      <c r="L5" s="6">
        <v>3.2629999999999999</v>
      </c>
      <c r="M5" s="8">
        <f>8000/4000</f>
        <v>2</v>
      </c>
      <c r="N5" s="27">
        <v>3.4510000000000001</v>
      </c>
      <c r="O5" s="14">
        <f>3.8/1.9</f>
        <v>2</v>
      </c>
      <c r="P5" s="25">
        <v>3.1429999999999998</v>
      </c>
      <c r="Q5" s="1">
        <f>2.1/1.4</f>
        <v>1.5000000000000002</v>
      </c>
      <c r="R5" s="3">
        <v>4.5090000000000003</v>
      </c>
      <c r="S5" s="32">
        <f>4.7/0.0943</f>
        <v>49.840933191940621</v>
      </c>
      <c r="T5" s="35">
        <v>3.2290000000000001</v>
      </c>
      <c r="U5" s="1">
        <f>140/70</f>
        <v>2</v>
      </c>
      <c r="V5" s="3">
        <v>3.383</v>
      </c>
      <c r="W5" s="27">
        <v>1</v>
      </c>
      <c r="X5" s="20">
        <v>3.7789999999999999</v>
      </c>
    </row>
    <row r="6" spans="1:24" x14ac:dyDescent="0.2">
      <c r="A6" s="2">
        <f>10/5</f>
        <v>2</v>
      </c>
      <c r="B6" s="3">
        <v>3.847</v>
      </c>
      <c r="C6" s="24">
        <f>15/5</f>
        <v>3</v>
      </c>
      <c r="D6" s="6">
        <v>3.5419999999999998</v>
      </c>
      <c r="E6" s="9">
        <f>0.4/0.3</f>
        <v>1.3333333333333335</v>
      </c>
      <c r="F6" s="3">
        <v>3.78</v>
      </c>
      <c r="G6" s="9">
        <f>0.8/0.6</f>
        <v>1.3333333333333335</v>
      </c>
      <c r="H6" s="3">
        <v>3.7789999999999999</v>
      </c>
      <c r="I6" s="15">
        <f>1</f>
        <v>1</v>
      </c>
      <c r="J6" s="20">
        <v>3.7789999999999999</v>
      </c>
      <c r="K6" s="16">
        <f>28/14</f>
        <v>2</v>
      </c>
      <c r="L6">
        <v>2.5350000000000001</v>
      </c>
      <c r="Q6" s="1">
        <f>2.8/1.4</f>
        <v>2</v>
      </c>
      <c r="R6" s="6">
        <v>4.8650000000000002</v>
      </c>
      <c r="U6" s="1">
        <f>280/70</f>
        <v>4</v>
      </c>
      <c r="V6" s="3">
        <v>3.032</v>
      </c>
      <c r="W6" s="27">
        <v>1.09488326</v>
      </c>
      <c r="X6">
        <v>4.0629999999999997</v>
      </c>
    </row>
    <row r="7" spans="1:24" x14ac:dyDescent="0.2">
      <c r="A7" s="2">
        <f>12.5/5</f>
        <v>2.5</v>
      </c>
      <c r="B7" s="3">
        <v>3.8860000000000001</v>
      </c>
      <c r="C7" s="4"/>
      <c r="D7" s="3"/>
      <c r="E7" s="9">
        <f>0.5/0.3</f>
        <v>1.6666666666666667</v>
      </c>
      <c r="F7" s="3">
        <v>3.7589999999999999</v>
      </c>
      <c r="G7" s="9">
        <f>1/0.6</f>
        <v>1.6666666666666667</v>
      </c>
      <c r="H7" s="3">
        <v>3.7810000000000001</v>
      </c>
      <c r="I7" s="15">
        <f>0.75/0.5</f>
        <v>1.5</v>
      </c>
      <c r="J7" s="3">
        <v>4</v>
      </c>
      <c r="K7" s="13"/>
      <c r="L7" s="3"/>
      <c r="W7" s="27">
        <v>1.18082464</v>
      </c>
      <c r="X7">
        <v>4.3209999999999997</v>
      </c>
    </row>
    <row r="8" spans="1:24" x14ac:dyDescent="0.2">
      <c r="A8" s="21">
        <f>15/5</f>
        <v>3</v>
      </c>
      <c r="B8" s="3">
        <v>3.9260000000000002</v>
      </c>
      <c r="C8" s="3"/>
      <c r="D8" s="3"/>
      <c r="E8" s="9">
        <f>0.6/0.3</f>
        <v>2</v>
      </c>
      <c r="F8" s="3">
        <v>3.7309999999999999</v>
      </c>
      <c r="I8" s="15">
        <f>1/0.5</f>
        <v>2</v>
      </c>
      <c r="J8" s="3">
        <v>4.1609999999999996</v>
      </c>
      <c r="W8" s="27">
        <v>1.28191754</v>
      </c>
      <c r="X8">
        <v>4.6340000000000003</v>
      </c>
    </row>
    <row r="9" spans="1:24" x14ac:dyDescent="0.2">
      <c r="A9" s="2">
        <f>20/5</f>
        <v>4</v>
      </c>
      <c r="B9" s="6">
        <v>4.0419999999999998</v>
      </c>
      <c r="E9" s="9">
        <f>0.8/0.3</f>
        <v>2.666666666666667</v>
      </c>
      <c r="F9" s="3">
        <v>3.673</v>
      </c>
      <c r="W9" s="27">
        <v>1.3782911099999999</v>
      </c>
      <c r="X9">
        <v>4.9630000000000001</v>
      </c>
    </row>
    <row r="10" spans="1:24" x14ac:dyDescent="0.2">
      <c r="E10" s="9">
        <f>1/0.3</f>
        <v>3.3333333333333335</v>
      </c>
      <c r="F10" s="3">
        <v>3.621</v>
      </c>
      <c r="W10" s="27">
        <v>1.4110779899999999</v>
      </c>
      <c r="X10">
        <v>5.1269999999999998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Speed RyR</vt:lpstr>
      <vt:lpstr>Ampl RyR</vt:lpstr>
      <vt:lpstr>Speed noRyR</vt:lpstr>
      <vt:lpstr>Ampl noRyR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Shoemaker</dc:creator>
  <cp:lastModifiedBy>Patrick Shoemaker</cp:lastModifiedBy>
  <dcterms:created xsi:type="dcterms:W3CDTF">2023-04-30T17:03:54Z</dcterms:created>
  <dcterms:modified xsi:type="dcterms:W3CDTF">2023-05-01T05:24:00Z</dcterms:modified>
</cp:coreProperties>
</file>