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checkCompatibility="1" autoCompressPictures="0"/>
  <bookViews>
    <workbookView xWindow="0" yWindow="0" windowWidth="28800" windowHeight="17460" tabRatio="500" activeTab="6"/>
  </bookViews>
  <sheets>
    <sheet name="Telegram" sheetId="1" r:id="rId1"/>
    <sheet name="Ifs" sheetId="2" r:id="rId2"/>
    <sheet name="Drive Reg" sheetId="3" r:id="rId3"/>
    <sheet name="Sheet1" sheetId="4" r:id="rId4"/>
    <sheet name="bill of materials" sheetId="5" r:id="rId5"/>
    <sheet name="atmel used pins" sheetId="6" r:id="rId6"/>
    <sheet name="Blatt2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4" i="7" l="1"/>
  <c r="S15" i="7"/>
  <c r="Q14" i="7"/>
  <c r="Q15" i="7"/>
  <c r="N16" i="7"/>
  <c r="N15" i="7"/>
  <c r="Q11" i="7"/>
  <c r="Q12" i="7"/>
  <c r="H28" i="7"/>
  <c r="H26" i="7"/>
  <c r="N12" i="7"/>
  <c r="N11" i="7"/>
  <c r="P16" i="7"/>
  <c r="N10" i="7"/>
  <c r="P7" i="7"/>
  <c r="G11" i="7"/>
  <c r="G14" i="7"/>
  <c r="F12" i="7"/>
  <c r="F11" i="7"/>
  <c r="G12" i="7"/>
  <c r="I10" i="7"/>
  <c r="N27" i="4"/>
  <c r="N14" i="4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50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27" i="6"/>
  <c r="F15" i="6"/>
  <c r="F16" i="6"/>
  <c r="F17" i="6"/>
  <c r="F18" i="6"/>
  <c r="F19" i="6"/>
  <c r="F20" i="6"/>
  <c r="F21" i="6"/>
  <c r="F22" i="6"/>
  <c r="F23" i="6"/>
  <c r="F8" i="6"/>
  <c r="F6" i="6"/>
  <c r="F7" i="6"/>
  <c r="F9" i="6"/>
  <c r="F10" i="6"/>
  <c r="F11" i="6"/>
  <c r="F12" i="6"/>
  <c r="F13" i="6"/>
  <c r="F14" i="6"/>
  <c r="D16" i="3"/>
  <c r="D17" i="3"/>
  <c r="E10" i="2"/>
  <c r="N15" i="4"/>
  <c r="P12" i="4"/>
  <c r="H23" i="4"/>
  <c r="E17" i="4"/>
  <c r="E12" i="4"/>
  <c r="G21" i="1"/>
  <c r="G20" i="1"/>
  <c r="G28" i="1"/>
  <c r="E20" i="1"/>
  <c r="E21" i="1"/>
  <c r="E28" i="1"/>
  <c r="K20" i="1"/>
  <c r="K21" i="1"/>
  <c r="K28" i="1"/>
  <c r="M20" i="1"/>
  <c r="M21" i="1"/>
  <c r="M28" i="1"/>
  <c r="I21" i="1"/>
  <c r="I20" i="1"/>
  <c r="I28" i="1"/>
  <c r="O21" i="1"/>
  <c r="O20" i="1"/>
  <c r="O28" i="1"/>
  <c r="Q20" i="1"/>
  <c r="Q21" i="1"/>
  <c r="Q28" i="1"/>
  <c r="S20" i="1"/>
  <c r="S21" i="1"/>
  <c r="S28" i="1"/>
  <c r="N35" i="1"/>
  <c r="A11" i="1"/>
  <c r="A9" i="1"/>
  <c r="A7" i="1"/>
  <c r="C25" i="2"/>
  <c r="E25" i="2"/>
  <c r="E24" i="2"/>
  <c r="E26" i="2"/>
  <c r="C27" i="2"/>
  <c r="E24" i="1"/>
  <c r="C7" i="2"/>
  <c r="F15" i="3"/>
  <c r="K19" i="3"/>
  <c r="M16" i="3"/>
  <c r="D9" i="3"/>
  <c r="M41" i="1"/>
  <c r="E25" i="1"/>
  <c r="E29" i="1"/>
  <c r="G25" i="1"/>
  <c r="G29" i="1"/>
  <c r="I25" i="1"/>
  <c r="I29" i="1"/>
  <c r="K25" i="1"/>
  <c r="K29" i="1"/>
  <c r="M25" i="1"/>
  <c r="M29" i="1"/>
  <c r="O25" i="1"/>
  <c r="O29" i="1"/>
  <c r="Q25" i="1"/>
  <c r="Q29" i="1"/>
  <c r="N36" i="1"/>
  <c r="S25" i="1"/>
  <c r="S29" i="1"/>
  <c r="Q23" i="1"/>
  <c r="S23" i="1"/>
  <c r="Q34" i="1"/>
  <c r="G23" i="1"/>
  <c r="E23" i="1"/>
  <c r="G35" i="1"/>
  <c r="I23" i="1"/>
  <c r="K23" i="1"/>
  <c r="O23" i="1"/>
  <c r="M23" i="1"/>
  <c r="G31" i="1"/>
  <c r="L36" i="1"/>
  <c r="D10" i="3"/>
  <c r="C18" i="2"/>
  <c r="C8" i="2"/>
  <c r="C10" i="2"/>
  <c r="S26" i="1"/>
  <c r="Q26" i="1"/>
  <c r="O26" i="1"/>
  <c r="M26" i="1"/>
  <c r="K26" i="1"/>
  <c r="I26" i="1"/>
  <c r="G26" i="1"/>
  <c r="E26" i="1"/>
  <c r="G32" i="1"/>
</calcChain>
</file>

<file path=xl/sharedStrings.xml><?xml version="1.0" encoding="utf-8"?>
<sst xmlns="http://schemas.openxmlformats.org/spreadsheetml/2006/main" count="736" uniqueCount="418">
  <si>
    <t>7</t>
  </si>
  <si>
    <t>A0</t>
  </si>
  <si>
    <t>A1</t>
  </si>
  <si>
    <t>A2</t>
  </si>
  <si>
    <t>12</t>
  </si>
  <si>
    <t>13</t>
  </si>
  <si>
    <t>14</t>
  </si>
  <si>
    <t>15</t>
  </si>
  <si>
    <t>0</t>
  </si>
  <si>
    <t>LSB</t>
  </si>
  <si>
    <t>MSB</t>
  </si>
  <si>
    <t>1</t>
  </si>
  <si>
    <t>11</t>
  </si>
  <si>
    <t>bit</t>
  </si>
  <si>
    <t>2</t>
  </si>
  <si>
    <t>3</t>
  </si>
  <si>
    <t>4</t>
  </si>
  <si>
    <t>5</t>
  </si>
  <si>
    <t>6</t>
  </si>
  <si>
    <t>8</t>
  </si>
  <si>
    <t>9</t>
  </si>
  <si>
    <t>10</t>
  </si>
  <si>
    <t>ENBL</t>
  </si>
  <si>
    <t>RDIR</t>
  </si>
  <si>
    <t>RSTEP</t>
  </si>
  <si>
    <t>Mode 1</t>
  </si>
  <si>
    <t>Mode 2</t>
  </si>
  <si>
    <t>Mode 3</t>
  </si>
  <si>
    <t>EXTSALL</t>
  </si>
  <si>
    <t>ISGAIN 0</t>
  </si>
  <si>
    <t>ISGAIN 1</t>
  </si>
  <si>
    <t>DTIME 0</t>
  </si>
  <si>
    <t>DTIME 1</t>
  </si>
  <si>
    <t>RW</t>
  </si>
  <si>
    <t>TORQUE 0</t>
  </si>
  <si>
    <t>TORQUE 1</t>
  </si>
  <si>
    <t>TORQUE 2</t>
  </si>
  <si>
    <t>TORQUE 3</t>
  </si>
  <si>
    <t>TORQUE 4</t>
  </si>
  <si>
    <t>TORQUE 5</t>
  </si>
  <si>
    <t xml:space="preserve">TORQUE 6 </t>
  </si>
  <si>
    <t>TORQUE 7</t>
  </si>
  <si>
    <t>0x01</t>
  </si>
  <si>
    <t>0x00</t>
  </si>
  <si>
    <t>SMPLTH 0</t>
  </si>
  <si>
    <t>SMPLTH 1</t>
  </si>
  <si>
    <t>SMPLTH 2</t>
  </si>
  <si>
    <t>Reserved</t>
  </si>
  <si>
    <t>0x02</t>
  </si>
  <si>
    <t>0x03</t>
  </si>
  <si>
    <t>0x04</t>
  </si>
  <si>
    <t>0x05</t>
  </si>
  <si>
    <t>0x06</t>
  </si>
  <si>
    <t>0x07</t>
  </si>
  <si>
    <t>Copy</t>
  </si>
  <si>
    <t>TOFF 0</t>
  </si>
  <si>
    <t>TOFF 1</t>
  </si>
  <si>
    <t>TOFF 2</t>
  </si>
  <si>
    <t>TOFF 3</t>
  </si>
  <si>
    <t>TOFF 4</t>
  </si>
  <si>
    <t>TOFF 5</t>
  </si>
  <si>
    <t>TOFF 6</t>
  </si>
  <si>
    <t>TOFF 7</t>
  </si>
  <si>
    <t>PWMMODE</t>
  </si>
  <si>
    <t>TBLANK 0</t>
  </si>
  <si>
    <t>TBLANK 1</t>
  </si>
  <si>
    <t>TBLANK 2</t>
  </si>
  <si>
    <t>TBLANK 3</t>
  </si>
  <si>
    <t>TBLANK 4</t>
  </si>
  <si>
    <t>TBLANK 5</t>
  </si>
  <si>
    <t>TBLANK 6</t>
  </si>
  <si>
    <t>TBLANK 7</t>
  </si>
  <si>
    <t>ABT</t>
  </si>
  <si>
    <t>TDECAY 0</t>
  </si>
  <si>
    <t>TDECAY 1</t>
  </si>
  <si>
    <t>TDECAY 2</t>
  </si>
  <si>
    <t>TDECAY 3</t>
  </si>
  <si>
    <t>TDECAY 4</t>
  </si>
  <si>
    <t>TDECAY 5</t>
  </si>
  <si>
    <t>TDECAY 6</t>
  </si>
  <si>
    <t>TDECAY 7</t>
  </si>
  <si>
    <t>DECMOD 0</t>
  </si>
  <si>
    <t>DECMOD 1</t>
  </si>
  <si>
    <t>DECMOD 2</t>
  </si>
  <si>
    <t>Stall Reg</t>
  </si>
  <si>
    <t>DECAY Reg</t>
  </si>
  <si>
    <t>BLANK Reg</t>
  </si>
  <si>
    <t>CTRL REG</t>
  </si>
  <si>
    <t>TORQUE</t>
  </si>
  <si>
    <t>OFF Reg</t>
  </si>
  <si>
    <t>SDTHR 0</t>
  </si>
  <si>
    <t>SDTHR 1</t>
  </si>
  <si>
    <t>SDTHR 2</t>
  </si>
  <si>
    <t>SDTHR 3</t>
  </si>
  <si>
    <t>SDTHR 4</t>
  </si>
  <si>
    <t>SDTHR 5</t>
  </si>
  <si>
    <t>SDTHR 6</t>
  </si>
  <si>
    <t>SDTHR 7</t>
  </si>
  <si>
    <t>SDCNT 0</t>
  </si>
  <si>
    <t>SDCNT 1</t>
  </si>
  <si>
    <t>VDIV 0</t>
  </si>
  <si>
    <t>VDIV 1</t>
  </si>
  <si>
    <t>OCPTH 0</t>
  </si>
  <si>
    <t>OCPTH 1</t>
  </si>
  <si>
    <t>OCPDEG 0</t>
  </si>
  <si>
    <t>OCPDEG 1</t>
  </si>
  <si>
    <t>TDRIVEN 0</t>
  </si>
  <si>
    <t>TDRIVEN 1</t>
  </si>
  <si>
    <t>TDRIVEP 0</t>
  </si>
  <si>
    <t>TDRIVEP 1</t>
  </si>
  <si>
    <t>IDRIVEN 0</t>
  </si>
  <si>
    <t>IDRIVEN 1</t>
  </si>
  <si>
    <t>IDRIVEP 0</t>
  </si>
  <si>
    <t>IDRIVEP 1</t>
  </si>
  <si>
    <t>OTS</t>
  </si>
  <si>
    <t>AOCP</t>
  </si>
  <si>
    <t>BOCP</t>
  </si>
  <si>
    <t>APDF</t>
  </si>
  <si>
    <t>BPDF</t>
  </si>
  <si>
    <t>UVLO</t>
  </si>
  <si>
    <t>STD</t>
  </si>
  <si>
    <t>STDLAT</t>
  </si>
  <si>
    <t>SEND REG:</t>
  </si>
  <si>
    <t>Mode 0</t>
  </si>
  <si>
    <t>RECEIVE STATUS:</t>
  </si>
  <si>
    <t>ISGAIN</t>
  </si>
  <si>
    <t>Torque</t>
  </si>
  <si>
    <t xml:space="preserve">Torque </t>
  </si>
  <si>
    <t>Rsense</t>
  </si>
  <si>
    <t>mOhm</t>
  </si>
  <si>
    <t>Ifs(A)</t>
  </si>
  <si>
    <t>A</t>
  </si>
  <si>
    <t>Mit ENBL</t>
  </si>
  <si>
    <t>rs</t>
  </si>
  <si>
    <t>ns</t>
  </si>
  <si>
    <t>Qg</t>
  </si>
  <si>
    <t>nC</t>
  </si>
  <si>
    <t>Idrive &gt;</t>
  </si>
  <si>
    <t>TDRIVE &gt;</t>
  </si>
  <si>
    <t>DTIME</t>
  </si>
  <si>
    <t>TBLANK</t>
  </si>
  <si>
    <t>TOFF</t>
  </si>
  <si>
    <t>C0</t>
  </si>
  <si>
    <t>[0xC 0x10][0x10 0x3][0x70 0x0][0xC 0x11]</t>
  </si>
  <si>
    <t>Funktioniert:</t>
  </si>
  <si>
    <t>PWM 2 kHz</t>
  </si>
  <si>
    <t>max Frequenz</t>
  </si>
  <si>
    <t>2,5kHz</t>
  </si>
  <si>
    <t>für uC</t>
  </si>
  <si>
    <t xml:space="preserve">, </t>
  </si>
  <si>
    <t>uC write</t>
  </si>
  <si>
    <t>uC read</t>
  </si>
  <si>
    <t>mA</t>
  </si>
  <si>
    <t>us</t>
  </si>
  <si>
    <t>v</t>
  </si>
  <si>
    <t>rot/min</t>
  </si>
  <si>
    <t>rot/s</t>
  </si>
  <si>
    <t>n_m</t>
  </si>
  <si>
    <t>steps</t>
  </si>
  <si>
    <t>°/step</t>
  </si>
  <si>
    <t>usteps/step</t>
  </si>
  <si>
    <t>f_step</t>
  </si>
  <si>
    <t>usteps/s</t>
  </si>
  <si>
    <t>Bin</t>
  </si>
  <si>
    <t>from table</t>
  </si>
  <si>
    <t>Decmode</t>
  </si>
  <si>
    <t>000: Force slow decay at all times</t>
  </si>
  <si>
    <t>001: Slow decay for increasing current, mixed decay for decreasing current (indexer mode only)</t>
  </si>
  <si>
    <t>010: Force fast decay at all times</t>
  </si>
  <si>
    <t>011: Use mixed decay at all times</t>
  </si>
  <si>
    <t>100: Slow decay for increasing current, auto mixed decay for decreasing current (indexer mode only)</t>
  </si>
  <si>
    <t>101: Use auto mixed decay at all times</t>
  </si>
  <si>
    <t>Back EMF sample threshold</t>
  </si>
  <si>
    <t>000: 50 μs</t>
  </si>
  <si>
    <t>001: 100 μs</t>
  </si>
  <si>
    <t>010: 200 μs</t>
  </si>
  <si>
    <t>011: 300 μs</t>
  </si>
  <si>
    <t>100: 400 μs</t>
  </si>
  <si>
    <t>101: 600 μs</t>
  </si>
  <si>
    <t>110: 800 μs</t>
  </si>
  <si>
    <t>111: 1000 μs</t>
  </si>
  <si>
    <t>0000: Full-step, 71% current</t>
  </si>
  <si>
    <t>0001: Half step</t>
  </si>
  <si>
    <t>0010: 1/4 step</t>
  </si>
  <si>
    <t>0011: 1/8 step</t>
  </si>
  <si>
    <t>0101: 1/32 step</t>
  </si>
  <si>
    <t>0110: 1/64 step</t>
  </si>
  <si>
    <t>0111: 1/128 step</t>
  </si>
  <si>
    <t>1000: 1/256 step</t>
  </si>
  <si>
    <t>MODE</t>
  </si>
  <si>
    <t>Drive</t>
  </si>
  <si>
    <t>Status</t>
  </si>
  <si>
    <t>R_L</t>
  </si>
  <si>
    <t>VM(V)</t>
  </si>
  <si>
    <t>R_DS_ON</t>
  </si>
  <si>
    <t>R_SENSE</t>
  </si>
  <si>
    <t>V</t>
  </si>
  <si>
    <t>Ohm</t>
  </si>
  <si>
    <t>L_L</t>
  </si>
  <si>
    <t>mH</t>
  </si>
  <si>
    <t>I_FS(A)</t>
  </si>
  <si>
    <t>Dead time set</t>
  </si>
  <si>
    <t>00: 400 ns dead time</t>
  </si>
  <si>
    <t>01: 450 ns dead time</t>
  </si>
  <si>
    <t>10: 650 ns dead time</t>
  </si>
  <si>
    <t>11: 850 ns dead time</t>
  </si>
  <si>
    <t>TDECAY</t>
  </si>
  <si>
    <t>volatile static uint8_t wr_drv8711Defaults[] = {0xF, 0x0, 0x11, 0x1E, 0x20, 0x30, 0x30, 0x80, 0x45, 0x4, 0x50, 0x40, 0x65, 0xA4, 0x70, 0x0};</t>
  </si>
  <si>
    <t>#define treshholdAccelerateUp 8300</t>
  </si>
  <si>
    <t>#define treshholdAccelerateDown 7580</t>
  </si>
  <si>
    <t>Bei</t>
  </si>
  <si>
    <t>es läuft stabil...</t>
  </si>
  <si>
    <t>eventuell strom noch anpassen</t>
  </si>
  <si>
    <t>mm</t>
  </si>
  <si>
    <t>Steigung</t>
  </si>
  <si>
    <t>Distanz</t>
  </si>
  <si>
    <t>oneSpin</t>
  </si>
  <si>
    <t>x</t>
  </si>
  <si>
    <t>°C</t>
  </si>
  <si>
    <t>°C/W</t>
  </si>
  <si>
    <t>K/W</t>
  </si>
  <si>
    <t>Value</t>
  </si>
  <si>
    <t>Name</t>
  </si>
  <si>
    <t>Quantity</t>
  </si>
  <si>
    <t>AtmelPWR</t>
  </si>
  <si>
    <t>PPTC022LFBN-RC</t>
  </si>
  <si>
    <t>AtmelX1, AtmelX2, AtmelX3</t>
  </si>
  <si>
    <t>PPTC102LFBN-RC</t>
  </si>
  <si>
    <t>C1, C2, C3, C4, C5, C6, C7, C12, C15</t>
  </si>
  <si>
    <t>1uF</t>
  </si>
  <si>
    <t>CAP_0603</t>
  </si>
  <si>
    <t>C8, C9</t>
  </si>
  <si>
    <t>0,1uF</t>
  </si>
  <si>
    <t>C10</t>
  </si>
  <si>
    <t>100uF</t>
  </si>
  <si>
    <t>EEE--CASE-E</t>
  </si>
  <si>
    <t>C11</t>
  </si>
  <si>
    <t>0,01uF</t>
  </si>
  <si>
    <t>C13, C14</t>
  </si>
  <si>
    <t>10uF</t>
  </si>
  <si>
    <t>CAP_1206</t>
  </si>
  <si>
    <t>C16, C17</t>
  </si>
  <si>
    <t>100nF</t>
  </si>
  <si>
    <t>CAP100</t>
  </si>
  <si>
    <t>DMSConnector</t>
  </si>
  <si>
    <t>PINHD-1X4</t>
  </si>
  <si>
    <t>DRV8711</t>
  </si>
  <si>
    <t>EmergencyStop24V, EmergencyStoptouC, LimitSwitch</t>
  </si>
  <si>
    <t>HDR-1x2</t>
  </si>
  <si>
    <t>Fault1, Stall1</t>
  </si>
  <si>
    <t>LED</t>
  </si>
  <si>
    <t>Fuse1</t>
  </si>
  <si>
    <t>Fuse</t>
  </si>
  <si>
    <t>INA128UA1</t>
  </si>
  <si>
    <t>INA128UA</t>
  </si>
  <si>
    <t>J1, J2</t>
  </si>
  <si>
    <t>HDR-1x19</t>
  </si>
  <si>
    <t>linearVoltageRegulator</t>
  </si>
  <si>
    <t>LM1086IS-5.0</t>
  </si>
  <si>
    <t>MotorConnector</t>
  </si>
  <si>
    <t>MSTB 2-5-5,08x4</t>
  </si>
  <si>
    <t>Power24V</t>
  </si>
  <si>
    <t>MSTB 2-5-5,08x2</t>
  </si>
  <si>
    <t>R1, R2</t>
  </si>
  <si>
    <t>50mOhm</t>
  </si>
  <si>
    <t>PowerResistor</t>
  </si>
  <si>
    <t>R3, R4</t>
  </si>
  <si>
    <t>220Ohm</t>
  </si>
  <si>
    <t>RES_0603</t>
  </si>
  <si>
    <t>R5</t>
  </si>
  <si>
    <t>R6, U1</t>
  </si>
  <si>
    <t>POT</t>
  </si>
  <si>
    <t>Relais</t>
  </si>
  <si>
    <t>Schrack</t>
  </si>
  <si>
    <t>RS232Shfiter</t>
  </si>
  <si>
    <t>T1, T2, T3, T4, T5, T6, T7, T8</t>
  </si>
  <si>
    <t>IRF520</t>
  </si>
  <si>
    <t>3k3Ohm</t>
  </si>
  <si>
    <t>MAX232</t>
  </si>
  <si>
    <t>500Ohm</t>
  </si>
  <si>
    <t>definition in circuit</t>
  </si>
  <si>
    <t>Function</t>
  </si>
  <si>
    <t>-</t>
  </si>
  <si>
    <t>GND</t>
  </si>
  <si>
    <t>PB00</t>
  </si>
  <si>
    <t>AIN[8]</t>
  </si>
  <si>
    <t>PB01</t>
  </si>
  <si>
    <t>AIN[9]</t>
  </si>
  <si>
    <t>PB06</t>
  </si>
  <si>
    <t>GPIO</t>
  </si>
  <si>
    <t>PB07</t>
  </si>
  <si>
    <t>PB02</t>
  </si>
  <si>
    <t>TC6/WO[0]</t>
  </si>
  <si>
    <t>PB03</t>
  </si>
  <si>
    <t>TC6/WO[1]</t>
  </si>
  <si>
    <t>PB04</t>
  </si>
  <si>
    <t>EXTINT[4]</t>
  </si>
  <si>
    <t>PB05</t>
  </si>
  <si>
    <t>PA08</t>
  </si>
  <si>
    <t>SERCOM2</t>
  </si>
  <si>
    <t>PAD[0]</t>
  </si>
  <si>
    <t>I²C</t>
  </si>
  <si>
    <t>SDA</t>
  </si>
  <si>
    <t>EXT2,</t>
  </si>
  <si>
    <t>EXT3</t>
  </si>
  <si>
    <t>and</t>
  </si>
  <si>
    <t>EDBG</t>
  </si>
  <si>
    <t>PA09</t>
  </si>
  <si>
    <t>PAD[1]</t>
  </si>
  <si>
    <t>SCL</t>
  </si>
  <si>
    <t>PB09</t>
  </si>
  <si>
    <t>SERCOM4</t>
  </si>
  <si>
    <t>UART</t>
  </si>
  <si>
    <t>RX1</t>
  </si>
  <si>
    <t>PB08</t>
  </si>
  <si>
    <t>TX1</t>
  </si>
  <si>
    <t>PA05</t>
  </si>
  <si>
    <t>SERCOM0</t>
  </si>
  <si>
    <t>SPI</t>
  </si>
  <si>
    <t>SS</t>
  </si>
  <si>
    <t>PA06</t>
  </si>
  <si>
    <t>PAD[2]</t>
  </si>
  <si>
    <t>MOSI</t>
  </si>
  <si>
    <t>PA04</t>
  </si>
  <si>
    <t>MISO</t>
  </si>
  <si>
    <t>PA07</t>
  </si>
  <si>
    <t>PAD[3]</t>
  </si>
  <si>
    <t>SCK</t>
  </si>
  <si>
    <t>VCC</t>
  </si>
  <si>
    <t>Pin on EXT1</t>
  </si>
  <si>
    <t>SAM D20 pin</t>
  </si>
  <si>
    <t>EXT2</t>
  </si>
  <si>
    <t>PA10</t>
  </si>
  <si>
    <t>AIN[18]</t>
  </si>
  <si>
    <t>PA11</t>
  </si>
  <si>
    <t>AIN[19]</t>
  </si>
  <si>
    <t>PA20</t>
  </si>
  <si>
    <t>PA21</t>
  </si>
  <si>
    <t>PA22</t>
  </si>
  <si>
    <t>TC4/WO[0]</t>
  </si>
  <si>
    <t>PA23</t>
  </si>
  <si>
    <t>TC4/WO[1]</t>
  </si>
  <si>
    <t>Pin on EXT2</t>
  </si>
  <si>
    <t>PB14</t>
  </si>
  <si>
    <t>EXTINT[14]</t>
  </si>
  <si>
    <t>PB15</t>
  </si>
  <si>
    <t>EXT1,</t>
  </si>
  <si>
    <t>PB13</t>
  </si>
  <si>
    <t>PB12</t>
  </si>
  <si>
    <t>PA17</t>
  </si>
  <si>
    <t>SERCOM1</t>
  </si>
  <si>
    <t>PA18</t>
  </si>
  <si>
    <t>PA16</t>
  </si>
  <si>
    <t>PA19</t>
  </si>
  <si>
    <t>PA02</t>
  </si>
  <si>
    <t>AIN[0]</t>
  </si>
  <si>
    <t>PA03</t>
  </si>
  <si>
    <t>AIN[1]</t>
  </si>
  <si>
    <t>PB30</t>
  </si>
  <si>
    <t>PA15</t>
  </si>
  <si>
    <t>Onboard</t>
  </si>
  <si>
    <t>SW0</t>
  </si>
  <si>
    <t>PA12</t>
  </si>
  <si>
    <t>TC2/WO[0]</t>
  </si>
  <si>
    <t>PA13</t>
  </si>
  <si>
    <t>TC2/WO[1]</t>
  </si>
  <si>
    <t>PA28</t>
  </si>
  <si>
    <t>EXTINT[8]</t>
  </si>
  <si>
    <t>PA27</t>
  </si>
  <si>
    <t>PB11</t>
  </si>
  <si>
    <t>PB10</t>
  </si>
  <si>
    <t>PB17</t>
  </si>
  <si>
    <t>SERCOM5</t>
  </si>
  <si>
    <t>PB22</t>
  </si>
  <si>
    <t>PB16</t>
  </si>
  <si>
    <t>PB23</t>
  </si>
  <si>
    <t>Used for</t>
  </si>
  <si>
    <t>Emergency Stop</t>
  </si>
  <si>
    <t>Limit switch</t>
  </si>
  <si>
    <t>\acs{RS232}</t>
  </si>
  <si>
    <t>DRV8711 Sleep</t>
  </si>
  <si>
    <t>DRV8711 reset</t>
  </si>
  <si>
    <t>DRV8711 \acs{TC}</t>
  </si>
  <si>
    <t>DRV8711 SPI</t>
  </si>
  <si>
    <t>amplifier \acs{ADC}</t>
  </si>
  <si>
    <t>DRV8711 change direction</t>
  </si>
  <si>
    <t>Referenc for \acs{ADC}</t>
  </si>
  <si>
    <t xml:space="preserve"> GND      </t>
  </si>
  <si>
    <t xml:space="preserve">GPIO       </t>
  </si>
  <si>
    <t xml:space="preserve">TC4/WO[0]       </t>
  </si>
  <si>
    <t xml:space="preserve">EXTINT[14]       </t>
  </si>
  <si>
    <t xml:space="preserve">SERCOM1 PAD[1] SPI SS    </t>
  </si>
  <si>
    <t xml:space="preserve">SERCOM1 PAD[2] SPI MOSI    </t>
  </si>
  <si>
    <t xml:space="preserve">SERCOM1 PAD[0] SPI MISO    </t>
  </si>
  <si>
    <t xml:space="preserve">SERCOM1 PAD[3] SPI SCK    </t>
  </si>
  <si>
    <t xml:space="preserve"> VCC      </t>
  </si>
  <si>
    <t xml:space="preserve">EXTINT[8]       </t>
  </si>
  <si>
    <t>PD=(Vin-Vout)*IL</t>
  </si>
  <si>
    <t>Vin</t>
  </si>
  <si>
    <t>Vout</t>
  </si>
  <si>
    <t>IL</t>
  </si>
  <si>
    <t>Rtherm</t>
  </si>
  <si>
    <t>&gt;IL=(Tj-Ta)/((Vin-Vout)*Rtherm)</t>
  </si>
  <si>
    <t>Rtherm=(Tj-Ta)/PD=(Tj-Ta)/((Vin-Vout)*IL)</t>
  </si>
  <si>
    <t>Ilmax</t>
  </si>
  <si>
    <t>Mhz</t>
  </si>
  <si>
    <t>Hz</t>
  </si>
  <si>
    <t>steigung</t>
  </si>
  <si>
    <t>weg</t>
  </si>
  <si>
    <t>rot</t>
  </si>
  <si>
    <t>min</t>
  </si>
  <si>
    <t>Baudrate</t>
  </si>
  <si>
    <t>Bits Übertragen</t>
  </si>
  <si>
    <t>zu Übertragende Bytes</t>
  </si>
  <si>
    <t>Bytes/s</t>
  </si>
  <si>
    <t>Telegrame/s</t>
  </si>
  <si>
    <t>mm/min</t>
  </si>
  <si>
    <t>80mm/x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</si>
</sst>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250FE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49" fontId="0" fillId="0" borderId="8" xfId="0" applyNumberFormat="1" applyBorder="1"/>
    <xf numFmtId="2" fontId="0" fillId="0" borderId="9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12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Standard" xfId="0" builtinId="0"/>
  </cellStyles>
  <dxfs count="0"/>
  <tableStyles count="0" defaultTableStyle="TableStyleMedium9" defaultPivotStyle="PivotStyleMedium7"/>
  <colors>
    <mruColors>
      <color rgb="FFB250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38100</xdr:rowOff>
    </xdr:from>
    <xdr:to>
      <xdr:col>5</xdr:col>
      <xdr:colOff>762000</xdr:colOff>
      <xdr:row>5</xdr:row>
      <xdr:rowOff>50800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38100"/>
          <a:ext cx="48006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711200</xdr:colOff>
      <xdr:row>2</xdr:row>
      <xdr:rowOff>25400</xdr:rowOff>
    </xdr:from>
    <xdr:to>
      <xdr:col>16</xdr:col>
      <xdr:colOff>50800</xdr:colOff>
      <xdr:row>13</xdr:row>
      <xdr:rowOff>139700</xdr:rowOff>
    </xdr:to>
    <xdr:pic>
      <xdr:nvPicPr>
        <xdr:cNvPr id="2" name="Bild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00" t="5365" r="14516" b="4391"/>
        <a:stretch/>
      </xdr:blipFill>
      <xdr:spPr>
        <a:xfrm>
          <a:off x="7315200" y="431800"/>
          <a:ext cx="59436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50"/>
  <sheetViews>
    <sheetView zoomScale="111" workbookViewId="0">
      <pane ySplit="2" topLeftCell="A3" activePane="bottomLeft" state="frozen"/>
      <selection pane="bottomLeft" activeCell="K3" sqref="K3:K10"/>
    </sheetView>
  </sheetViews>
  <sheetFormatPr baseColWidth="10" defaultColWidth="11" defaultRowHeight="15" x14ac:dyDescent="0"/>
  <cols>
    <col min="2" max="2" width="3.33203125" bestFit="1" customWidth="1"/>
    <col min="3" max="3" width="3.1640625" bestFit="1" customWidth="1"/>
    <col min="4" max="4" width="8.83203125" bestFit="1" customWidth="1"/>
    <col min="5" max="5" width="13.1640625" customWidth="1"/>
    <col min="6" max="6" width="14.5" style="1" bestFit="1" customWidth="1"/>
    <col min="7" max="7" width="12.1640625" customWidth="1"/>
    <col min="8" max="8" width="10.83203125" style="1" bestFit="1" customWidth="1"/>
    <col min="9" max="9" width="10.6640625" bestFit="1" customWidth="1"/>
    <col min="10" max="10" width="10" style="2" bestFit="1" customWidth="1"/>
    <col min="11" max="11" width="10.6640625" bestFit="1" customWidth="1"/>
    <col min="12" max="12" width="10.1640625" style="2" bestFit="1" customWidth="1"/>
    <col min="13" max="13" width="19" customWidth="1"/>
    <col min="14" max="14" width="8" style="2" bestFit="1" customWidth="1"/>
    <col min="16" max="16" width="9.6640625" style="2" bestFit="1" customWidth="1"/>
    <col min="17" max="17" width="10.5" bestFit="1" customWidth="1"/>
    <col min="18" max="18" width="8.6640625" style="2" bestFit="1" customWidth="1"/>
    <col min="19" max="19" width="10.5" bestFit="1" customWidth="1"/>
    <col min="20" max="20" width="11" style="2"/>
    <col min="22" max="22" width="11" style="2"/>
    <col min="24" max="24" width="9.5" style="2" bestFit="1" customWidth="1"/>
  </cols>
  <sheetData>
    <row r="1" spans="1:23" ht="16" thickBot="1">
      <c r="A1" s="1"/>
      <c r="C1" s="1"/>
      <c r="E1" s="2"/>
      <c r="F1"/>
      <c r="G1" s="2"/>
      <c r="H1"/>
      <c r="I1" s="2">
        <v>48</v>
      </c>
      <c r="J1"/>
      <c r="K1" s="2">
        <v>128</v>
      </c>
      <c r="L1"/>
      <c r="M1" s="2">
        <v>16</v>
      </c>
      <c r="N1"/>
      <c r="O1" s="2">
        <v>64</v>
      </c>
      <c r="P1"/>
      <c r="Q1" s="2"/>
      <c r="R1"/>
      <c r="S1" s="2"/>
      <c r="T1"/>
      <c r="V1"/>
    </row>
    <row r="2" spans="1:23">
      <c r="A2" s="1"/>
      <c r="B2" s="3"/>
      <c r="C2" s="6"/>
      <c r="D2" s="3" t="s">
        <v>87</v>
      </c>
      <c r="E2" s="24" t="s">
        <v>43</v>
      </c>
      <c r="F2" s="3" t="s">
        <v>88</v>
      </c>
      <c r="G2" s="24" t="s">
        <v>42</v>
      </c>
      <c r="H2" s="3" t="s">
        <v>89</v>
      </c>
      <c r="I2" s="24" t="s">
        <v>48</v>
      </c>
      <c r="J2" s="3" t="s">
        <v>86</v>
      </c>
      <c r="K2" s="24" t="s">
        <v>49</v>
      </c>
      <c r="L2" s="3" t="s">
        <v>85</v>
      </c>
      <c r="M2" s="24" t="s">
        <v>50</v>
      </c>
      <c r="N2" s="3" t="s">
        <v>84</v>
      </c>
      <c r="O2" s="24" t="s">
        <v>51</v>
      </c>
      <c r="P2" s="3" t="s">
        <v>190</v>
      </c>
      <c r="Q2" s="24" t="s">
        <v>52</v>
      </c>
      <c r="R2" s="10" t="s">
        <v>191</v>
      </c>
      <c r="S2" s="24" t="s">
        <v>53</v>
      </c>
      <c r="T2"/>
      <c r="V2"/>
    </row>
    <row r="3" spans="1:23">
      <c r="A3" s="1"/>
      <c r="B3" s="4" t="s">
        <v>13</v>
      </c>
      <c r="C3" s="7" t="s">
        <v>8</v>
      </c>
      <c r="D3" s="13" t="s">
        <v>22</v>
      </c>
      <c r="E3" s="25">
        <v>0</v>
      </c>
      <c r="F3" s="13" t="s">
        <v>34</v>
      </c>
      <c r="G3" s="42">
        <v>100</v>
      </c>
      <c r="H3" s="13" t="s">
        <v>55</v>
      </c>
      <c r="I3" s="42">
        <v>200</v>
      </c>
      <c r="J3" s="13" t="s">
        <v>64</v>
      </c>
      <c r="K3" s="42">
        <v>100</v>
      </c>
      <c r="L3" s="13" t="s">
        <v>73</v>
      </c>
      <c r="M3" s="42">
        <v>50</v>
      </c>
      <c r="N3" s="13" t="s">
        <v>90</v>
      </c>
      <c r="O3" s="42">
        <v>64</v>
      </c>
      <c r="P3" s="13" t="s">
        <v>102</v>
      </c>
      <c r="Q3" s="25">
        <v>0</v>
      </c>
      <c r="R3" s="11" t="s">
        <v>114</v>
      </c>
      <c r="S3" s="25">
        <v>0</v>
      </c>
      <c r="T3"/>
      <c r="V3"/>
    </row>
    <row r="4" spans="1:23">
      <c r="A4" s="1"/>
      <c r="B4" s="4" t="s">
        <v>13</v>
      </c>
      <c r="C4" s="7" t="s">
        <v>11</v>
      </c>
      <c r="D4" s="14" t="s">
        <v>23</v>
      </c>
      <c r="E4" s="25">
        <v>0</v>
      </c>
      <c r="F4" s="13" t="s">
        <v>35</v>
      </c>
      <c r="G4" s="43"/>
      <c r="H4" s="13" t="s">
        <v>56</v>
      </c>
      <c r="I4" s="43"/>
      <c r="J4" s="13" t="s">
        <v>65</v>
      </c>
      <c r="K4" s="43"/>
      <c r="L4" s="13" t="s">
        <v>74</v>
      </c>
      <c r="M4" s="43"/>
      <c r="N4" s="13" t="s">
        <v>91</v>
      </c>
      <c r="O4" s="43"/>
      <c r="P4" s="13" t="s">
        <v>103</v>
      </c>
      <c r="Q4" s="25">
        <v>0</v>
      </c>
      <c r="R4" s="11" t="s">
        <v>115</v>
      </c>
      <c r="S4" s="25">
        <v>0</v>
      </c>
      <c r="T4"/>
      <c r="V4"/>
    </row>
    <row r="5" spans="1:23">
      <c r="A5" s="1"/>
      <c r="B5" s="4" t="s">
        <v>13</v>
      </c>
      <c r="C5" s="7" t="s">
        <v>14</v>
      </c>
      <c r="D5" s="15" t="s">
        <v>24</v>
      </c>
      <c r="E5" s="25">
        <v>0</v>
      </c>
      <c r="F5" s="13" t="s">
        <v>36</v>
      </c>
      <c r="G5" s="43"/>
      <c r="H5" s="13" t="s">
        <v>57</v>
      </c>
      <c r="I5" s="43"/>
      <c r="J5" s="13" t="s">
        <v>66</v>
      </c>
      <c r="K5" s="43"/>
      <c r="L5" s="13" t="s">
        <v>75</v>
      </c>
      <c r="M5" s="43"/>
      <c r="N5" s="13" t="s">
        <v>92</v>
      </c>
      <c r="O5" s="43"/>
      <c r="P5" s="14" t="s">
        <v>104</v>
      </c>
      <c r="Q5" s="25">
        <v>1</v>
      </c>
      <c r="R5" s="11" t="s">
        <v>116</v>
      </c>
      <c r="S5" s="25">
        <v>0</v>
      </c>
      <c r="T5"/>
      <c r="V5"/>
    </row>
    <row r="6" spans="1:23">
      <c r="A6" s="1" t="s">
        <v>141</v>
      </c>
      <c r="B6" s="4" t="s">
        <v>13</v>
      </c>
      <c r="C6" s="7" t="s">
        <v>15</v>
      </c>
      <c r="D6" s="16" t="s">
        <v>123</v>
      </c>
      <c r="E6" s="34" t="s">
        <v>181</v>
      </c>
      <c r="F6" s="13" t="s">
        <v>37</v>
      </c>
      <c r="G6" s="43"/>
      <c r="H6" s="13" t="s">
        <v>58</v>
      </c>
      <c r="I6" s="43"/>
      <c r="J6" s="13" t="s">
        <v>67</v>
      </c>
      <c r="K6" s="43"/>
      <c r="L6" s="13" t="s">
        <v>76</v>
      </c>
      <c r="M6" s="43"/>
      <c r="N6" s="13" t="s">
        <v>93</v>
      </c>
      <c r="O6" s="43"/>
      <c r="P6" s="14" t="s">
        <v>105</v>
      </c>
      <c r="Q6" s="25">
        <v>0</v>
      </c>
      <c r="R6" s="11" t="s">
        <v>117</v>
      </c>
      <c r="S6" s="25">
        <v>0</v>
      </c>
      <c r="T6"/>
      <c r="V6"/>
      <c r="W6" t="s">
        <v>165</v>
      </c>
    </row>
    <row r="7" spans="1:23">
      <c r="A7" s="32" t="str">
        <f>((I3*500)+500)/1000&amp;"us"</f>
        <v>100.5us</v>
      </c>
      <c r="B7" s="4" t="s">
        <v>13</v>
      </c>
      <c r="C7" s="7" t="s">
        <v>16</v>
      </c>
      <c r="D7" s="16" t="s">
        <v>25</v>
      </c>
      <c r="E7" s="35"/>
      <c r="F7" s="13" t="s">
        <v>38</v>
      </c>
      <c r="G7" s="43"/>
      <c r="H7" s="13" t="s">
        <v>59</v>
      </c>
      <c r="I7" s="43"/>
      <c r="J7" s="13" t="s">
        <v>68</v>
      </c>
      <c r="K7" s="43"/>
      <c r="L7" s="13" t="s">
        <v>77</v>
      </c>
      <c r="M7" s="43"/>
      <c r="N7" s="13" t="s">
        <v>94</v>
      </c>
      <c r="O7" s="43"/>
      <c r="P7" s="15" t="s">
        <v>106</v>
      </c>
      <c r="Q7" s="25">
        <v>0</v>
      </c>
      <c r="R7" s="11" t="s">
        <v>118</v>
      </c>
      <c r="S7" s="25">
        <v>0</v>
      </c>
      <c r="T7"/>
      <c r="V7"/>
      <c r="W7" t="s">
        <v>166</v>
      </c>
    </row>
    <row r="8" spans="1:23">
      <c r="A8" s="1" t="s">
        <v>140</v>
      </c>
      <c r="B8" s="4" t="s">
        <v>13</v>
      </c>
      <c r="C8" s="7" t="s">
        <v>17</v>
      </c>
      <c r="D8" s="16" t="s">
        <v>26</v>
      </c>
      <c r="E8" s="35"/>
      <c r="F8" s="13" t="s">
        <v>39</v>
      </c>
      <c r="G8" s="43"/>
      <c r="H8" s="13" t="s">
        <v>60</v>
      </c>
      <c r="I8" s="43"/>
      <c r="J8" s="13" t="s">
        <v>69</v>
      </c>
      <c r="K8" s="43"/>
      <c r="L8" s="13" t="s">
        <v>78</v>
      </c>
      <c r="M8" s="43"/>
      <c r="N8" s="13" t="s">
        <v>95</v>
      </c>
      <c r="O8" s="43"/>
      <c r="P8" s="15" t="s">
        <v>107</v>
      </c>
      <c r="Q8" s="25">
        <v>1</v>
      </c>
      <c r="R8" s="11" t="s">
        <v>119</v>
      </c>
      <c r="S8" s="25">
        <v>0</v>
      </c>
      <c r="T8"/>
      <c r="V8"/>
      <c r="W8" t="s">
        <v>167</v>
      </c>
    </row>
    <row r="9" spans="1:23">
      <c r="A9" s="32" t="str">
        <f>(K3*20+20)/1000&amp;"us"</f>
        <v>2.02us</v>
      </c>
      <c r="B9" s="4" t="s">
        <v>13</v>
      </c>
      <c r="C9" s="7" t="s">
        <v>18</v>
      </c>
      <c r="D9" s="16" t="s">
        <v>27</v>
      </c>
      <c r="E9" s="36"/>
      <c r="F9" s="13" t="s">
        <v>40</v>
      </c>
      <c r="G9" s="43"/>
      <c r="H9" s="13" t="s">
        <v>61</v>
      </c>
      <c r="I9" s="43"/>
      <c r="J9" s="13" t="s">
        <v>70</v>
      </c>
      <c r="K9" s="43"/>
      <c r="L9" s="13" t="s">
        <v>79</v>
      </c>
      <c r="M9" s="43"/>
      <c r="N9" s="13" t="s">
        <v>96</v>
      </c>
      <c r="O9" s="43"/>
      <c r="P9" s="16" t="s">
        <v>108</v>
      </c>
      <c r="Q9" s="25">
        <v>0</v>
      </c>
      <c r="R9" s="11" t="s">
        <v>120</v>
      </c>
      <c r="S9" s="25">
        <v>0</v>
      </c>
      <c r="T9"/>
      <c r="V9"/>
      <c r="W9" t="s">
        <v>168</v>
      </c>
    </row>
    <row r="10" spans="1:23">
      <c r="A10" s="1" t="s">
        <v>206</v>
      </c>
      <c r="B10" s="4" t="s">
        <v>13</v>
      </c>
      <c r="C10" s="7" t="s">
        <v>0</v>
      </c>
      <c r="D10" s="17" t="s">
        <v>28</v>
      </c>
      <c r="E10" s="25">
        <v>0</v>
      </c>
      <c r="F10" s="13" t="s">
        <v>41</v>
      </c>
      <c r="G10" s="44"/>
      <c r="H10" s="13" t="s">
        <v>62</v>
      </c>
      <c r="I10" s="44"/>
      <c r="J10" s="13" t="s">
        <v>71</v>
      </c>
      <c r="K10" s="44"/>
      <c r="L10" s="13" t="s">
        <v>80</v>
      </c>
      <c r="M10" s="44"/>
      <c r="N10" s="13" t="s">
        <v>97</v>
      </c>
      <c r="O10" s="44"/>
      <c r="P10" s="16" t="s">
        <v>109</v>
      </c>
      <c r="Q10" s="25">
        <v>1</v>
      </c>
      <c r="R10" s="11" t="s">
        <v>121</v>
      </c>
      <c r="S10" s="25">
        <v>0</v>
      </c>
      <c r="T10"/>
      <c r="V10"/>
      <c r="W10" t="s">
        <v>169</v>
      </c>
    </row>
    <row r="11" spans="1:23">
      <c r="A11" s="32" t="str">
        <f>((M3*500)+500)/1000&amp;"us"</f>
        <v>25.5us</v>
      </c>
      <c r="B11" s="4" t="s">
        <v>13</v>
      </c>
      <c r="C11" s="7" t="s">
        <v>19</v>
      </c>
      <c r="D11" s="20" t="s">
        <v>29</v>
      </c>
      <c r="E11" s="25">
        <v>1</v>
      </c>
      <c r="F11" s="14" t="s">
        <v>44</v>
      </c>
      <c r="G11" s="42" t="s">
        <v>174</v>
      </c>
      <c r="H11" s="14" t="s">
        <v>63</v>
      </c>
      <c r="I11" s="25">
        <v>0</v>
      </c>
      <c r="J11" s="14" t="s">
        <v>72</v>
      </c>
      <c r="K11" s="25">
        <v>0</v>
      </c>
      <c r="L11" s="14" t="s">
        <v>81</v>
      </c>
      <c r="M11" s="34" t="s">
        <v>166</v>
      </c>
      <c r="N11" s="14" t="s">
        <v>98</v>
      </c>
      <c r="O11" s="25">
        <v>0</v>
      </c>
      <c r="P11" s="17" t="s">
        <v>110</v>
      </c>
      <c r="Q11" s="25">
        <v>1</v>
      </c>
      <c r="R11" s="4" t="s">
        <v>47</v>
      </c>
      <c r="S11" s="25">
        <v>0</v>
      </c>
      <c r="T11"/>
      <c r="V11"/>
      <c r="W11" t="s">
        <v>170</v>
      </c>
    </row>
    <row r="12" spans="1:23">
      <c r="A12" s="1"/>
      <c r="B12" s="4" t="s">
        <v>13</v>
      </c>
      <c r="C12" s="7" t="s">
        <v>20</v>
      </c>
      <c r="D12" s="20" t="s">
        <v>30</v>
      </c>
      <c r="E12" s="25">
        <v>1</v>
      </c>
      <c r="F12" s="14" t="s">
        <v>45</v>
      </c>
      <c r="G12" s="43"/>
      <c r="H12" s="4" t="s">
        <v>47</v>
      </c>
      <c r="I12" s="25">
        <v>0</v>
      </c>
      <c r="J12" s="4" t="s">
        <v>47</v>
      </c>
      <c r="K12" s="25">
        <v>0</v>
      </c>
      <c r="L12" s="14" t="s">
        <v>82</v>
      </c>
      <c r="M12" s="35"/>
      <c r="N12" s="14" t="s">
        <v>99</v>
      </c>
      <c r="O12" s="25">
        <v>0</v>
      </c>
      <c r="P12" s="17" t="s">
        <v>111</v>
      </c>
      <c r="Q12" s="25">
        <v>0</v>
      </c>
      <c r="R12" s="4" t="s">
        <v>47</v>
      </c>
      <c r="S12" s="25">
        <v>0</v>
      </c>
      <c r="T12"/>
      <c r="V12"/>
      <c r="W12" t="s">
        <v>171</v>
      </c>
    </row>
    <row r="13" spans="1:23">
      <c r="A13" s="1"/>
      <c r="B13" s="4" t="s">
        <v>13</v>
      </c>
      <c r="C13" s="7" t="s">
        <v>21</v>
      </c>
      <c r="D13" s="21" t="s">
        <v>31</v>
      </c>
      <c r="E13" s="25">
        <v>1</v>
      </c>
      <c r="F13" s="14" t="s">
        <v>46</v>
      </c>
      <c r="G13" s="44"/>
      <c r="H13" s="4" t="s">
        <v>47</v>
      </c>
      <c r="I13" s="25">
        <v>0</v>
      </c>
      <c r="J13" s="4" t="s">
        <v>47</v>
      </c>
      <c r="K13" s="25">
        <v>0</v>
      </c>
      <c r="L13" s="14" t="s">
        <v>83</v>
      </c>
      <c r="M13" s="36"/>
      <c r="N13" s="15" t="s">
        <v>100</v>
      </c>
      <c r="O13" s="25">
        <v>0</v>
      </c>
      <c r="P13" s="20" t="s">
        <v>112</v>
      </c>
      <c r="Q13" s="25">
        <v>1</v>
      </c>
      <c r="R13" s="4" t="s">
        <v>47</v>
      </c>
      <c r="S13" s="25">
        <v>0</v>
      </c>
      <c r="T13"/>
      <c r="V13"/>
    </row>
    <row r="14" spans="1:23">
      <c r="A14" s="1"/>
      <c r="B14" s="4" t="s">
        <v>13</v>
      </c>
      <c r="C14" s="7" t="s">
        <v>12</v>
      </c>
      <c r="D14" s="21" t="s">
        <v>32</v>
      </c>
      <c r="E14" s="25">
        <v>1</v>
      </c>
      <c r="F14" s="4" t="s">
        <v>47</v>
      </c>
      <c r="G14" s="25">
        <v>0</v>
      </c>
      <c r="H14" s="4" t="s">
        <v>47</v>
      </c>
      <c r="I14" s="25">
        <v>0</v>
      </c>
      <c r="J14" s="4" t="s">
        <v>47</v>
      </c>
      <c r="K14" s="25">
        <v>0</v>
      </c>
      <c r="L14" s="4" t="s">
        <v>47</v>
      </c>
      <c r="M14" s="25">
        <v>0</v>
      </c>
      <c r="N14" s="15" t="s">
        <v>101</v>
      </c>
      <c r="O14" s="25">
        <v>0</v>
      </c>
      <c r="P14" s="20" t="s">
        <v>113</v>
      </c>
      <c r="Q14" s="25">
        <v>0</v>
      </c>
      <c r="R14" s="4" t="s">
        <v>47</v>
      </c>
      <c r="S14" s="25">
        <v>0</v>
      </c>
      <c r="T14"/>
      <c r="V14"/>
    </row>
    <row r="15" spans="1:23">
      <c r="A15" s="1"/>
      <c r="B15" s="4" t="s">
        <v>13</v>
      </c>
      <c r="C15" s="7" t="s">
        <v>4</v>
      </c>
      <c r="D15" s="18" t="s">
        <v>1</v>
      </c>
      <c r="E15" s="25">
        <v>0</v>
      </c>
      <c r="F15" s="18" t="s">
        <v>1</v>
      </c>
      <c r="G15" s="25">
        <v>1</v>
      </c>
      <c r="H15" s="18" t="s">
        <v>1</v>
      </c>
      <c r="I15" s="25">
        <v>0</v>
      </c>
      <c r="J15" s="18" t="s">
        <v>1</v>
      </c>
      <c r="K15" s="25">
        <v>1</v>
      </c>
      <c r="L15" s="18" t="s">
        <v>1</v>
      </c>
      <c r="M15" s="25">
        <v>0</v>
      </c>
      <c r="N15" s="18" t="s">
        <v>1</v>
      </c>
      <c r="O15" s="25">
        <v>1</v>
      </c>
      <c r="P15" s="18" t="s">
        <v>1</v>
      </c>
      <c r="Q15" s="25">
        <v>0</v>
      </c>
      <c r="R15" s="19" t="s">
        <v>1</v>
      </c>
      <c r="S15" s="25">
        <v>1</v>
      </c>
      <c r="T15"/>
      <c r="V15"/>
      <c r="W15" t="s">
        <v>172</v>
      </c>
    </row>
    <row r="16" spans="1:23">
      <c r="A16" s="1"/>
      <c r="B16" s="4" t="s">
        <v>13</v>
      </c>
      <c r="C16" s="7" t="s">
        <v>5</v>
      </c>
      <c r="D16" s="18" t="s">
        <v>2</v>
      </c>
      <c r="E16" s="25">
        <v>0</v>
      </c>
      <c r="F16" s="18" t="s">
        <v>2</v>
      </c>
      <c r="G16" s="25">
        <v>0</v>
      </c>
      <c r="H16" s="18" t="s">
        <v>2</v>
      </c>
      <c r="I16" s="25">
        <v>1</v>
      </c>
      <c r="J16" s="18" t="s">
        <v>2</v>
      </c>
      <c r="K16" s="25">
        <v>1</v>
      </c>
      <c r="L16" s="18" t="s">
        <v>2</v>
      </c>
      <c r="M16" s="25">
        <v>0</v>
      </c>
      <c r="N16" s="18" t="s">
        <v>2</v>
      </c>
      <c r="O16" s="25">
        <v>0</v>
      </c>
      <c r="P16" s="18" t="s">
        <v>2</v>
      </c>
      <c r="Q16" s="25">
        <v>1</v>
      </c>
      <c r="R16" s="19" t="s">
        <v>2</v>
      </c>
      <c r="S16" s="25">
        <v>1</v>
      </c>
      <c r="T16"/>
      <c r="V16"/>
      <c r="W16" t="s">
        <v>173</v>
      </c>
    </row>
    <row r="17" spans="1:23">
      <c r="A17" s="1"/>
      <c r="B17" s="4" t="s">
        <v>13</v>
      </c>
      <c r="C17" s="7" t="s">
        <v>6</v>
      </c>
      <c r="D17" s="18" t="s">
        <v>3</v>
      </c>
      <c r="E17" s="25">
        <v>0</v>
      </c>
      <c r="F17" s="18" t="s">
        <v>3</v>
      </c>
      <c r="G17" s="25">
        <v>0</v>
      </c>
      <c r="H17" s="18" t="s">
        <v>3</v>
      </c>
      <c r="I17" s="25">
        <v>0</v>
      </c>
      <c r="J17" s="18" t="s">
        <v>3</v>
      </c>
      <c r="K17" s="25">
        <v>0</v>
      </c>
      <c r="L17" s="18" t="s">
        <v>3</v>
      </c>
      <c r="M17" s="25">
        <v>1</v>
      </c>
      <c r="N17" s="18" t="s">
        <v>3</v>
      </c>
      <c r="O17" s="25">
        <v>1</v>
      </c>
      <c r="P17" s="18" t="s">
        <v>3</v>
      </c>
      <c r="Q17" s="25">
        <v>1</v>
      </c>
      <c r="R17" s="19" t="s">
        <v>3</v>
      </c>
      <c r="S17" s="25">
        <v>1</v>
      </c>
      <c r="T17"/>
      <c r="V17"/>
      <c r="W17" t="s">
        <v>174</v>
      </c>
    </row>
    <row r="18" spans="1:23">
      <c r="A18" s="1"/>
      <c r="B18" s="4" t="s">
        <v>13</v>
      </c>
      <c r="C18" s="7" t="s">
        <v>7</v>
      </c>
      <c r="D18" s="22" t="s">
        <v>33</v>
      </c>
      <c r="E18" s="25">
        <v>0</v>
      </c>
      <c r="F18" s="22" t="s">
        <v>33</v>
      </c>
      <c r="G18" s="25">
        <v>0</v>
      </c>
      <c r="H18" s="22" t="s">
        <v>33</v>
      </c>
      <c r="I18" s="25">
        <v>0</v>
      </c>
      <c r="J18" s="22" t="s">
        <v>33</v>
      </c>
      <c r="K18" s="25">
        <v>0</v>
      </c>
      <c r="L18" s="22" t="s">
        <v>33</v>
      </c>
      <c r="M18" s="25">
        <v>0</v>
      </c>
      <c r="N18" s="22" t="s">
        <v>33</v>
      </c>
      <c r="O18" s="25">
        <v>0</v>
      </c>
      <c r="P18" s="22" t="s">
        <v>33</v>
      </c>
      <c r="Q18" s="25">
        <v>0</v>
      </c>
      <c r="R18" s="23" t="s">
        <v>33</v>
      </c>
      <c r="S18" s="25">
        <v>0</v>
      </c>
      <c r="T18"/>
      <c r="V18"/>
      <c r="W18" t="s">
        <v>175</v>
      </c>
    </row>
    <row r="19" spans="1:23">
      <c r="A19" s="1"/>
      <c r="B19" s="4"/>
      <c r="C19" s="8"/>
      <c r="D19" s="4"/>
      <c r="E19" s="25"/>
      <c r="F19" s="4"/>
      <c r="G19" s="25"/>
      <c r="H19" s="4"/>
      <c r="I19" s="25"/>
      <c r="J19" s="4"/>
      <c r="K19" s="25"/>
      <c r="L19" s="4"/>
      <c r="M19" s="25"/>
      <c r="N19" s="4"/>
      <c r="O19" s="25"/>
      <c r="P19" s="4"/>
      <c r="Q19" s="25"/>
      <c r="R19" s="11"/>
      <c r="S19" s="25"/>
      <c r="T19"/>
      <c r="V19"/>
      <c r="W19" t="s">
        <v>176</v>
      </c>
    </row>
    <row r="20" spans="1:23">
      <c r="A20" s="1"/>
      <c r="B20" s="4"/>
      <c r="C20" s="8"/>
      <c r="D20" s="4" t="s">
        <v>10</v>
      </c>
      <c r="E20" s="25" t="str">
        <f>BIN2HEX(E18&amp;E17&amp;E16&amp;E15&amp;E14&amp;E13&amp;E12&amp;E11)</f>
        <v>F</v>
      </c>
      <c r="F20" s="4" t="s">
        <v>10</v>
      </c>
      <c r="G20" s="25" t="str">
        <f>BIN2HEX(G18&amp;G17&amp;G16&amp;G15&amp;G14&amp;LEFT(G11,3))</f>
        <v>11</v>
      </c>
      <c r="H20" s="4" t="s">
        <v>10</v>
      </c>
      <c r="I20" s="25" t="str">
        <f>BIN2HEX(I18&amp;I17&amp;I16&amp;I15&amp;I14&amp;I13&amp;I12&amp;I11)</f>
        <v>20</v>
      </c>
      <c r="J20" s="4" t="s">
        <v>10</v>
      </c>
      <c r="K20" s="25" t="str">
        <f>BIN2HEX(K18&amp;K17&amp;K16&amp;K15&amp;K14&amp;K13&amp;K12&amp;K11)</f>
        <v>30</v>
      </c>
      <c r="L20" s="4" t="s">
        <v>10</v>
      </c>
      <c r="M20" s="25" t="str">
        <f>BIN2HEX(M18&amp;M17&amp;M16&amp;M15&amp;M14&amp;LEFT(M11,3))</f>
        <v>40</v>
      </c>
      <c r="N20" s="4" t="s">
        <v>10</v>
      </c>
      <c r="O20" s="25" t="str">
        <f>BIN2HEX(O18&amp;O17&amp;O16&amp;O15&amp;O14&amp;O13&amp;O12&amp;O11)</f>
        <v>50</v>
      </c>
      <c r="P20" s="4" t="s">
        <v>10</v>
      </c>
      <c r="Q20" s="25" t="str">
        <f>BIN2HEX(Q18&amp;Q17&amp;Q16&amp;Q15&amp;Q14&amp;Q13&amp;Q12&amp;Q11)</f>
        <v>65</v>
      </c>
      <c r="R20" s="4" t="s">
        <v>10</v>
      </c>
      <c r="S20" s="25" t="str">
        <f>BIN2HEX(S18&amp;S17&amp;S16&amp;S15&amp;S14&amp;S13&amp;S12&amp;S11)</f>
        <v>70</v>
      </c>
      <c r="T20"/>
      <c r="V20"/>
      <c r="W20" t="s">
        <v>177</v>
      </c>
    </row>
    <row r="21" spans="1:23">
      <c r="A21" s="1"/>
      <c r="B21" s="4"/>
      <c r="C21" s="8"/>
      <c r="D21" s="4" t="s">
        <v>9</v>
      </c>
      <c r="E21" s="25" t="str">
        <f>BIN2HEX(E10&amp;LEFT(E6,4)&amp;E5&amp;E4&amp;E3)</f>
        <v>0</v>
      </c>
      <c r="F21" s="4" t="s">
        <v>9</v>
      </c>
      <c r="G21" s="25" t="str">
        <f>DEC2HEX(G3)</f>
        <v>64</v>
      </c>
      <c r="H21" s="4" t="s">
        <v>9</v>
      </c>
      <c r="I21" s="25" t="str">
        <f>DEC2HEX(I3)</f>
        <v>C8</v>
      </c>
      <c r="J21" s="4" t="s">
        <v>9</v>
      </c>
      <c r="K21" s="25" t="str">
        <f>DEC2HEX(K3)</f>
        <v>64</v>
      </c>
      <c r="L21" s="4" t="s">
        <v>9</v>
      </c>
      <c r="M21" s="25" t="str">
        <f>DEC2HEX(M3)</f>
        <v>32</v>
      </c>
      <c r="N21" s="4" t="s">
        <v>9</v>
      </c>
      <c r="O21" s="25" t="str">
        <f>DEC2HEX(O3)</f>
        <v>40</v>
      </c>
      <c r="P21" s="4" t="s">
        <v>9</v>
      </c>
      <c r="Q21" s="25" t="str">
        <f>BIN2HEX(Q10&amp;Q9&amp;Q8&amp;Q7&amp;Q6&amp;Q5&amp;Q4&amp;Q3)</f>
        <v>A4</v>
      </c>
      <c r="R21" s="4" t="s">
        <v>9</v>
      </c>
      <c r="S21" s="25" t="str">
        <f>BIN2HEX(S10&amp;S9&amp;S8&amp;S7&amp;S6&amp;S5&amp;S4&amp;S3)</f>
        <v>0</v>
      </c>
      <c r="T21"/>
      <c r="V21"/>
      <c r="W21" t="s">
        <v>178</v>
      </c>
    </row>
    <row r="22" spans="1:23">
      <c r="A22" s="1"/>
      <c r="B22" s="4"/>
      <c r="C22" s="8"/>
      <c r="D22" s="4"/>
      <c r="E22" s="25"/>
      <c r="F22" s="4"/>
      <c r="G22" s="25"/>
      <c r="H22" s="4"/>
      <c r="I22" s="25"/>
      <c r="J22" s="4"/>
      <c r="K22" s="25"/>
      <c r="L22" s="4"/>
      <c r="M22" s="25"/>
      <c r="N22" s="4"/>
      <c r="O22" s="25"/>
      <c r="P22" s="4"/>
      <c r="Q22" s="25"/>
      <c r="R22" s="11"/>
      <c r="S22" s="25"/>
      <c r="T22"/>
      <c r="V22"/>
      <c r="W22" t="s">
        <v>179</v>
      </c>
    </row>
    <row r="23" spans="1:23" ht="16" thickBot="1">
      <c r="A23" s="1"/>
      <c r="B23" s="5"/>
      <c r="C23" s="9"/>
      <c r="D23" s="5" t="s">
        <v>54</v>
      </c>
      <c r="E23" s="26" t="str">
        <f>"[0x"&amp;E20&amp;" 0x"&amp;E21&amp;"]"</f>
        <v>[0xF 0x0]</v>
      </c>
      <c r="F23" s="5" t="s">
        <v>54</v>
      </c>
      <c r="G23" s="26" t="str">
        <f>"[0x"&amp;G20&amp;" 0x"&amp;G21&amp;"]"</f>
        <v>[0x11 0x64]</v>
      </c>
      <c r="H23" s="5" t="s">
        <v>54</v>
      </c>
      <c r="I23" s="26" t="str">
        <f>"[0x"&amp;I20&amp;" 0x"&amp;I21&amp;"]"</f>
        <v>[0x20 0xC8]</v>
      </c>
      <c r="J23" s="5" t="s">
        <v>54</v>
      </c>
      <c r="K23" s="26" t="str">
        <f>"[0x"&amp;K20&amp;" 0x"&amp;K21&amp;"]"</f>
        <v>[0x30 0x64]</v>
      </c>
      <c r="L23" s="5" t="s">
        <v>54</v>
      </c>
      <c r="M23" s="26" t="str">
        <f>"[0x"&amp;M20&amp;" 0x"&amp;M21&amp;"]"</f>
        <v>[0x40 0x32]</v>
      </c>
      <c r="N23" s="5" t="s">
        <v>54</v>
      </c>
      <c r="O23" s="26" t="str">
        <f>"[0x"&amp;O20&amp;" 0x"&amp;O21&amp;"]"</f>
        <v>[0x50 0x40]</v>
      </c>
      <c r="P23" s="5" t="s">
        <v>54</v>
      </c>
      <c r="Q23" s="26" t="str">
        <f>"[0x"&amp;Q20&amp;" 0x"&amp;Q21&amp;"]"</f>
        <v>[0x65 0xA4]</v>
      </c>
      <c r="R23" s="12" t="s">
        <v>54</v>
      </c>
      <c r="S23" s="26" t="str">
        <f>"[0x"&amp;S20&amp;" 0x"&amp;S21&amp;"]"</f>
        <v>[0x70 0x0]</v>
      </c>
      <c r="T23"/>
      <c r="U23" s="1"/>
      <c r="V23"/>
      <c r="W23" t="s">
        <v>180</v>
      </c>
    </row>
    <row r="24" spans="1:23">
      <c r="A24" s="1"/>
      <c r="C24" s="1"/>
      <c r="D24" s="28" t="s">
        <v>132</v>
      </c>
      <c r="E24" s="2" t="str">
        <f>"[0x"&amp;E20&amp;" 0x"&amp;BIN2HEX(E10&amp;LEFT(E6,4)&amp;E5&amp;E4&amp;"1")&amp;"]"</f>
        <v>[0xF 0x1]</v>
      </c>
      <c r="F24"/>
      <c r="G24" s="2"/>
      <c r="H24"/>
      <c r="I24" s="2"/>
      <c r="J24"/>
      <c r="K24" s="2"/>
      <c r="L24"/>
      <c r="M24" s="2"/>
      <c r="N24"/>
      <c r="O24" s="2"/>
      <c r="P24"/>
      <c r="Q24" s="2"/>
      <c r="R24"/>
      <c r="S24" s="2"/>
      <c r="T24"/>
      <c r="U24" s="1"/>
      <c r="V24"/>
    </row>
    <row r="25" spans="1:23">
      <c r="A25" s="1"/>
      <c r="C25" s="1"/>
      <c r="D25" t="s">
        <v>10</v>
      </c>
      <c r="E25" s="2" t="str">
        <f>"1"&amp;E17&amp;E16&amp;E15&amp;"0000"</f>
        <v>10000000</v>
      </c>
      <c r="F25" t="s">
        <v>10</v>
      </c>
      <c r="G25" s="2" t="str">
        <f>"1"&amp;G17&amp;G16&amp;G15&amp;"0000"</f>
        <v>10010000</v>
      </c>
      <c r="H25" t="s">
        <v>10</v>
      </c>
      <c r="I25" s="2" t="str">
        <f>"1"&amp;I17&amp;I16&amp;I15&amp;"0000"</f>
        <v>10100000</v>
      </c>
      <c r="J25" t="s">
        <v>10</v>
      </c>
      <c r="K25" s="2" t="str">
        <f>"1"&amp;K17&amp;K16&amp;K15&amp;"0000"</f>
        <v>10110000</v>
      </c>
      <c r="L25" t="s">
        <v>10</v>
      </c>
      <c r="M25" s="2" t="str">
        <f>"1"&amp;M17&amp;M16&amp;M15&amp;"0000"</f>
        <v>11000000</v>
      </c>
      <c r="N25" t="s">
        <v>10</v>
      </c>
      <c r="O25" s="2" t="str">
        <f>"1"&amp;O17&amp;O16&amp;O15&amp;"0000"</f>
        <v>11010000</v>
      </c>
      <c r="P25" t="s">
        <v>10</v>
      </c>
      <c r="Q25" s="2" t="str">
        <f>"1"&amp;Q17&amp;Q16&amp;Q15&amp;"0000"</f>
        <v>11100000</v>
      </c>
      <c r="R25" t="s">
        <v>10</v>
      </c>
      <c r="S25" s="2" t="str">
        <f>"1"&amp;S17&amp;S16&amp;S15&amp;"0000"</f>
        <v>11110000</v>
      </c>
      <c r="T25"/>
      <c r="U25" s="1"/>
      <c r="V25"/>
      <c r="W25" t="s">
        <v>189</v>
      </c>
    </row>
    <row r="26" spans="1:23">
      <c r="A26" s="1"/>
      <c r="C26" s="1"/>
      <c r="D26" t="s">
        <v>54</v>
      </c>
      <c r="E26" s="27" t="str">
        <f>"{0x"&amp;BIN2HEX(E25)&amp;" 0x00]"</f>
        <v>{0x80 0x00]</v>
      </c>
      <c r="F26" t="s">
        <v>54</v>
      </c>
      <c r="G26" s="27" t="str">
        <f>"{0x"&amp;BIN2HEX(G25)&amp;" 0x00]"</f>
        <v>{0x90 0x00]</v>
      </c>
      <c r="H26" t="s">
        <v>54</v>
      </c>
      <c r="I26" s="27" t="str">
        <f>"{0x"&amp;BIN2HEX(I25)&amp;" 0x00]"</f>
        <v>{0xA0 0x00]</v>
      </c>
      <c r="J26" t="s">
        <v>54</v>
      </c>
      <c r="K26" s="27" t="str">
        <f>"{0x"&amp;BIN2HEX(K25)&amp;" 0x00]"</f>
        <v>{0xB0 0x00]</v>
      </c>
      <c r="L26" t="s">
        <v>54</v>
      </c>
      <c r="M26" s="27" t="str">
        <f>"{0x"&amp;BIN2HEX(M25)&amp;" 0x00]"</f>
        <v>{0xC0 0x00]</v>
      </c>
      <c r="N26" t="s">
        <v>54</v>
      </c>
      <c r="O26" s="27" t="str">
        <f>"{0x"&amp;BIN2HEX(O25)&amp;" 0x00]"</f>
        <v>{0xD0 0x00]</v>
      </c>
      <c r="P26" t="s">
        <v>54</v>
      </c>
      <c r="Q26" s="27" t="str">
        <f>"{0x"&amp;BIN2HEX(Q25)&amp;" 0x00]"</f>
        <v>{0xE0 0x00]</v>
      </c>
      <c r="R26" t="s">
        <v>54</v>
      </c>
      <c r="S26" s="27" t="str">
        <f>"{0x"&amp;BIN2HEX(S25)&amp;" 0x00]"</f>
        <v>{0xF0 0x00]</v>
      </c>
      <c r="T26"/>
      <c r="U26" s="1"/>
      <c r="V26"/>
      <c r="W26" t="s">
        <v>181</v>
      </c>
    </row>
    <row r="27" spans="1:23">
      <c r="A27" s="1"/>
      <c r="C27" s="1"/>
      <c r="E27" s="2" t="s">
        <v>149</v>
      </c>
      <c r="F27"/>
      <c r="G27" s="2"/>
      <c r="H27"/>
      <c r="I27" s="2"/>
      <c r="J27"/>
      <c r="K27" s="2"/>
      <c r="L27"/>
      <c r="M27" s="2"/>
      <c r="N27"/>
      <c r="O27" s="2"/>
      <c r="P27"/>
      <c r="Q27" s="2"/>
      <c r="R27"/>
      <c r="S27" s="2"/>
      <c r="T27"/>
      <c r="V27"/>
      <c r="W27" t="s">
        <v>182</v>
      </c>
    </row>
    <row r="28" spans="1:23">
      <c r="A28" s="1"/>
      <c r="C28" s="1"/>
      <c r="D28" t="s">
        <v>150</v>
      </c>
      <c r="E28" s="2" t="str">
        <f>"0x"&amp;E20&amp;$E$27&amp;"0x"&amp;E21</f>
        <v>0xF, 0x0</v>
      </c>
      <c r="G28" s="2" t="str">
        <f>"0x"&amp;G20&amp;$E$27&amp;"0x"&amp;G21</f>
        <v>0x11, 0x64</v>
      </c>
      <c r="I28" s="2" t="str">
        <f>"0x"&amp;I20&amp;$E$27&amp;"0x"&amp;I21</f>
        <v>0x20, 0xC8</v>
      </c>
      <c r="K28" s="2" t="str">
        <f>"0x"&amp;K20&amp;$E$27&amp;"0x"&amp;K21</f>
        <v>0x30, 0x64</v>
      </c>
      <c r="M28" s="2" t="str">
        <f>"0x"&amp;M20&amp;$E$27&amp;"0x"&amp;M21</f>
        <v>0x40, 0x32</v>
      </c>
      <c r="O28" s="2" t="str">
        <f>"0x"&amp;O20&amp;$E$27&amp;"0x"&amp;O21</f>
        <v>0x50, 0x40</v>
      </c>
      <c r="Q28" s="2" t="str">
        <f>"0x"&amp;Q20&amp;$E$27&amp;"0x"&amp;Q21</f>
        <v>0x65, 0xA4</v>
      </c>
      <c r="S28" s="2" t="str">
        <f>"0x"&amp;S20&amp;$E$27&amp;"0x"&amp;S21</f>
        <v>0x70, 0x0</v>
      </c>
      <c r="V28"/>
      <c r="W28" t="s">
        <v>183</v>
      </c>
    </row>
    <row r="29" spans="1:23">
      <c r="A29" s="1"/>
      <c r="C29" s="1"/>
      <c r="D29" t="s">
        <v>151</v>
      </c>
      <c r="E29" t="str">
        <f>"0x"&amp;BIN2HEX(E25)&amp;$E$27&amp;" 0x00"</f>
        <v>0x80,  0x00</v>
      </c>
      <c r="G29" t="str">
        <f>"0x"&amp;BIN2HEX(G25)&amp;$E$27&amp;" 0x00"</f>
        <v>0x90,  0x00</v>
      </c>
      <c r="I29" t="str">
        <f>"0x"&amp;BIN2HEX(I25)&amp;$E$27&amp;" 0x00"</f>
        <v>0xA0,  0x00</v>
      </c>
      <c r="K29" t="str">
        <f>"0x"&amp;BIN2HEX(K25)&amp;$E$27&amp;" 0x00"</f>
        <v>0xB0,  0x00</v>
      </c>
      <c r="M29" t="str">
        <f>"0x"&amp;BIN2HEX(M25)&amp;$E$27&amp;" 0x00"</f>
        <v>0xC0,  0x00</v>
      </c>
      <c r="O29" t="str">
        <f>"0x"&amp;BIN2HEX(O25)&amp;$E$27&amp;" 0x00"</f>
        <v>0xD0,  0x00</v>
      </c>
      <c r="Q29" t="str">
        <f>"0x"&amp;BIN2HEX(Q25)&amp;$E$27&amp;" 0x00"</f>
        <v>0xE0,  0x00</v>
      </c>
      <c r="S29" t="str">
        <f>"0x"&amp;BIN2HEX(S25)&amp;$E$27&amp;" 0x00"</f>
        <v>0xF0,  0x00</v>
      </c>
      <c r="T29"/>
      <c r="V29"/>
      <c r="W29" t="s">
        <v>184</v>
      </c>
    </row>
    <row r="30" spans="1:23" ht="16" thickBot="1">
      <c r="A30" s="1"/>
      <c r="C30" s="1"/>
      <c r="E30" s="2"/>
      <c r="T30"/>
      <c r="V30"/>
      <c r="W30" t="s">
        <v>185</v>
      </c>
    </row>
    <row r="31" spans="1:23">
      <c r="A31" s="1"/>
      <c r="C31" s="1"/>
      <c r="E31" s="2"/>
      <c r="F31" s="3" t="s">
        <v>122</v>
      </c>
      <c r="G31" s="39" t="str">
        <f>E23&amp;G23&amp;I23&amp;K23&amp;M23&amp;O23&amp;Q23&amp;S23&amp;E24</f>
        <v>[0xF 0x0][0x11 0x64][0x20 0xC8][0x30 0x64][0x40 0x32][0x50 0x40][0x65 0xA4][0x70 0x0][0xF 0x1]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1"/>
      <c r="T31"/>
      <c r="V31"/>
      <c r="W31" t="s">
        <v>186</v>
      </c>
    </row>
    <row r="32" spans="1:23" ht="16" thickBot="1">
      <c r="A32" s="1"/>
      <c r="C32" s="1"/>
      <c r="E32" s="2"/>
      <c r="F32" s="5" t="s">
        <v>124</v>
      </c>
      <c r="G32" s="37" t="str">
        <f>E26&amp;G26&amp;I26&amp;K26&amp;M26&amp;O26&amp;Q26&amp;S26</f>
        <v>{0x80 0x00]{0x90 0x00]{0xA0 0x00]{0xB0 0x00]{0xC0 0x00]{0xD0 0x00]{0xE0 0x00]{0xF0 0x00]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  <c r="T32"/>
      <c r="V32"/>
      <c r="W32" t="s">
        <v>187</v>
      </c>
    </row>
    <row r="33" spans="1:23">
      <c r="A33" s="1"/>
      <c r="C33" s="1"/>
      <c r="E33" s="2"/>
      <c r="F33"/>
      <c r="G33" s="2"/>
      <c r="H33"/>
      <c r="I33" s="2"/>
      <c r="J33"/>
      <c r="K33" s="2"/>
      <c r="L33"/>
      <c r="M33" s="2"/>
      <c r="N33"/>
      <c r="O33" s="2"/>
      <c r="P33"/>
      <c r="Q33" s="2"/>
      <c r="R33"/>
      <c r="S33" s="2"/>
      <c r="T33"/>
      <c r="V33"/>
      <c r="W33" t="s">
        <v>188</v>
      </c>
    </row>
    <row r="34" spans="1:23">
      <c r="A34" s="1"/>
      <c r="C34" s="1"/>
      <c r="E34" s="2"/>
      <c r="N34" s="2" t="s">
        <v>148</v>
      </c>
      <c r="Q34" t="str">
        <f>Q23&amp;S23</f>
        <v>[0x65 0xA4][0x70 0x0]</v>
      </c>
      <c r="T34"/>
      <c r="V34"/>
    </row>
    <row r="35" spans="1:23">
      <c r="A35" s="1"/>
      <c r="C35" s="1"/>
      <c r="E35" s="2"/>
      <c r="F35"/>
      <c r="G35" s="2" t="str">
        <f>E23&amp;G23&amp;S23&amp;E24</f>
        <v>[0xF 0x0][0x11 0x64][0x70 0x0][0xF 0x1]</v>
      </c>
      <c r="H35"/>
      <c r="I35" s="2"/>
      <c r="J35"/>
      <c r="K35" s="2"/>
      <c r="L35"/>
      <c r="M35" s="2"/>
      <c r="N35" s="31" t="str">
        <f>"volatile static uint8_t wr_drv8711Defaults[] = {"&amp;E28&amp;$E$27&amp;G28&amp;$E$27&amp;I28&amp;$E$27&amp;K28&amp;$E$27&amp;M28&amp;$E$27&amp;O28&amp;$E$27&amp;Q28&amp;$E$27&amp;$S$28&amp;"};"</f>
        <v>volatile static uint8_t wr_drv8711Defaults[] = {0xF, 0x0, 0x11, 0x64, 0x20, 0xC8, 0x30, 0x64, 0x40, 0x32, 0x50, 0x40, 0x65, 0xA4, 0x70, 0x0};</v>
      </c>
      <c r="O35" s="2"/>
      <c r="P35"/>
      <c r="Q35" s="2"/>
      <c r="R35"/>
      <c r="S35" s="2"/>
      <c r="T35"/>
      <c r="V35"/>
    </row>
    <row r="36" spans="1:23">
      <c r="A36" s="1"/>
      <c r="C36" s="1"/>
      <c r="E36" s="2"/>
      <c r="F36"/>
      <c r="G36" s="2"/>
      <c r="H36"/>
      <c r="I36" s="2"/>
      <c r="J36"/>
      <c r="K36" s="2" t="s">
        <v>142</v>
      </c>
      <c r="L36" t="str">
        <f>HEX2BIN(K36)</f>
        <v>11000000</v>
      </c>
      <c r="M36" s="2"/>
      <c r="N36" s="31" t="str">
        <f>"uint8_t wr_drv8711Read[] = {"&amp;E29&amp;$E$27&amp;G29&amp;$E$27&amp;I29&amp;$E$27&amp;K29&amp;$E$27&amp;M29&amp;$E$27&amp;O29&amp;$E$27&amp;Q29&amp;$E$27&amp;$S$28&amp;"};"</f>
        <v>uint8_t wr_drv8711Read[] = {0x80,  0x00, 0x90,  0x00, 0xA0,  0x00, 0xB0,  0x00, 0xC0,  0x00, 0xD0,  0x00, 0xE0,  0x00, 0x70, 0x0};</v>
      </c>
      <c r="O36" s="2"/>
      <c r="P36"/>
      <c r="Q36" s="2"/>
      <c r="R36"/>
      <c r="S36" s="2"/>
      <c r="T36"/>
      <c r="V36"/>
    </row>
    <row r="37" spans="1:23">
      <c r="F37"/>
      <c r="G37" s="2"/>
      <c r="H37"/>
      <c r="I37" s="2"/>
      <c r="J37"/>
      <c r="K37" s="2"/>
      <c r="L37"/>
      <c r="M37" s="2"/>
      <c r="O37" s="2"/>
      <c r="P37"/>
      <c r="Q37" s="2"/>
      <c r="R37"/>
      <c r="S37" s="2"/>
    </row>
    <row r="38" spans="1:23">
      <c r="F38" t="s">
        <v>144</v>
      </c>
      <c r="G38" s="29" t="s">
        <v>143</v>
      </c>
      <c r="H38"/>
      <c r="I38" s="2"/>
      <c r="J38"/>
      <c r="K38" s="2"/>
      <c r="L38"/>
      <c r="M38" s="2"/>
      <c r="N38"/>
      <c r="O38" s="2"/>
      <c r="P38"/>
      <c r="R38"/>
      <c r="S38" s="2"/>
      <c r="W38" t="s">
        <v>201</v>
      </c>
    </row>
    <row r="39" spans="1:23">
      <c r="F39" t="s">
        <v>145</v>
      </c>
      <c r="G39" s="2"/>
      <c r="H39"/>
      <c r="I39" s="2"/>
      <c r="J39"/>
      <c r="K39" s="2"/>
      <c r="L39"/>
      <c r="M39" s="2"/>
      <c r="N39"/>
      <c r="O39" s="2"/>
      <c r="P39" s="30"/>
      <c r="W39" t="s">
        <v>202</v>
      </c>
    </row>
    <row r="40" spans="1:23">
      <c r="K40" s="2"/>
      <c r="R40" s="29"/>
      <c r="W40" t="s">
        <v>203</v>
      </c>
    </row>
    <row r="41" spans="1:23">
      <c r="I41" s="1"/>
      <c r="K41" s="2"/>
      <c r="L41" s="2">
        <v>255</v>
      </c>
      <c r="M41">
        <f>L41/L42*M42</f>
        <v>1500</v>
      </c>
      <c r="W41" t="s">
        <v>204</v>
      </c>
    </row>
    <row r="42" spans="1:23">
      <c r="I42" s="1"/>
      <c r="K42" s="2"/>
      <c r="L42" s="2">
        <v>17</v>
      </c>
      <c r="M42">
        <v>100</v>
      </c>
      <c r="W42" t="s">
        <v>205</v>
      </c>
    </row>
    <row r="43" spans="1:23">
      <c r="F43" s="1" t="s">
        <v>146</v>
      </c>
      <c r="G43" t="s">
        <v>147</v>
      </c>
      <c r="K43" s="2"/>
    </row>
    <row r="44" spans="1:23">
      <c r="K44" s="2"/>
    </row>
    <row r="46" spans="1:23">
      <c r="F46" s="1" t="s">
        <v>210</v>
      </c>
      <c r="G46" t="s">
        <v>208</v>
      </c>
    </row>
    <row r="47" spans="1:23">
      <c r="F47" s="1" t="s">
        <v>210</v>
      </c>
      <c r="G47" t="s">
        <v>209</v>
      </c>
    </row>
    <row r="48" spans="1:23">
      <c r="G48" t="s">
        <v>207</v>
      </c>
    </row>
    <row r="49" spans="6:6">
      <c r="F49" s="1" t="s">
        <v>211</v>
      </c>
    </row>
    <row r="50" spans="6:6">
      <c r="F50" s="1" t="s">
        <v>212</v>
      </c>
    </row>
  </sheetData>
  <mergeCells count="10">
    <mergeCell ref="E6:E9"/>
    <mergeCell ref="G32:S32"/>
    <mergeCell ref="G31:S31"/>
    <mergeCell ref="G3:G10"/>
    <mergeCell ref="I3:I10"/>
    <mergeCell ref="K3:K10"/>
    <mergeCell ref="M3:M10"/>
    <mergeCell ref="O3:O10"/>
    <mergeCell ref="M11:M13"/>
    <mergeCell ref="G11:G13"/>
  </mergeCells>
  <phoneticPr fontId="3" type="noConversion"/>
  <conditionalFormatting sqref="E3:E6 E10:E18">
    <cfRule type="colorScale" priority="9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G11 G3 G14:G18">
    <cfRule type="colorScale" priority="8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I11:I18 I3">
    <cfRule type="colorScale" priority="7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K11:K18 K3">
    <cfRule type="colorScale" priority="6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M11 M3 M14:M18">
    <cfRule type="colorScale" priority="5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O11:O18 O3">
    <cfRule type="colorScale" priority="4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Q3:Q18">
    <cfRule type="colorScale" priority="3">
      <colorScale>
        <cfvo type="num" val="0"/>
        <cfvo type="num" val="1"/>
        <color theme="4" tint="0.79998168889431442"/>
        <color theme="7" tint="0.79998168889431442"/>
      </colorScale>
    </cfRule>
  </conditionalFormatting>
  <conditionalFormatting sqref="S3:S18">
    <cfRule type="colorScale" priority="2">
      <colorScale>
        <cfvo type="num" val="0"/>
        <cfvo type="num" val="1"/>
        <color theme="4" tint="0.79998168889431442"/>
        <color theme="7" tint="0.79998168889431442"/>
      </colorScale>
    </cfRule>
  </conditionalFormatting>
  <dataValidations disablePrompts="1" count="3">
    <dataValidation type="list" allowBlank="1" showInputMessage="1" showErrorMessage="1" sqref="M11:M13">
      <formula1>$W$7:$W$12</formula1>
    </dataValidation>
    <dataValidation type="list" allowBlank="1" showInputMessage="1" showErrorMessage="1" sqref="G11:G13">
      <formula1>$W$16:$W$23</formula1>
    </dataValidation>
    <dataValidation type="list" allowBlank="1" showInputMessage="1" showErrorMessage="1" sqref="E6:E9">
      <formula1>$W$26:$W$33</formula1>
    </dataValidation>
  </dataValidations>
  <pageMargins left="0.7" right="0.7" top="0.75" bottom="0.75" header="0.3" footer="0.3"/>
  <pageSetup paperSize="9" scale="4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27"/>
  <sheetViews>
    <sheetView workbookViewId="0">
      <selection activeCell="E11" sqref="E11"/>
    </sheetView>
  </sheetViews>
  <sheetFormatPr baseColWidth="10" defaultColWidth="11" defaultRowHeight="15" x14ac:dyDescent="0"/>
  <sheetData>
    <row r="7" spans="2:7">
      <c r="B7" t="s">
        <v>126</v>
      </c>
      <c r="C7">
        <f>Telegram!G3</f>
        <v>100</v>
      </c>
      <c r="F7" t="s">
        <v>127</v>
      </c>
    </row>
    <row r="8" spans="2:7">
      <c r="B8" t="s">
        <v>125</v>
      </c>
      <c r="C8">
        <f>LOOKUP(BIN2DEC(Telegram!E12&amp;Telegram!E11),F8:G11)</f>
        <v>40</v>
      </c>
      <c r="F8">
        <v>0</v>
      </c>
      <c r="G8">
        <v>5</v>
      </c>
    </row>
    <row r="9" spans="2:7">
      <c r="B9" t="s">
        <v>128</v>
      </c>
      <c r="C9">
        <v>50</v>
      </c>
      <c r="D9" t="s">
        <v>129</v>
      </c>
      <c r="F9">
        <v>1</v>
      </c>
      <c r="G9">
        <v>10</v>
      </c>
    </row>
    <row r="10" spans="2:7">
      <c r="B10" t="s">
        <v>130</v>
      </c>
      <c r="C10">
        <f>2.75*C7/(256*C8*C9*10^(-3))</f>
        <v>0.537109375</v>
      </c>
      <c r="D10" t="s">
        <v>131</v>
      </c>
      <c r="E10">
        <f>C10*4</f>
        <v>2.1484375</v>
      </c>
      <c r="F10">
        <v>2</v>
      </c>
      <c r="G10">
        <v>20</v>
      </c>
    </row>
    <row r="11" spans="2:7">
      <c r="F11">
        <v>3</v>
      </c>
      <c r="G11">
        <v>40</v>
      </c>
    </row>
    <row r="15" spans="2:7">
      <c r="B15" t="s">
        <v>126</v>
      </c>
      <c r="C15">
        <v>2</v>
      </c>
    </row>
    <row r="16" spans="2:7">
      <c r="B16" t="s">
        <v>125</v>
      </c>
      <c r="C16">
        <v>5</v>
      </c>
    </row>
    <row r="17" spans="2:5">
      <c r="B17" t="s">
        <v>128</v>
      </c>
      <c r="C17">
        <v>50</v>
      </c>
      <c r="D17" t="s">
        <v>129</v>
      </c>
    </row>
    <row r="18" spans="2:5">
      <c r="B18" t="s">
        <v>130</v>
      </c>
      <c r="C18">
        <f>2.75*C15/(256*C16*C17*10^(-3))</f>
        <v>8.59375E-2</v>
      </c>
      <c r="D18" t="s">
        <v>131</v>
      </c>
    </row>
    <row r="21" spans="2:5">
      <c r="B21" t="s">
        <v>198</v>
      </c>
      <c r="C21">
        <v>5.2</v>
      </c>
      <c r="D21" t="s">
        <v>199</v>
      </c>
    </row>
    <row r="22" spans="2:5">
      <c r="B22" t="s">
        <v>192</v>
      </c>
      <c r="C22">
        <v>1.4</v>
      </c>
      <c r="D22" t="s">
        <v>197</v>
      </c>
    </row>
    <row r="23" spans="2:5">
      <c r="B23" t="s">
        <v>193</v>
      </c>
      <c r="C23">
        <v>24</v>
      </c>
      <c r="D23" t="s">
        <v>196</v>
      </c>
    </row>
    <row r="24" spans="2:5">
      <c r="B24" t="s">
        <v>194</v>
      </c>
      <c r="C24">
        <v>0.27</v>
      </c>
      <c r="D24" t="s">
        <v>129</v>
      </c>
      <c r="E24">
        <f>C24*10^-3</f>
        <v>2.7E-4</v>
      </c>
    </row>
    <row r="25" spans="2:5">
      <c r="B25" t="s">
        <v>195</v>
      </c>
      <c r="C25">
        <f>C9</f>
        <v>50</v>
      </c>
      <c r="D25" t="s">
        <v>129</v>
      </c>
      <c r="E25">
        <f>C25*10^-3</f>
        <v>0.05</v>
      </c>
    </row>
    <row r="26" spans="2:5">
      <c r="E26">
        <f>E25+E24+C22</f>
        <v>1.4502699999999999</v>
      </c>
    </row>
    <row r="27" spans="2:5">
      <c r="B27" t="s">
        <v>200</v>
      </c>
      <c r="C27">
        <f>C23/(C22+2*C24*10^(-3)+C25*10^(-3))</f>
        <v>16.545562342300109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19"/>
  <sheetViews>
    <sheetView topLeftCell="A2" workbookViewId="0">
      <selection activeCell="J16" sqref="J16:N19"/>
    </sheetView>
  </sheetViews>
  <sheetFormatPr baseColWidth="10" defaultColWidth="11" defaultRowHeight="15" x14ac:dyDescent="0"/>
  <sheetData>
    <row r="7" spans="3:14">
      <c r="C7" t="s">
        <v>133</v>
      </c>
      <c r="D7">
        <v>63</v>
      </c>
      <c r="E7" t="s">
        <v>134</v>
      </c>
    </row>
    <row r="8" spans="3:14">
      <c r="C8" t="s">
        <v>135</v>
      </c>
      <c r="D8">
        <v>30</v>
      </c>
      <c r="E8" t="s">
        <v>136</v>
      </c>
    </row>
    <row r="9" spans="3:14">
      <c r="C9" t="s">
        <v>137</v>
      </c>
      <c r="D9">
        <f>D8/D7*1000</f>
        <v>476.19047619047615</v>
      </c>
      <c r="E9" t="s">
        <v>152</v>
      </c>
      <c r="G9">
        <v>50</v>
      </c>
      <c r="H9" t="s">
        <v>152</v>
      </c>
    </row>
    <row r="10" spans="3:14">
      <c r="C10" t="s">
        <v>138</v>
      </c>
      <c r="D10">
        <f>2*D7</f>
        <v>126</v>
      </c>
      <c r="E10" t="s">
        <v>134</v>
      </c>
      <c r="G10">
        <v>1000</v>
      </c>
      <c r="H10" t="s">
        <v>134</v>
      </c>
    </row>
    <row r="12" spans="3:14">
      <c r="F12" t="s">
        <v>163</v>
      </c>
      <c r="G12" t="s">
        <v>164</v>
      </c>
    </row>
    <row r="13" spans="3:14">
      <c r="C13" t="s">
        <v>139</v>
      </c>
      <c r="D13">
        <v>850</v>
      </c>
      <c r="E13" t="s">
        <v>134</v>
      </c>
    </row>
    <row r="14" spans="3:14">
      <c r="C14" t="s">
        <v>140</v>
      </c>
      <c r="D14">
        <v>100</v>
      </c>
      <c r="E14" t="s">
        <v>153</v>
      </c>
    </row>
    <row r="15" spans="3:14">
      <c r="C15" t="s">
        <v>141</v>
      </c>
      <c r="D15">
        <v>200</v>
      </c>
      <c r="E15" t="s">
        <v>153</v>
      </c>
      <c r="F15" t="str">
        <f>DEC2BIN(D15)</f>
        <v>11001000</v>
      </c>
    </row>
    <row r="16" spans="3:14">
      <c r="D16">
        <f>20*(2*D13*10^-3+D14+D15)/4</f>
        <v>1508.5</v>
      </c>
      <c r="E16" t="s">
        <v>136</v>
      </c>
      <c r="J16" t="s">
        <v>154</v>
      </c>
      <c r="K16">
        <v>120</v>
      </c>
      <c r="L16" t="s">
        <v>155</v>
      </c>
      <c r="M16">
        <f>K16/60</f>
        <v>2</v>
      </c>
      <c r="N16" t="s">
        <v>156</v>
      </c>
    </row>
    <row r="17" spans="4:12">
      <c r="D17">
        <f>20*(2+D14+D15)/4</f>
        <v>1510</v>
      </c>
      <c r="E17" t="s">
        <v>136</v>
      </c>
      <c r="J17" t="s">
        <v>157</v>
      </c>
      <c r="K17">
        <v>8</v>
      </c>
      <c r="L17" t="s">
        <v>160</v>
      </c>
    </row>
    <row r="18" spans="4:12">
      <c r="J18" t="s">
        <v>158</v>
      </c>
      <c r="K18">
        <v>1.8</v>
      </c>
      <c r="L18" t="s">
        <v>159</v>
      </c>
    </row>
    <row r="19" spans="4:12">
      <c r="J19" t="s">
        <v>161</v>
      </c>
      <c r="K19">
        <f>K16*360*K17/(60*K18)</f>
        <v>3200</v>
      </c>
      <c r="L19" t="s">
        <v>162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Q28"/>
  <sheetViews>
    <sheetView workbookViewId="0">
      <selection activeCell="Q27" sqref="Q27"/>
    </sheetView>
  </sheetViews>
  <sheetFormatPr baseColWidth="10" defaultColWidth="8.83203125" defaultRowHeight="15" x14ac:dyDescent="0"/>
  <sheetData>
    <row r="8" spans="4:17">
      <c r="D8" t="s">
        <v>215</v>
      </c>
      <c r="E8">
        <v>80</v>
      </c>
      <c r="F8" t="s">
        <v>213</v>
      </c>
    </row>
    <row r="9" spans="4:17">
      <c r="D9" t="s">
        <v>214</v>
      </c>
      <c r="E9">
        <v>1.5</v>
      </c>
      <c r="F9" t="s">
        <v>213</v>
      </c>
      <c r="N9">
        <v>150</v>
      </c>
      <c r="O9" t="s">
        <v>218</v>
      </c>
    </row>
    <row r="10" spans="4:17">
      <c r="N10">
        <v>25</v>
      </c>
      <c r="O10" t="s">
        <v>218</v>
      </c>
    </row>
    <row r="11" spans="4:17">
      <c r="D11" t="s">
        <v>216</v>
      </c>
      <c r="E11">
        <v>400</v>
      </c>
      <c r="G11">
        <v>80</v>
      </c>
      <c r="H11" t="s">
        <v>217</v>
      </c>
      <c r="N11">
        <v>0.27</v>
      </c>
      <c r="O11" t="s">
        <v>197</v>
      </c>
    </row>
    <row r="12" spans="4:17">
      <c r="E12">
        <f>80/1.5*400</f>
        <v>21333.333333333336</v>
      </c>
      <c r="G12">
        <v>1.5</v>
      </c>
      <c r="H12">
        <v>400</v>
      </c>
      <c r="N12">
        <v>80</v>
      </c>
      <c r="O12" t="s">
        <v>219</v>
      </c>
      <c r="P12">
        <f>N12+273.15</f>
        <v>353.15</v>
      </c>
      <c r="Q12" t="s">
        <v>220</v>
      </c>
    </row>
    <row r="14" spans="4:17">
      <c r="N14">
        <f>(N9-N10)/(N11*N12)</f>
        <v>5.7870370370370363</v>
      </c>
    </row>
    <row r="15" spans="4:17">
      <c r="N15">
        <f>SQRT(N14)</f>
        <v>2.4056261216234405</v>
      </c>
    </row>
    <row r="16" spans="4:17">
      <c r="E16">
        <v>400</v>
      </c>
      <c r="G16" t="s">
        <v>217</v>
      </c>
      <c r="H16">
        <v>21000</v>
      </c>
    </row>
    <row r="17" spans="5:17">
      <c r="E17">
        <f>H16/H17*G17</f>
        <v>78.75</v>
      </c>
      <c r="G17">
        <v>1.5</v>
      </c>
      <c r="H17">
        <v>400</v>
      </c>
    </row>
    <row r="21" spans="5:17">
      <c r="N21">
        <v>125</v>
      </c>
      <c r="O21" t="s">
        <v>218</v>
      </c>
    </row>
    <row r="22" spans="5:17">
      <c r="N22">
        <v>25</v>
      </c>
      <c r="O22" t="s">
        <v>218</v>
      </c>
    </row>
    <row r="23" spans="5:17">
      <c r="F23">
        <v>1000</v>
      </c>
      <c r="H23">
        <f>F23/F24*G24</f>
        <v>2150.5376344086021</v>
      </c>
      <c r="M23" t="s">
        <v>400</v>
      </c>
      <c r="N23">
        <v>50</v>
      </c>
      <c r="O23" t="s">
        <v>152</v>
      </c>
    </row>
    <row r="24" spans="5:17">
      <c r="F24">
        <v>465</v>
      </c>
      <c r="G24">
        <v>1000</v>
      </c>
      <c r="M24" t="s">
        <v>401</v>
      </c>
      <c r="N24">
        <v>40.799999999999997</v>
      </c>
      <c r="O24" t="s">
        <v>219</v>
      </c>
      <c r="Q24" t="s">
        <v>397</v>
      </c>
    </row>
    <row r="25" spans="5:17">
      <c r="M25" t="s">
        <v>398</v>
      </c>
      <c r="N25">
        <v>24</v>
      </c>
      <c r="O25" t="s">
        <v>196</v>
      </c>
    </row>
    <row r="26" spans="5:17">
      <c r="M26" t="s">
        <v>399</v>
      </c>
      <c r="N26">
        <v>5</v>
      </c>
      <c r="O26" t="s">
        <v>196</v>
      </c>
    </row>
    <row r="27" spans="5:17">
      <c r="M27" t="s">
        <v>404</v>
      </c>
      <c r="N27">
        <f>(N21-N22)/((N25-N26)*N24)</f>
        <v>0.12899896800825594</v>
      </c>
      <c r="O27" t="s">
        <v>131</v>
      </c>
      <c r="Q27" t="s">
        <v>403</v>
      </c>
    </row>
    <row r="28" spans="5:17">
      <c r="Q28" t="s">
        <v>402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baseColWidth="10" defaultRowHeight="15" x14ac:dyDescent="0"/>
  <cols>
    <col min="1" max="1" width="45" bestFit="1" customWidth="1"/>
    <col min="2" max="2" width="8.83203125" bestFit="1" customWidth="1"/>
    <col min="3" max="3" width="15.33203125" bestFit="1" customWidth="1"/>
    <col min="4" max="4" width="8.33203125" bestFit="1" customWidth="1"/>
  </cols>
  <sheetData>
    <row r="1" spans="1:4">
      <c r="A1" t="s">
        <v>280</v>
      </c>
      <c r="B1" t="s">
        <v>221</v>
      </c>
      <c r="C1" t="s">
        <v>222</v>
      </c>
      <c r="D1" t="s">
        <v>223</v>
      </c>
    </row>
    <row r="2" spans="1:4">
      <c r="A2" t="s">
        <v>224</v>
      </c>
      <c r="C2" t="s">
        <v>225</v>
      </c>
      <c r="D2">
        <v>1</v>
      </c>
    </row>
    <row r="3" spans="1:4">
      <c r="A3" t="s">
        <v>226</v>
      </c>
      <c r="C3" t="s">
        <v>227</v>
      </c>
      <c r="D3">
        <v>3</v>
      </c>
    </row>
    <row r="4" spans="1:4">
      <c r="A4" t="s">
        <v>228</v>
      </c>
      <c r="B4" t="s">
        <v>229</v>
      </c>
      <c r="C4" t="s">
        <v>230</v>
      </c>
      <c r="D4">
        <v>9</v>
      </c>
    </row>
    <row r="5" spans="1:4">
      <c r="A5" t="s">
        <v>231</v>
      </c>
      <c r="B5" t="s">
        <v>232</v>
      </c>
      <c r="C5" t="s">
        <v>230</v>
      </c>
      <c r="D5">
        <v>2</v>
      </c>
    </row>
    <row r="6" spans="1:4">
      <c r="A6" t="s">
        <v>233</v>
      </c>
      <c r="B6" t="s">
        <v>234</v>
      </c>
      <c r="C6" t="s">
        <v>235</v>
      </c>
      <c r="D6">
        <v>1</v>
      </c>
    </row>
    <row r="7" spans="1:4">
      <c r="A7" t="s">
        <v>236</v>
      </c>
      <c r="B7" t="s">
        <v>237</v>
      </c>
      <c r="C7" t="s">
        <v>230</v>
      </c>
      <c r="D7">
        <v>1</v>
      </c>
    </row>
    <row r="8" spans="1:4">
      <c r="A8" t="s">
        <v>238</v>
      </c>
      <c r="B8" t="s">
        <v>239</v>
      </c>
      <c r="C8" t="s">
        <v>240</v>
      </c>
      <c r="D8">
        <v>2</v>
      </c>
    </row>
    <row r="9" spans="1:4">
      <c r="A9" t="s">
        <v>241</v>
      </c>
      <c r="B9" t="s">
        <v>242</v>
      </c>
      <c r="C9" t="s">
        <v>243</v>
      </c>
      <c r="D9">
        <v>2</v>
      </c>
    </row>
    <row r="10" spans="1:4">
      <c r="A10" t="s">
        <v>244</v>
      </c>
      <c r="C10" t="s">
        <v>245</v>
      </c>
      <c r="D10">
        <v>1</v>
      </c>
    </row>
    <row r="11" spans="1:4">
      <c r="A11" t="s">
        <v>246</v>
      </c>
      <c r="C11" t="s">
        <v>246</v>
      </c>
      <c r="D11">
        <v>1</v>
      </c>
    </row>
    <row r="12" spans="1:4">
      <c r="A12" t="s">
        <v>247</v>
      </c>
      <c r="C12" t="s">
        <v>248</v>
      </c>
      <c r="D12">
        <v>3</v>
      </c>
    </row>
    <row r="13" spans="1:4">
      <c r="A13" t="s">
        <v>249</v>
      </c>
      <c r="C13" t="s">
        <v>250</v>
      </c>
      <c r="D13">
        <v>2</v>
      </c>
    </row>
    <row r="14" spans="1:4">
      <c r="A14" t="s">
        <v>251</v>
      </c>
      <c r="C14" t="s">
        <v>252</v>
      </c>
      <c r="D14">
        <v>1</v>
      </c>
    </row>
    <row r="15" spans="1:4">
      <c r="A15" t="s">
        <v>253</v>
      </c>
      <c r="C15" t="s">
        <v>254</v>
      </c>
      <c r="D15">
        <v>1</v>
      </c>
    </row>
    <row r="16" spans="1:4">
      <c r="A16" t="s">
        <v>255</v>
      </c>
      <c r="C16" t="s">
        <v>256</v>
      </c>
      <c r="D16">
        <v>2</v>
      </c>
    </row>
    <row r="17" spans="1:4">
      <c r="A17" t="s">
        <v>257</v>
      </c>
      <c r="C17" t="s">
        <v>258</v>
      </c>
      <c r="D17">
        <v>1</v>
      </c>
    </row>
    <row r="18" spans="1:4">
      <c r="A18" t="s">
        <v>259</v>
      </c>
      <c r="C18" t="s">
        <v>260</v>
      </c>
      <c r="D18">
        <v>1</v>
      </c>
    </row>
    <row r="19" spans="1:4">
      <c r="A19" t="s">
        <v>261</v>
      </c>
      <c r="C19" t="s">
        <v>262</v>
      </c>
      <c r="D19">
        <v>1</v>
      </c>
    </row>
    <row r="20" spans="1:4">
      <c r="A20" t="s">
        <v>263</v>
      </c>
      <c r="B20" t="s">
        <v>264</v>
      </c>
      <c r="C20" t="s">
        <v>265</v>
      </c>
      <c r="D20">
        <v>2</v>
      </c>
    </row>
    <row r="21" spans="1:4">
      <c r="A21" t="s">
        <v>266</v>
      </c>
      <c r="B21" t="s">
        <v>267</v>
      </c>
      <c r="C21" t="s">
        <v>268</v>
      </c>
      <c r="D21">
        <v>2</v>
      </c>
    </row>
    <row r="22" spans="1:4">
      <c r="A22" t="s">
        <v>269</v>
      </c>
      <c r="B22" t="s">
        <v>277</v>
      </c>
      <c r="C22" t="s">
        <v>268</v>
      </c>
      <c r="D22">
        <v>1</v>
      </c>
    </row>
    <row r="23" spans="1:4">
      <c r="A23" t="s">
        <v>270</v>
      </c>
      <c r="B23" t="s">
        <v>279</v>
      </c>
      <c r="C23" t="s">
        <v>271</v>
      </c>
      <c r="D23">
        <v>2</v>
      </c>
    </row>
    <row r="24" spans="1:4">
      <c r="A24" t="s">
        <v>272</v>
      </c>
      <c r="C24" t="s">
        <v>273</v>
      </c>
      <c r="D24">
        <v>1</v>
      </c>
    </row>
    <row r="25" spans="1:4">
      <c r="A25" t="s">
        <v>274</v>
      </c>
      <c r="C25" t="s">
        <v>278</v>
      </c>
      <c r="D25">
        <v>1</v>
      </c>
    </row>
    <row r="26" spans="1:4">
      <c r="A26" t="s">
        <v>275</v>
      </c>
      <c r="C26" t="s">
        <v>276</v>
      </c>
      <c r="D26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103"/>
  <sheetViews>
    <sheetView topLeftCell="A81" workbookViewId="0">
      <selection activeCell="K87" sqref="K87"/>
    </sheetView>
  </sheetViews>
  <sheetFormatPr baseColWidth="10" defaultRowHeight="15" x14ac:dyDescent="0"/>
  <cols>
    <col min="5" max="5" width="11.6640625" bestFit="1" customWidth="1"/>
    <col min="6" max="6" width="39.83203125" bestFit="1" customWidth="1"/>
    <col min="7" max="7" width="24.33203125" customWidth="1"/>
  </cols>
  <sheetData>
    <row r="3" spans="4:16" ht="15" customHeight="1">
      <c r="D3" t="s">
        <v>329</v>
      </c>
      <c r="E3" t="s">
        <v>330</v>
      </c>
      <c r="F3" t="s">
        <v>281</v>
      </c>
      <c r="G3" t="s">
        <v>376</v>
      </c>
    </row>
    <row r="4" spans="4:16">
      <c r="D4">
        <v>1</v>
      </c>
      <c r="E4" t="s">
        <v>282</v>
      </c>
      <c r="I4" t="s">
        <v>282</v>
      </c>
    </row>
    <row r="5" spans="4:16" ht="15" customHeight="1">
      <c r="D5">
        <v>2</v>
      </c>
      <c r="E5" t="s">
        <v>282</v>
      </c>
      <c r="I5" t="s">
        <v>282</v>
      </c>
    </row>
    <row r="6" spans="4:16">
      <c r="D6">
        <v>3</v>
      </c>
      <c r="E6" t="s">
        <v>284</v>
      </c>
      <c r="F6" t="str">
        <f t="shared" ref="F6:F13" si="0">I6&amp;" "&amp;J6&amp;" "&amp;K6&amp;" "&amp;L6&amp;" "&amp;M6&amp;" "&amp;N6&amp;" "&amp;O6&amp;" "&amp;P6</f>
        <v xml:space="preserve">AIN[8]       </v>
      </c>
      <c r="G6" t="s">
        <v>384</v>
      </c>
      <c r="I6" t="s">
        <v>285</v>
      </c>
    </row>
    <row r="7" spans="4:16" ht="15" customHeight="1">
      <c r="D7">
        <v>4</v>
      </c>
      <c r="E7" t="s">
        <v>286</v>
      </c>
      <c r="F7" t="str">
        <f t="shared" si="0"/>
        <v xml:space="preserve">AIN[9]       </v>
      </c>
      <c r="I7" t="s">
        <v>287</v>
      </c>
    </row>
    <row r="8" spans="4:16">
      <c r="D8">
        <v>5</v>
      </c>
      <c r="E8" t="s">
        <v>288</v>
      </c>
      <c r="F8" t="str">
        <f>I8&amp;" "&amp;J8&amp;" "&amp;K8&amp;" "&amp;L8&amp;" "&amp;M8&amp;" "&amp;N8&amp;" "&amp;O8&amp;" "&amp;P8</f>
        <v xml:space="preserve">GPIO       </v>
      </c>
      <c r="I8" t="s">
        <v>289</v>
      </c>
    </row>
    <row r="9" spans="4:16" ht="15" customHeight="1">
      <c r="D9">
        <v>6</v>
      </c>
      <c r="E9" t="s">
        <v>290</v>
      </c>
      <c r="F9" t="str">
        <f t="shared" si="0"/>
        <v xml:space="preserve">GPIO       </v>
      </c>
      <c r="I9" t="s">
        <v>289</v>
      </c>
    </row>
    <row r="10" spans="4:16">
      <c r="D10">
        <v>7</v>
      </c>
      <c r="E10" t="s">
        <v>291</v>
      </c>
      <c r="F10" t="str">
        <f t="shared" si="0"/>
        <v xml:space="preserve">TC6/WO[0]       </v>
      </c>
      <c r="I10" t="s">
        <v>292</v>
      </c>
    </row>
    <row r="11" spans="4:16" ht="15" customHeight="1">
      <c r="D11">
        <v>8</v>
      </c>
      <c r="E11" t="s">
        <v>293</v>
      </c>
      <c r="F11" t="str">
        <f t="shared" si="0"/>
        <v xml:space="preserve">TC6/WO[1]       </v>
      </c>
      <c r="I11" t="s">
        <v>294</v>
      </c>
    </row>
    <row r="12" spans="4:16">
      <c r="D12">
        <v>9</v>
      </c>
      <c r="E12" t="s">
        <v>295</v>
      </c>
      <c r="F12" t="str">
        <f t="shared" si="0"/>
        <v xml:space="preserve">EXTINT[4]       </v>
      </c>
      <c r="G12" t="s">
        <v>377</v>
      </c>
      <c r="I12" t="s">
        <v>296</v>
      </c>
    </row>
    <row r="13" spans="4:16" ht="15" customHeight="1">
      <c r="D13">
        <v>10</v>
      </c>
      <c r="E13" t="s">
        <v>297</v>
      </c>
      <c r="F13" t="str">
        <f t="shared" si="0"/>
        <v xml:space="preserve">GPIO       </v>
      </c>
      <c r="I13" t="s">
        <v>289</v>
      </c>
    </row>
    <row r="14" spans="4:16">
      <c r="D14">
        <v>11</v>
      </c>
      <c r="E14" t="s">
        <v>298</v>
      </c>
      <c r="F14" t="str">
        <f>I14&amp;" "&amp;J14&amp;" "&amp;K14&amp;" "&amp;L14&amp;" "&amp;M14&amp;" "&amp;N14&amp;" "&amp;O14&amp;" "&amp;P14</f>
        <v>SERCOM2 PAD[0] I²C SDA EXT2, EXT3 and EDBG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</row>
    <row r="15" spans="4:16" ht="15" customHeight="1">
      <c r="D15">
        <v>12</v>
      </c>
      <c r="E15" t="s">
        <v>307</v>
      </c>
      <c r="F15" t="str">
        <f t="shared" ref="F15:F23" si="1">I15&amp;" "&amp;J15&amp;" "&amp;K15&amp;" "&amp;L15&amp;" "&amp;M15&amp;" "&amp;N15&amp;" "&amp;O15&amp;" "&amp;P15</f>
        <v>SERCOM2 PAD[1] I²C SCL EXT2, EXT3 and EDBG</v>
      </c>
      <c r="I15" t="s">
        <v>299</v>
      </c>
      <c r="J15" t="s">
        <v>308</v>
      </c>
      <c r="K15" t="s">
        <v>301</v>
      </c>
      <c r="L15" t="s">
        <v>309</v>
      </c>
      <c r="M15" t="s">
        <v>303</v>
      </c>
      <c r="N15" t="s">
        <v>304</v>
      </c>
      <c r="O15" t="s">
        <v>305</v>
      </c>
      <c r="P15" t="s">
        <v>306</v>
      </c>
    </row>
    <row r="16" spans="4:16">
      <c r="D16">
        <v>13</v>
      </c>
      <c r="E16" t="s">
        <v>310</v>
      </c>
      <c r="F16" t="str">
        <f t="shared" si="1"/>
        <v xml:space="preserve">SERCOM4 PAD[1] UART RX1    </v>
      </c>
      <c r="G16" t="s">
        <v>379</v>
      </c>
      <c r="I16" t="s">
        <v>311</v>
      </c>
      <c r="J16" t="s">
        <v>308</v>
      </c>
      <c r="K16" t="s">
        <v>312</v>
      </c>
      <c r="L16" t="s">
        <v>313</v>
      </c>
    </row>
    <row r="17" spans="4:12" ht="15" customHeight="1">
      <c r="D17">
        <v>14</v>
      </c>
      <c r="E17" t="s">
        <v>314</v>
      </c>
      <c r="F17" t="str">
        <f t="shared" si="1"/>
        <v xml:space="preserve">SERCOM4 PAD[0] UART TX1    </v>
      </c>
      <c r="G17" t="s">
        <v>379</v>
      </c>
      <c r="I17" t="s">
        <v>311</v>
      </c>
      <c r="J17" t="s">
        <v>300</v>
      </c>
      <c r="K17" t="s">
        <v>312</v>
      </c>
      <c r="L17" t="s">
        <v>315</v>
      </c>
    </row>
    <row r="18" spans="4:12">
      <c r="D18">
        <v>15</v>
      </c>
      <c r="E18" t="s">
        <v>316</v>
      </c>
      <c r="F18" t="str">
        <f t="shared" si="1"/>
        <v xml:space="preserve">SERCOM0 PAD[1] SPI SS    </v>
      </c>
      <c r="I18" t="s">
        <v>317</v>
      </c>
      <c r="J18" t="s">
        <v>308</v>
      </c>
      <c r="K18" t="s">
        <v>318</v>
      </c>
      <c r="L18" t="s">
        <v>319</v>
      </c>
    </row>
    <row r="19" spans="4:12" ht="15" customHeight="1">
      <c r="D19">
        <v>16</v>
      </c>
      <c r="E19" t="s">
        <v>320</v>
      </c>
      <c r="F19" t="str">
        <f t="shared" si="1"/>
        <v xml:space="preserve">SERCOM0 PAD[2] SPI MOSI    </v>
      </c>
      <c r="I19" t="s">
        <v>317</v>
      </c>
      <c r="J19" t="s">
        <v>321</v>
      </c>
      <c r="K19" t="s">
        <v>318</v>
      </c>
      <c r="L19" t="s">
        <v>322</v>
      </c>
    </row>
    <row r="20" spans="4:12">
      <c r="D20">
        <v>17</v>
      </c>
      <c r="E20" t="s">
        <v>323</v>
      </c>
      <c r="F20" t="str">
        <f t="shared" si="1"/>
        <v xml:space="preserve">SERCOM0 PAD[0] SPI MISO    </v>
      </c>
      <c r="G20" t="s">
        <v>386</v>
      </c>
      <c r="I20" t="s">
        <v>317</v>
      </c>
      <c r="J20" t="s">
        <v>300</v>
      </c>
      <c r="K20" t="s">
        <v>318</v>
      </c>
      <c r="L20" t="s">
        <v>324</v>
      </c>
    </row>
    <row r="21" spans="4:12" ht="15" customHeight="1">
      <c r="D21">
        <v>18</v>
      </c>
      <c r="E21" t="s">
        <v>325</v>
      </c>
      <c r="F21" t="str">
        <f t="shared" si="1"/>
        <v xml:space="preserve">SERCOM0 PAD[3] SPI SCK    </v>
      </c>
      <c r="I21" t="s">
        <v>317</v>
      </c>
      <c r="J21" t="s">
        <v>326</v>
      </c>
      <c r="K21" t="s">
        <v>318</v>
      </c>
      <c r="L21" t="s">
        <v>327</v>
      </c>
    </row>
    <row r="22" spans="4:12">
      <c r="D22">
        <v>19</v>
      </c>
      <c r="E22" t="s">
        <v>282</v>
      </c>
      <c r="F22" t="str">
        <f t="shared" si="1"/>
        <v xml:space="preserve">GND       </v>
      </c>
      <c r="I22" t="s">
        <v>283</v>
      </c>
    </row>
    <row r="23" spans="4:12" ht="15" customHeight="1">
      <c r="D23">
        <v>20</v>
      </c>
      <c r="E23" t="s">
        <v>282</v>
      </c>
      <c r="F23" t="str">
        <f t="shared" si="1"/>
        <v xml:space="preserve">VCC       </v>
      </c>
      <c r="I23" t="s">
        <v>328</v>
      </c>
    </row>
    <row r="25" spans="4:12" ht="15" customHeight="1"/>
    <row r="26" spans="4:12">
      <c r="D26" t="s">
        <v>342</v>
      </c>
      <c r="E26" t="s">
        <v>330</v>
      </c>
      <c r="F26" t="s">
        <v>281</v>
      </c>
      <c r="G26" t="s">
        <v>376</v>
      </c>
    </row>
    <row r="27" spans="4:12">
      <c r="D27">
        <v>1</v>
      </c>
      <c r="E27" t="s">
        <v>282</v>
      </c>
      <c r="F27" t="str">
        <f t="shared" ref="F27:F46" si="2">I27&amp;" "&amp;J27&amp;" "&amp;K27&amp;" "&amp;L27&amp;" "&amp;M27&amp;" "&amp;N27&amp;" "&amp;O27&amp;" "&amp;P27</f>
        <v xml:space="preserve">       </v>
      </c>
    </row>
    <row r="28" spans="4:12">
      <c r="D28">
        <v>2</v>
      </c>
      <c r="E28" t="s">
        <v>282</v>
      </c>
      <c r="F28" t="str">
        <f t="shared" si="2"/>
        <v xml:space="preserve"> GND      </v>
      </c>
      <c r="J28" t="s">
        <v>283</v>
      </c>
    </row>
    <row r="29" spans="4:12">
      <c r="D29">
        <v>3</v>
      </c>
      <c r="E29" t="s">
        <v>332</v>
      </c>
      <c r="F29" t="str">
        <f t="shared" si="2"/>
        <v xml:space="preserve">AIN[18]       </v>
      </c>
      <c r="I29" t="s">
        <v>333</v>
      </c>
    </row>
    <row r="30" spans="4:12">
      <c r="D30">
        <v>4</v>
      </c>
      <c r="E30" t="s">
        <v>334</v>
      </c>
      <c r="F30" t="str">
        <f t="shared" si="2"/>
        <v xml:space="preserve">AIN[19]       </v>
      </c>
      <c r="I30" t="s">
        <v>335</v>
      </c>
    </row>
    <row r="31" spans="4:12">
      <c r="D31">
        <v>5</v>
      </c>
      <c r="E31" t="s">
        <v>336</v>
      </c>
      <c r="F31" t="str">
        <f t="shared" si="2"/>
        <v xml:space="preserve">GPIO       </v>
      </c>
      <c r="G31" t="s">
        <v>380</v>
      </c>
      <c r="I31" t="s">
        <v>289</v>
      </c>
    </row>
    <row r="32" spans="4:12">
      <c r="D32">
        <v>6</v>
      </c>
      <c r="E32" t="s">
        <v>337</v>
      </c>
      <c r="F32" t="str">
        <f t="shared" si="2"/>
        <v xml:space="preserve">GPIO       </v>
      </c>
      <c r="G32" t="s">
        <v>381</v>
      </c>
      <c r="I32" t="s">
        <v>289</v>
      </c>
    </row>
    <row r="33" spans="4:16">
      <c r="D33">
        <v>7</v>
      </c>
      <c r="E33" t="s">
        <v>338</v>
      </c>
      <c r="F33" t="str">
        <f t="shared" si="2"/>
        <v xml:space="preserve">TC4/WO[0]       </v>
      </c>
      <c r="G33" t="s">
        <v>382</v>
      </c>
      <c r="I33" t="s">
        <v>339</v>
      </c>
    </row>
    <row r="34" spans="4:16">
      <c r="D34">
        <v>8</v>
      </c>
      <c r="E34" t="s">
        <v>340</v>
      </c>
      <c r="F34" t="str">
        <f t="shared" si="2"/>
        <v xml:space="preserve">TC4/WO[1]       </v>
      </c>
      <c r="I34" t="s">
        <v>341</v>
      </c>
    </row>
    <row r="35" spans="4:16">
      <c r="D35">
        <v>9</v>
      </c>
      <c r="E35" t="s">
        <v>343</v>
      </c>
      <c r="F35" t="str">
        <f t="shared" si="2"/>
        <v xml:space="preserve">EXTINT[14]       </v>
      </c>
      <c r="G35" t="s">
        <v>385</v>
      </c>
      <c r="I35" t="s">
        <v>344</v>
      </c>
    </row>
    <row r="36" spans="4:16">
      <c r="D36">
        <v>10</v>
      </c>
      <c r="E36" t="s">
        <v>345</v>
      </c>
      <c r="F36" t="str">
        <f t="shared" si="2"/>
        <v xml:space="preserve">GPIO       </v>
      </c>
      <c r="I36" t="s">
        <v>289</v>
      </c>
    </row>
    <row r="37" spans="4:16">
      <c r="D37">
        <v>11</v>
      </c>
      <c r="E37" t="s">
        <v>298</v>
      </c>
      <c r="F37" t="str">
        <f t="shared" si="2"/>
        <v>SERCOM2 PAD[0] I²C SDA EXT1, EXT3 and EDBG</v>
      </c>
      <c r="I37" t="s">
        <v>299</v>
      </c>
      <c r="J37" t="s">
        <v>300</v>
      </c>
      <c r="K37" t="s">
        <v>301</v>
      </c>
      <c r="L37" t="s">
        <v>302</v>
      </c>
      <c r="M37" t="s">
        <v>346</v>
      </c>
      <c r="N37" t="s">
        <v>304</v>
      </c>
      <c r="O37" t="s">
        <v>305</v>
      </c>
      <c r="P37" t="s">
        <v>306</v>
      </c>
    </row>
    <row r="38" spans="4:16">
      <c r="D38">
        <v>12</v>
      </c>
      <c r="E38" t="s">
        <v>307</v>
      </c>
      <c r="F38" t="str">
        <f t="shared" si="2"/>
        <v>SERCOM2 PAD[1] I²C SCL EXT1, EXT3 and EDBG</v>
      </c>
      <c r="I38" t="s">
        <v>299</v>
      </c>
      <c r="J38" t="s">
        <v>308</v>
      </c>
      <c r="K38" t="s">
        <v>301</v>
      </c>
      <c r="L38" t="s">
        <v>309</v>
      </c>
      <c r="M38" t="s">
        <v>346</v>
      </c>
      <c r="N38" t="s">
        <v>304</v>
      </c>
      <c r="O38" t="s">
        <v>305</v>
      </c>
      <c r="P38" t="s">
        <v>306</v>
      </c>
    </row>
    <row r="39" spans="4:16">
      <c r="D39">
        <v>13</v>
      </c>
      <c r="E39" t="s">
        <v>347</v>
      </c>
      <c r="F39" t="str">
        <f t="shared" si="2"/>
        <v xml:space="preserve">SERCOM4 PAD[1] UART RX1    </v>
      </c>
      <c r="I39" t="s">
        <v>311</v>
      </c>
      <c r="J39" t="s">
        <v>308</v>
      </c>
      <c r="K39" t="s">
        <v>312</v>
      </c>
      <c r="L39" t="s">
        <v>313</v>
      </c>
    </row>
    <row r="40" spans="4:16">
      <c r="D40">
        <v>14</v>
      </c>
      <c r="E40" t="s">
        <v>348</v>
      </c>
      <c r="F40" t="str">
        <f t="shared" si="2"/>
        <v xml:space="preserve">SERCOM4 PAD[0] UART TX1    </v>
      </c>
      <c r="I40" t="s">
        <v>311</v>
      </c>
      <c r="J40" t="s">
        <v>300</v>
      </c>
      <c r="K40" t="s">
        <v>312</v>
      </c>
      <c r="L40" t="s">
        <v>315</v>
      </c>
    </row>
    <row r="41" spans="4:16">
      <c r="D41">
        <v>15</v>
      </c>
      <c r="E41" t="s">
        <v>349</v>
      </c>
      <c r="F41" t="str">
        <f t="shared" si="2"/>
        <v xml:space="preserve">SERCOM1 PAD[1] SPI SS    </v>
      </c>
      <c r="G41" t="s">
        <v>383</v>
      </c>
      <c r="I41" t="s">
        <v>350</v>
      </c>
      <c r="J41" t="s">
        <v>308</v>
      </c>
      <c r="K41" t="s">
        <v>318</v>
      </c>
      <c r="L41" t="s">
        <v>319</v>
      </c>
    </row>
    <row r="42" spans="4:16">
      <c r="D42">
        <v>16</v>
      </c>
      <c r="E42" t="s">
        <v>351</v>
      </c>
      <c r="F42" t="str">
        <f t="shared" si="2"/>
        <v xml:space="preserve">SERCOM1 PAD[2] SPI MOSI    </v>
      </c>
      <c r="G42" t="s">
        <v>383</v>
      </c>
      <c r="I42" t="s">
        <v>350</v>
      </c>
      <c r="J42" t="s">
        <v>321</v>
      </c>
      <c r="K42" t="s">
        <v>318</v>
      </c>
      <c r="L42" t="s">
        <v>322</v>
      </c>
    </row>
    <row r="43" spans="4:16">
      <c r="D43">
        <v>17</v>
      </c>
      <c r="E43" t="s">
        <v>352</v>
      </c>
      <c r="F43" t="str">
        <f t="shared" si="2"/>
        <v xml:space="preserve">SERCOM1 PAD[0] SPI MISO    </v>
      </c>
      <c r="G43" t="s">
        <v>383</v>
      </c>
      <c r="I43" t="s">
        <v>350</v>
      </c>
      <c r="J43" t="s">
        <v>300</v>
      </c>
      <c r="K43" t="s">
        <v>318</v>
      </c>
      <c r="L43" t="s">
        <v>324</v>
      </c>
    </row>
    <row r="44" spans="4:16">
      <c r="D44">
        <v>18</v>
      </c>
      <c r="E44" t="s">
        <v>353</v>
      </c>
      <c r="F44" t="str">
        <f t="shared" si="2"/>
        <v xml:space="preserve">SERCOM1 PAD[3] SPI SCK    </v>
      </c>
      <c r="G44" t="s">
        <v>383</v>
      </c>
      <c r="I44" t="s">
        <v>350</v>
      </c>
      <c r="J44" t="s">
        <v>326</v>
      </c>
      <c r="K44" t="s">
        <v>318</v>
      </c>
      <c r="L44" t="s">
        <v>327</v>
      </c>
    </row>
    <row r="45" spans="4:16">
      <c r="D45">
        <v>19</v>
      </c>
      <c r="E45" t="s">
        <v>282</v>
      </c>
      <c r="F45" t="str">
        <f t="shared" si="2"/>
        <v xml:space="preserve"> GND      </v>
      </c>
      <c r="J45" t="s">
        <v>283</v>
      </c>
    </row>
    <row r="46" spans="4:16">
      <c r="D46">
        <v>20</v>
      </c>
      <c r="E46" t="s">
        <v>282</v>
      </c>
      <c r="F46" t="str">
        <f t="shared" si="2"/>
        <v xml:space="preserve"> VCC      </v>
      </c>
      <c r="J46" t="s">
        <v>328</v>
      </c>
    </row>
    <row r="49" spans="4:16">
      <c r="D49" t="s">
        <v>342</v>
      </c>
      <c r="E49" t="s">
        <v>330</v>
      </c>
      <c r="F49" t="s">
        <v>281</v>
      </c>
      <c r="G49" t="s">
        <v>376</v>
      </c>
    </row>
    <row r="50" spans="4:16">
      <c r="D50">
        <v>1</v>
      </c>
      <c r="E50" t="s">
        <v>282</v>
      </c>
      <c r="F50" t="str">
        <f t="shared" ref="F50:F69" si="3">I50&amp;" "&amp;J50&amp;" "&amp;K50&amp;" "&amp;L50&amp;" "&amp;M50&amp;" "&amp;N50&amp;" "&amp;O50&amp;" "&amp;P50</f>
        <v xml:space="preserve">-       </v>
      </c>
      <c r="I50" t="s">
        <v>282</v>
      </c>
    </row>
    <row r="51" spans="4:16">
      <c r="D51">
        <v>2</v>
      </c>
      <c r="E51" t="s">
        <v>282</v>
      </c>
      <c r="F51" t="str">
        <f t="shared" si="3"/>
        <v xml:space="preserve">- GND      </v>
      </c>
      <c r="I51" t="s">
        <v>282</v>
      </c>
      <c r="J51" t="s">
        <v>283</v>
      </c>
    </row>
    <row r="52" spans="4:16">
      <c r="D52">
        <v>3</v>
      </c>
      <c r="E52" t="s">
        <v>354</v>
      </c>
      <c r="F52" t="str">
        <f t="shared" si="3"/>
        <v xml:space="preserve">AIN[0]       </v>
      </c>
      <c r="I52" t="s">
        <v>355</v>
      </c>
    </row>
    <row r="53" spans="4:16">
      <c r="D53">
        <v>4</v>
      </c>
      <c r="E53" t="s">
        <v>356</v>
      </c>
      <c r="F53" t="str">
        <f t="shared" si="3"/>
        <v xml:space="preserve">AIN[1]       </v>
      </c>
      <c r="I53" t="s">
        <v>357</v>
      </c>
    </row>
    <row r="54" spans="4:16">
      <c r="D54">
        <v>5</v>
      </c>
      <c r="E54" t="s">
        <v>358</v>
      </c>
      <c r="F54" t="str">
        <f t="shared" si="3"/>
        <v xml:space="preserve">GPIO       </v>
      </c>
      <c r="I54" t="s">
        <v>289</v>
      </c>
    </row>
    <row r="55" spans="4:16">
      <c r="D55">
        <v>6</v>
      </c>
      <c r="E55" t="s">
        <v>359</v>
      </c>
      <c r="F55" t="str">
        <f t="shared" si="3"/>
        <v xml:space="preserve">GPIO Onboard SW0     </v>
      </c>
      <c r="I55" t="s">
        <v>289</v>
      </c>
      <c r="J55" t="s">
        <v>360</v>
      </c>
      <c r="K55" t="s">
        <v>361</v>
      </c>
    </row>
    <row r="56" spans="4:16">
      <c r="D56">
        <v>7</v>
      </c>
      <c r="E56" t="s">
        <v>362</v>
      </c>
      <c r="F56" t="str">
        <f t="shared" si="3"/>
        <v xml:space="preserve">TC2/WO[0]       </v>
      </c>
      <c r="I56" t="s">
        <v>363</v>
      </c>
    </row>
    <row r="57" spans="4:16">
      <c r="D57">
        <v>8</v>
      </c>
      <c r="E57" t="s">
        <v>364</v>
      </c>
      <c r="F57" t="str">
        <f t="shared" si="3"/>
        <v xml:space="preserve">TC2/WO[1]       </v>
      </c>
      <c r="I57" t="s">
        <v>365</v>
      </c>
    </row>
    <row r="58" spans="4:16">
      <c r="D58">
        <v>9</v>
      </c>
      <c r="E58" t="s">
        <v>366</v>
      </c>
      <c r="F58" t="str">
        <f t="shared" si="3"/>
        <v xml:space="preserve">EXTINT[8]       </v>
      </c>
      <c r="G58" t="s">
        <v>378</v>
      </c>
      <c r="I58" t="s">
        <v>367</v>
      </c>
    </row>
    <row r="59" spans="4:16">
      <c r="D59">
        <v>10</v>
      </c>
      <c r="E59" t="s">
        <v>368</v>
      </c>
      <c r="F59" t="str">
        <f t="shared" si="3"/>
        <v xml:space="preserve">GPIO       </v>
      </c>
      <c r="I59" t="s">
        <v>289</v>
      </c>
    </row>
    <row r="60" spans="4:16">
      <c r="D60">
        <v>11</v>
      </c>
      <c r="E60" t="s">
        <v>298</v>
      </c>
      <c r="F60" t="str">
        <f t="shared" si="3"/>
        <v>SERCOM2 PAD[0] I²C SDA EXT1, EXT2 and EDBG</v>
      </c>
      <c r="I60" t="s">
        <v>299</v>
      </c>
      <c r="J60" t="s">
        <v>300</v>
      </c>
      <c r="K60" t="s">
        <v>301</v>
      </c>
      <c r="L60" t="s">
        <v>302</v>
      </c>
      <c r="M60" t="s">
        <v>346</v>
      </c>
      <c r="N60" t="s">
        <v>331</v>
      </c>
      <c r="O60" t="s">
        <v>305</v>
      </c>
      <c r="P60" t="s">
        <v>306</v>
      </c>
    </row>
    <row r="61" spans="4:16">
      <c r="D61">
        <v>12</v>
      </c>
      <c r="E61" t="s">
        <v>307</v>
      </c>
      <c r="F61" t="str">
        <f t="shared" si="3"/>
        <v>SERCOM2 PAD[1] I²C SCL EXT1, EXT2 and EDBG</v>
      </c>
      <c r="I61" t="s">
        <v>299</v>
      </c>
      <c r="J61" t="s">
        <v>308</v>
      </c>
      <c r="K61" t="s">
        <v>301</v>
      </c>
      <c r="L61" t="s">
        <v>309</v>
      </c>
      <c r="M61" t="s">
        <v>346</v>
      </c>
      <c r="N61" t="s">
        <v>331</v>
      </c>
      <c r="O61" t="s">
        <v>305</v>
      </c>
      <c r="P61" t="s">
        <v>306</v>
      </c>
    </row>
    <row r="62" spans="4:16">
      <c r="D62">
        <v>13</v>
      </c>
      <c r="E62" t="s">
        <v>369</v>
      </c>
      <c r="F62" t="str">
        <f t="shared" si="3"/>
        <v xml:space="preserve">SERCOM4 PAD[3] UART RX1    </v>
      </c>
      <c r="I62" t="s">
        <v>311</v>
      </c>
      <c r="J62" t="s">
        <v>326</v>
      </c>
      <c r="K62" t="s">
        <v>312</v>
      </c>
      <c r="L62" t="s">
        <v>313</v>
      </c>
    </row>
    <row r="63" spans="4:16">
      <c r="D63">
        <v>14</v>
      </c>
      <c r="E63" t="s">
        <v>370</v>
      </c>
      <c r="F63" t="str">
        <f t="shared" si="3"/>
        <v xml:space="preserve">SERCOM4 PAD[2] UART TX1    </v>
      </c>
      <c r="I63" t="s">
        <v>311</v>
      </c>
      <c r="J63" t="s">
        <v>321</v>
      </c>
      <c r="K63" t="s">
        <v>312</v>
      </c>
      <c r="L63" t="s">
        <v>315</v>
      </c>
    </row>
    <row r="64" spans="4:16">
      <c r="D64">
        <v>15</v>
      </c>
      <c r="E64" t="s">
        <v>371</v>
      </c>
      <c r="F64" t="str">
        <f t="shared" si="3"/>
        <v xml:space="preserve">SERCOM5 PAD[1] SPI SS    </v>
      </c>
      <c r="I64" t="s">
        <v>372</v>
      </c>
      <c r="J64" t="s">
        <v>308</v>
      </c>
      <c r="K64" t="s">
        <v>318</v>
      </c>
      <c r="L64" t="s">
        <v>319</v>
      </c>
    </row>
    <row r="65" spans="4:13">
      <c r="D65">
        <v>16</v>
      </c>
      <c r="E65" t="s">
        <v>373</v>
      </c>
      <c r="F65" t="str">
        <f t="shared" si="3"/>
        <v xml:space="preserve">SERCOM5 PAD[2] SPI MOSI EDBG   </v>
      </c>
      <c r="I65" t="s">
        <v>372</v>
      </c>
      <c r="J65" t="s">
        <v>321</v>
      </c>
      <c r="K65" t="s">
        <v>318</v>
      </c>
      <c r="L65" t="s">
        <v>322</v>
      </c>
      <c r="M65" t="s">
        <v>306</v>
      </c>
    </row>
    <row r="66" spans="4:13">
      <c r="D66">
        <v>17</v>
      </c>
      <c r="E66" t="s">
        <v>374</v>
      </c>
      <c r="F66" t="str">
        <f t="shared" si="3"/>
        <v xml:space="preserve">SERCOM5 PAD[0] SPI MISO EDBG   </v>
      </c>
      <c r="I66" t="s">
        <v>372</v>
      </c>
      <c r="J66" t="s">
        <v>300</v>
      </c>
      <c r="K66" t="s">
        <v>318</v>
      </c>
      <c r="L66" t="s">
        <v>324</v>
      </c>
      <c r="M66" t="s">
        <v>306</v>
      </c>
    </row>
    <row r="67" spans="4:13">
      <c r="D67">
        <v>18</v>
      </c>
      <c r="E67" t="s">
        <v>375</v>
      </c>
      <c r="F67" t="str">
        <f t="shared" si="3"/>
        <v xml:space="preserve">SERCOM5 PAD[3] SPI SCK EDBG   </v>
      </c>
      <c r="I67" t="s">
        <v>372</v>
      </c>
      <c r="J67" t="s">
        <v>326</v>
      </c>
      <c r="K67" t="s">
        <v>318</v>
      </c>
      <c r="L67" t="s">
        <v>327</v>
      </c>
      <c r="M67" t="s">
        <v>306</v>
      </c>
    </row>
    <row r="68" spans="4:13">
      <c r="D68">
        <v>19</v>
      </c>
      <c r="E68" t="s">
        <v>282</v>
      </c>
      <c r="F68" t="str">
        <f t="shared" si="3"/>
        <v xml:space="preserve"> GND      </v>
      </c>
      <c r="J68" t="s">
        <v>283</v>
      </c>
    </row>
    <row r="69" spans="4:13">
      <c r="D69">
        <v>20</v>
      </c>
      <c r="E69" t="s">
        <v>282</v>
      </c>
      <c r="F69" t="str">
        <f t="shared" si="3"/>
        <v xml:space="preserve"> VCC      </v>
      </c>
      <c r="J69" t="s">
        <v>328</v>
      </c>
    </row>
    <row r="77" spans="4:13">
      <c r="D77" t="s">
        <v>342</v>
      </c>
      <c r="E77" t="s">
        <v>330</v>
      </c>
      <c r="F77" t="s">
        <v>281</v>
      </c>
      <c r="G77" t="s">
        <v>376</v>
      </c>
    </row>
    <row r="78" spans="4:13">
      <c r="D78">
        <v>5</v>
      </c>
      <c r="E78" t="s">
        <v>336</v>
      </c>
      <c r="F78" t="s">
        <v>388</v>
      </c>
      <c r="G78" t="s">
        <v>380</v>
      </c>
    </row>
    <row r="79" spans="4:13">
      <c r="D79">
        <v>6</v>
      </c>
      <c r="E79" t="s">
        <v>337</v>
      </c>
      <c r="F79" t="s">
        <v>388</v>
      </c>
      <c r="G79" t="s">
        <v>381</v>
      </c>
    </row>
    <row r="80" spans="4:13">
      <c r="D80">
        <v>7</v>
      </c>
      <c r="E80" t="s">
        <v>338</v>
      </c>
      <c r="F80" t="s">
        <v>389</v>
      </c>
      <c r="G80" t="s">
        <v>382</v>
      </c>
    </row>
    <row r="81" spans="4:7">
      <c r="D81">
        <v>9</v>
      </c>
      <c r="E81" t="s">
        <v>343</v>
      </c>
      <c r="F81" t="s">
        <v>390</v>
      </c>
      <c r="G81" t="s">
        <v>385</v>
      </c>
    </row>
    <row r="82" spans="4:7">
      <c r="D82">
        <v>15</v>
      </c>
      <c r="E82" t="s">
        <v>349</v>
      </c>
      <c r="F82" t="s">
        <v>391</v>
      </c>
      <c r="G82" t="s">
        <v>383</v>
      </c>
    </row>
    <row r="83" spans="4:7">
      <c r="D83">
        <v>16</v>
      </c>
      <c r="E83" t="s">
        <v>351</v>
      </c>
      <c r="F83" t="s">
        <v>392</v>
      </c>
      <c r="G83" t="s">
        <v>383</v>
      </c>
    </row>
    <row r="84" spans="4:7">
      <c r="D84">
        <v>17</v>
      </c>
      <c r="E84" t="s">
        <v>352</v>
      </c>
      <c r="F84" t="s">
        <v>393</v>
      </c>
      <c r="G84" t="s">
        <v>383</v>
      </c>
    </row>
    <row r="85" spans="4:7">
      <c r="D85">
        <v>18</v>
      </c>
      <c r="E85" t="s">
        <v>353</v>
      </c>
      <c r="F85" t="s">
        <v>394</v>
      </c>
      <c r="G85" t="s">
        <v>383</v>
      </c>
    </row>
    <row r="86" spans="4:7">
      <c r="D86">
        <v>19</v>
      </c>
      <c r="E86" t="s">
        <v>282</v>
      </c>
      <c r="F86" t="s">
        <v>387</v>
      </c>
    </row>
    <row r="87" spans="4:7">
      <c r="D87">
        <v>20</v>
      </c>
      <c r="E87" t="s">
        <v>282</v>
      </c>
      <c r="F87" t="s">
        <v>395</v>
      </c>
    </row>
    <row r="100" spans="4:7">
      <c r="D100" t="s">
        <v>342</v>
      </c>
      <c r="E100" t="s">
        <v>330</v>
      </c>
      <c r="F100" t="s">
        <v>281</v>
      </c>
      <c r="G100" t="s">
        <v>376</v>
      </c>
    </row>
    <row r="101" spans="4:7">
      <c r="D101">
        <v>9</v>
      </c>
      <c r="E101" t="s">
        <v>366</v>
      </c>
      <c r="F101" t="s">
        <v>396</v>
      </c>
      <c r="G101" t="s">
        <v>378</v>
      </c>
    </row>
    <row r="102" spans="4:7">
      <c r="D102">
        <v>19</v>
      </c>
      <c r="E102" t="s">
        <v>282</v>
      </c>
      <c r="F102" t="s">
        <v>387</v>
      </c>
    </row>
    <row r="103" spans="4:7">
      <c r="D103">
        <v>20</v>
      </c>
      <c r="E103" t="s">
        <v>282</v>
      </c>
      <c r="F103" t="s">
        <v>395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T28"/>
  <sheetViews>
    <sheetView tabSelected="1" topLeftCell="B1" workbookViewId="0">
      <selection activeCell="T14" sqref="T14"/>
    </sheetView>
  </sheetViews>
  <sheetFormatPr baseColWidth="10" defaultRowHeight="15" x14ac:dyDescent="0"/>
  <cols>
    <col min="6" max="6" width="24" customWidth="1"/>
    <col min="9" max="9" width="11.1640625" bestFit="1" customWidth="1"/>
  </cols>
  <sheetData>
    <row r="7" spans="6:20">
      <c r="M7" t="s">
        <v>154</v>
      </c>
      <c r="N7">
        <v>120</v>
      </c>
      <c r="O7" t="s">
        <v>155</v>
      </c>
      <c r="P7">
        <f>N7/60</f>
        <v>2</v>
      </c>
      <c r="Q7" t="s">
        <v>156</v>
      </c>
    </row>
    <row r="8" spans="6:20">
      <c r="M8" t="s">
        <v>157</v>
      </c>
      <c r="N8">
        <v>1</v>
      </c>
      <c r="O8" t="s">
        <v>160</v>
      </c>
    </row>
    <row r="9" spans="6:20">
      <c r="M9" t="s">
        <v>158</v>
      </c>
      <c r="N9">
        <v>1.8</v>
      </c>
      <c r="O9" t="s">
        <v>159</v>
      </c>
    </row>
    <row r="10" spans="6:20">
      <c r="F10" s="33"/>
      <c r="G10">
        <v>8</v>
      </c>
      <c r="H10" t="s">
        <v>405</v>
      </c>
      <c r="I10">
        <f>2^16</f>
        <v>65536</v>
      </c>
      <c r="M10" t="s">
        <v>161</v>
      </c>
      <c r="N10">
        <f>N7*360*N8/(60*N9)</f>
        <v>400</v>
      </c>
      <c r="O10" t="s">
        <v>162</v>
      </c>
    </row>
    <row r="11" spans="6:20">
      <c r="F11">
        <f>G11/2</f>
        <v>421.05263157894734</v>
      </c>
      <c r="G11">
        <f>$G$10*10^6/I12</f>
        <v>842.10526315789468</v>
      </c>
      <c r="H11" t="s">
        <v>406</v>
      </c>
      <c r="M11" t="s">
        <v>154</v>
      </c>
      <c r="N11">
        <f>F11*60*N9/(N8*360)</f>
        <v>126.31578947368421</v>
      </c>
      <c r="O11" t="s">
        <v>155</v>
      </c>
      <c r="Q11">
        <f>N11*N13</f>
        <v>189.4736842105263</v>
      </c>
      <c r="R11" t="s">
        <v>416</v>
      </c>
    </row>
    <row r="12" spans="6:20">
      <c r="F12">
        <f>G12/2</f>
        <v>526.31578947368416</v>
      </c>
      <c r="G12">
        <f>$G$10*10^6/I13</f>
        <v>1052.6315789473683</v>
      </c>
      <c r="H12" t="s">
        <v>406</v>
      </c>
      <c r="I12">
        <v>9500</v>
      </c>
      <c r="N12">
        <f>F12*60*N9/(N8*360)</f>
        <v>157.89473684210526</v>
      </c>
      <c r="Q12">
        <f>N12*N13</f>
        <v>236.84210526315789</v>
      </c>
      <c r="R12" t="s">
        <v>416</v>
      </c>
      <c r="S12" t="s">
        <v>417</v>
      </c>
      <c r="T12" t="s">
        <v>416</v>
      </c>
    </row>
    <row r="13" spans="6:20">
      <c r="I13">
        <v>7600</v>
      </c>
      <c r="M13" t="s">
        <v>407</v>
      </c>
      <c r="N13">
        <v>1.5</v>
      </c>
    </row>
    <row r="14" spans="6:20">
      <c r="G14">
        <f>G10/I10*I12</f>
        <v>1.15966796875</v>
      </c>
      <c r="M14" t="s">
        <v>408</v>
      </c>
      <c r="N14">
        <v>80</v>
      </c>
      <c r="O14" t="s">
        <v>213</v>
      </c>
      <c r="Q14">
        <f>N14/Q11</f>
        <v>0.42222222222222228</v>
      </c>
      <c r="R14" t="s">
        <v>410</v>
      </c>
      <c r="S14">
        <f>Q14*60</f>
        <v>25.333333333333336</v>
      </c>
    </row>
    <row r="15" spans="6:20">
      <c r="N15">
        <f>N14/N13</f>
        <v>53.333333333333336</v>
      </c>
      <c r="O15" t="s">
        <v>409</v>
      </c>
      <c r="Q15">
        <f>N14/Q12</f>
        <v>0.33777777777777779</v>
      </c>
      <c r="R15" t="s">
        <v>410</v>
      </c>
      <c r="S15">
        <f>Q15*60</f>
        <v>20.266666666666666</v>
      </c>
    </row>
    <row r="16" spans="6:20">
      <c r="N16">
        <f>N15/N11</f>
        <v>0.42222222222222228</v>
      </c>
      <c r="O16" t="s">
        <v>410</v>
      </c>
      <c r="P16">
        <f>N16*60</f>
        <v>25.333333333333336</v>
      </c>
    </row>
    <row r="24" spans="7:9">
      <c r="G24" t="s">
        <v>411</v>
      </c>
      <c r="H24">
        <v>115200</v>
      </c>
    </row>
    <row r="25" spans="7:9">
      <c r="G25" t="s">
        <v>412</v>
      </c>
      <c r="H25">
        <v>10</v>
      </c>
    </row>
    <row r="26" spans="7:9">
      <c r="H26">
        <f>H24/H25</f>
        <v>11520</v>
      </c>
      <c r="I26" t="s">
        <v>414</v>
      </c>
    </row>
    <row r="27" spans="7:9">
      <c r="G27" t="s">
        <v>413</v>
      </c>
      <c r="H27">
        <v>25</v>
      </c>
    </row>
    <row r="28" spans="7:9">
      <c r="H28">
        <f>H26/H27</f>
        <v>460.8</v>
      </c>
      <c r="I28" t="s">
        <v>415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Telegram</vt:lpstr>
      <vt:lpstr>Ifs</vt:lpstr>
      <vt:lpstr>Drive Reg</vt:lpstr>
      <vt:lpstr>Sheet1</vt:lpstr>
      <vt:lpstr>bill of materials</vt:lpstr>
      <vt:lpstr>atmel used pins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roman passler</cp:lastModifiedBy>
  <cp:lastPrinted>2015-12-04T08:31:49Z</cp:lastPrinted>
  <dcterms:created xsi:type="dcterms:W3CDTF">2015-10-20T11:14:41Z</dcterms:created>
  <dcterms:modified xsi:type="dcterms:W3CDTF">2015-12-13T10:11:12Z</dcterms:modified>
</cp:coreProperties>
</file>