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am/Projects/civic/japandata/src/japandata/furusatonouzei/furusatonouzeidata/unused/"/>
    </mc:Choice>
  </mc:AlternateContent>
  <xr:revisionPtr revIDLastSave="0" documentId="13_ncr:1_{40129612-6CCD-2A42-A9C4-8C048D589BE9}" xr6:coauthVersionLast="47" xr6:coauthVersionMax="47" xr10:uidLastSave="{00000000-0000-0000-0000-000000000000}"/>
  <bookViews>
    <workbookView xWindow="19200" yWindow="500" windowWidth="19200" windowHeight="19400" xr2:uid="{00000000-000D-0000-FFFF-FFFF00000000}"/>
  </bookViews>
  <sheets>
    <sheet name="計算欄" sheetId="1" r:id="rId1"/>
    <sheet name="Sheet1" sheetId="2" state="hidden" r:id="rId2"/>
    <sheet name="入力欄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0" i="1" l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V69" i="1"/>
  <c r="V42" i="1" s="1"/>
  <c r="U69" i="1"/>
  <c r="U42" i="1" s="1"/>
  <c r="S69" i="1"/>
  <c r="S42" i="1" s="1"/>
  <c r="R69" i="1"/>
  <c r="Q69" i="1"/>
  <c r="P69" i="1"/>
  <c r="P42" i="1" s="1"/>
  <c r="O69" i="1"/>
  <c r="O42" i="1" s="1"/>
  <c r="N69" i="1"/>
  <c r="N42" i="1" s="1"/>
  <c r="M69" i="1"/>
  <c r="M42" i="1" s="1"/>
  <c r="M46" i="1" s="1"/>
  <c r="L69" i="1"/>
  <c r="L42" i="1" s="1"/>
  <c r="K69" i="1"/>
  <c r="K42" i="1" s="1"/>
  <c r="K46" i="1" s="1"/>
  <c r="J69" i="1"/>
  <c r="J42" i="1" s="1"/>
  <c r="I69" i="1"/>
  <c r="I42" i="1" s="1"/>
  <c r="I46" i="1" s="1"/>
  <c r="H69" i="1"/>
  <c r="G69" i="1"/>
  <c r="F69" i="1"/>
  <c r="F42" i="1" s="1"/>
  <c r="E69" i="1"/>
  <c r="E42" i="1" s="1"/>
  <c r="D69" i="1"/>
  <c r="D42" i="1" s="1"/>
  <c r="C69" i="1"/>
  <c r="C42" i="1" s="1"/>
  <c r="B69" i="1"/>
  <c r="B42" i="1" s="1"/>
  <c r="X67" i="1"/>
  <c r="V67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Q66" i="1"/>
  <c r="R63" i="1"/>
  <c r="Q63" i="1"/>
  <c r="P63" i="1"/>
  <c r="O63" i="1"/>
  <c r="K63" i="1"/>
  <c r="H63" i="1"/>
  <c r="G63" i="1"/>
  <c r="F63" i="1"/>
  <c r="E63" i="1"/>
  <c r="D63" i="1"/>
  <c r="C63" i="1"/>
  <c r="R61" i="1"/>
  <c r="Q61" i="1"/>
  <c r="P61" i="1"/>
  <c r="G61" i="1"/>
  <c r="G65" i="1" s="1"/>
  <c r="F61" i="1"/>
  <c r="F65" i="1" s="1"/>
  <c r="D61" i="1"/>
  <c r="C61" i="1"/>
  <c r="R60" i="1"/>
  <c r="Q60" i="1"/>
  <c r="P60" i="1"/>
  <c r="O60" i="1"/>
  <c r="J60" i="1"/>
  <c r="I60" i="1"/>
  <c r="H60" i="1"/>
  <c r="H61" i="1" s="1"/>
  <c r="G60" i="1"/>
  <c r="X59" i="1"/>
  <c r="X63" i="1" s="1"/>
  <c r="W59" i="1"/>
  <c r="V59" i="1"/>
  <c r="U59" i="1"/>
  <c r="U63" i="1" s="1"/>
  <c r="S59" i="1"/>
  <c r="S63" i="1" s="1"/>
  <c r="R59" i="1"/>
  <c r="Q59" i="1"/>
  <c r="P59" i="1"/>
  <c r="O59" i="1"/>
  <c r="O61" i="1" s="1"/>
  <c r="N59" i="1"/>
  <c r="M59" i="1"/>
  <c r="L59" i="1"/>
  <c r="K59" i="1"/>
  <c r="J59" i="1"/>
  <c r="J63" i="1" s="1"/>
  <c r="I59" i="1"/>
  <c r="I63" i="1" s="1"/>
  <c r="H59" i="1"/>
  <c r="G59" i="1"/>
  <c r="F59" i="1"/>
  <c r="F60" i="1" s="1"/>
  <c r="E59" i="1"/>
  <c r="E60" i="1" s="1"/>
  <c r="E61" i="1" s="1"/>
  <c r="D59" i="1"/>
  <c r="D60" i="1" s="1"/>
  <c r="C59" i="1"/>
  <c r="C60" i="1" s="1"/>
  <c r="B59" i="1"/>
  <c r="P45" i="1"/>
  <c r="U44" i="1"/>
  <c r="U45" i="1" s="1"/>
  <c r="S44" i="1"/>
  <c r="R44" i="1"/>
  <c r="M44" i="1"/>
  <c r="J44" i="1"/>
  <c r="I44" i="1"/>
  <c r="H44" i="1"/>
  <c r="G44" i="1"/>
  <c r="F44" i="1"/>
  <c r="E44" i="1"/>
  <c r="E45" i="1" s="1"/>
  <c r="X43" i="1"/>
  <c r="V43" i="1"/>
  <c r="V44" i="1" s="1"/>
  <c r="V45" i="1" s="1"/>
  <c r="U43" i="1"/>
  <c r="S43" i="1"/>
  <c r="R43" i="1"/>
  <c r="Q43" i="1"/>
  <c r="Q44" i="1" s="1"/>
  <c r="Q45" i="1" s="1"/>
  <c r="P43" i="1"/>
  <c r="P44" i="1" s="1"/>
  <c r="O43" i="1"/>
  <c r="N43" i="1"/>
  <c r="M43" i="1"/>
  <c r="L43" i="1"/>
  <c r="K43" i="1"/>
  <c r="K44" i="1" s="1"/>
  <c r="K45" i="1" s="1"/>
  <c r="J43" i="1"/>
  <c r="I43" i="1"/>
  <c r="H43" i="1"/>
  <c r="G43" i="1"/>
  <c r="F43" i="1"/>
  <c r="E43" i="1"/>
  <c r="X42" i="1"/>
  <c r="R42" i="1"/>
  <c r="Q42" i="1"/>
  <c r="Q46" i="1" s="1"/>
  <c r="H42" i="1"/>
  <c r="G42" i="1"/>
  <c r="W41" i="1"/>
  <c r="X23" i="1"/>
  <c r="V23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1" i="1"/>
  <c r="N21" i="1"/>
  <c r="M21" i="1"/>
  <c r="L21" i="1"/>
  <c r="X19" i="1"/>
  <c r="V19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6" i="1"/>
  <c r="O17" i="1" s="1"/>
  <c r="O11" i="1"/>
  <c r="N11" i="1"/>
  <c r="I11" i="1"/>
  <c r="H11" i="1"/>
  <c r="G11" i="1"/>
  <c r="E11" i="1"/>
  <c r="D11" i="1"/>
  <c r="X10" i="1"/>
  <c r="X11" i="1" s="1"/>
  <c r="V10" i="1"/>
  <c r="V11" i="1" s="1"/>
  <c r="U10" i="1"/>
  <c r="U11" i="1" s="1"/>
  <c r="S10" i="1"/>
  <c r="S11" i="1" s="1"/>
  <c r="R10" i="1"/>
  <c r="R11" i="1" s="1"/>
  <c r="Q10" i="1"/>
  <c r="Q11" i="1" s="1"/>
  <c r="P10" i="1"/>
  <c r="P11" i="1" s="1"/>
  <c r="O10" i="1"/>
  <c r="N10" i="1"/>
  <c r="M10" i="1"/>
  <c r="M11" i="1" s="1"/>
  <c r="L10" i="1"/>
  <c r="L11" i="1" s="1"/>
  <c r="K10" i="1"/>
  <c r="K11" i="1" s="1"/>
  <c r="J10" i="1"/>
  <c r="J11" i="1" s="1"/>
  <c r="I10" i="1"/>
  <c r="H10" i="1"/>
  <c r="G10" i="1"/>
  <c r="F10" i="1"/>
  <c r="F11" i="1" s="1"/>
  <c r="E10" i="1"/>
  <c r="D10" i="1"/>
  <c r="C10" i="1"/>
  <c r="C11" i="1" s="1"/>
  <c r="B10" i="1"/>
  <c r="B11" i="1" s="1"/>
  <c r="W9" i="1"/>
  <c r="Y7" i="1"/>
  <c r="W7" i="1"/>
  <c r="Y6" i="1"/>
  <c r="W6" i="1"/>
  <c r="Y5" i="1"/>
  <c r="W5" i="1"/>
  <c r="Y4" i="1"/>
  <c r="G16" i="1" s="1"/>
  <c r="G17" i="1" s="1"/>
  <c r="W4" i="1"/>
  <c r="Y2" i="1"/>
  <c r="Q12" i="1" s="1"/>
  <c r="V46" i="1" l="1"/>
  <c r="D21" i="1"/>
  <c r="V20" i="1"/>
  <c r="I14" i="1"/>
  <c r="C65" i="1"/>
  <c r="B20" i="1"/>
  <c r="C12" i="1"/>
  <c r="C13" i="1" s="1"/>
  <c r="X14" i="1"/>
  <c r="X15" i="1" s="1"/>
  <c r="C20" i="1"/>
  <c r="C24" i="1" s="1"/>
  <c r="C26" i="1" s="1"/>
  <c r="P20" i="1"/>
  <c r="E46" i="1"/>
  <c r="J46" i="1"/>
  <c r="S46" i="1"/>
  <c r="J45" i="1"/>
  <c r="P46" i="1"/>
  <c r="G21" i="1"/>
  <c r="G13" i="1"/>
  <c r="R45" i="1"/>
  <c r="R46" i="1"/>
  <c r="F21" i="1"/>
  <c r="Q13" i="1"/>
  <c r="Q21" i="1"/>
  <c r="AI4" i="1"/>
  <c r="G66" i="1"/>
  <c r="N22" i="1"/>
  <c r="D22" i="1"/>
  <c r="E66" i="1"/>
  <c r="W22" i="1"/>
  <c r="C22" i="1"/>
  <c r="AH4" i="1"/>
  <c r="S22" i="1"/>
  <c r="M22" i="1"/>
  <c r="R16" i="1"/>
  <c r="R17" i="1" s="1"/>
  <c r="R18" i="1" s="1"/>
  <c r="B66" i="1"/>
  <c r="V22" i="1"/>
  <c r="B22" i="1"/>
  <c r="L22" i="1"/>
  <c r="K22" i="1"/>
  <c r="J22" i="1"/>
  <c r="P16" i="1"/>
  <c r="P17" i="1" s="1"/>
  <c r="J14" i="1"/>
  <c r="J15" i="1" s="1"/>
  <c r="D12" i="1"/>
  <c r="D13" i="1" s="1"/>
  <c r="D35" i="1" s="1"/>
  <c r="U22" i="1"/>
  <c r="S16" i="1"/>
  <c r="S17" i="1" s="1"/>
  <c r="S18" i="1" s="1"/>
  <c r="Q16" i="1"/>
  <c r="Q17" i="1" s="1"/>
  <c r="Q18" i="1" s="1"/>
  <c r="Q26" i="1" s="1"/>
  <c r="AI6" i="1"/>
  <c r="R66" i="1"/>
  <c r="W12" i="1"/>
  <c r="F66" i="1"/>
  <c r="X22" i="1"/>
  <c r="H22" i="1"/>
  <c r="E16" i="1"/>
  <c r="E17" i="1" s="1"/>
  <c r="E18" i="1" s="1"/>
  <c r="D16" i="1"/>
  <c r="S66" i="1"/>
  <c r="AH6" i="1"/>
  <c r="R21" i="1"/>
  <c r="G18" i="1"/>
  <c r="I22" i="1"/>
  <c r="E65" i="1"/>
  <c r="P65" i="1"/>
  <c r="P21" i="1"/>
  <c r="P18" i="1"/>
  <c r="S21" i="1"/>
  <c r="O18" i="1"/>
  <c r="E12" i="1"/>
  <c r="E13" i="1" s="1"/>
  <c r="D20" i="1"/>
  <c r="D24" i="1" s="1"/>
  <c r="D26" i="1" s="1"/>
  <c r="B63" i="1"/>
  <c r="B60" i="1"/>
  <c r="B61" i="1" s="1"/>
  <c r="L63" i="1"/>
  <c r="L60" i="1"/>
  <c r="L61" i="1" s="1"/>
  <c r="AH2" i="1"/>
  <c r="N18" i="1"/>
  <c r="U21" i="1"/>
  <c r="J18" i="1"/>
  <c r="B21" i="1"/>
  <c r="B12" i="1"/>
  <c r="B13" i="1" s="1"/>
  <c r="P12" i="1"/>
  <c r="P13" i="1" s="1"/>
  <c r="H14" i="1"/>
  <c r="H15" i="1" s="1"/>
  <c r="W14" i="1"/>
  <c r="N16" i="1"/>
  <c r="N17" i="1" s="1"/>
  <c r="O20" i="1"/>
  <c r="O24" i="1" s="1"/>
  <c r="H13" i="1"/>
  <c r="H21" i="1"/>
  <c r="K61" i="1"/>
  <c r="V63" i="1"/>
  <c r="R64" i="1"/>
  <c r="H64" i="1"/>
  <c r="Q64" i="1"/>
  <c r="Q68" i="1" s="1"/>
  <c r="Q71" i="1" s="1"/>
  <c r="G64" i="1"/>
  <c r="P64" i="1"/>
  <c r="D64" i="1"/>
  <c r="O64" i="1"/>
  <c r="O68" i="1" s="1"/>
  <c r="O71" i="1" s="1"/>
  <c r="C64" i="1"/>
  <c r="F64" i="1"/>
  <c r="F68" i="1" s="1"/>
  <c r="F71" i="1" s="1"/>
  <c r="U20" i="1"/>
  <c r="J20" i="1"/>
  <c r="Q14" i="1"/>
  <c r="Q15" i="1" s="1"/>
  <c r="G14" i="1"/>
  <c r="G15" i="1" s="1"/>
  <c r="V12" i="1"/>
  <c r="V13" i="1" s="1"/>
  <c r="K12" i="1"/>
  <c r="K13" i="1" s="1"/>
  <c r="F14" i="1"/>
  <c r="F15" i="1" s="1"/>
  <c r="J12" i="1"/>
  <c r="J13" i="1" s="1"/>
  <c r="E14" i="1"/>
  <c r="E64" i="1"/>
  <c r="S20" i="1"/>
  <c r="I20" i="1"/>
  <c r="P14" i="1"/>
  <c r="P15" i="1" s="1"/>
  <c r="U12" i="1"/>
  <c r="U13" i="1" s="1"/>
  <c r="U35" i="1" s="1"/>
  <c r="S12" i="1"/>
  <c r="S13" i="1" s="1"/>
  <c r="R20" i="1"/>
  <c r="R24" i="1" s="1"/>
  <c r="H20" i="1"/>
  <c r="O14" i="1"/>
  <c r="O15" i="1" s="1"/>
  <c r="I12" i="1"/>
  <c r="I13" i="1" s="1"/>
  <c r="R12" i="1"/>
  <c r="R13" i="1" s="1"/>
  <c r="Q20" i="1"/>
  <c r="Q24" i="1" s="1"/>
  <c r="G20" i="1"/>
  <c r="G24" i="1" s="1"/>
  <c r="N14" i="1"/>
  <c r="N15" i="1" s="1"/>
  <c r="D14" i="1"/>
  <c r="D15" i="1" s="1"/>
  <c r="H12" i="1"/>
  <c r="I21" i="1"/>
  <c r="W63" i="1"/>
  <c r="P24" i="1"/>
  <c r="X20" i="1"/>
  <c r="G12" i="1"/>
  <c r="M14" i="1"/>
  <c r="M15" i="1" s="1"/>
  <c r="I15" i="1"/>
  <c r="F20" i="1"/>
  <c r="K18" i="1"/>
  <c r="F16" i="1"/>
  <c r="F17" i="1" s="1"/>
  <c r="F18" i="1" s="1"/>
  <c r="O44" i="1"/>
  <c r="O46" i="1" s="1"/>
  <c r="O65" i="1"/>
  <c r="H65" i="1"/>
  <c r="I64" i="1"/>
  <c r="M12" i="1"/>
  <c r="M13" i="1" s="1"/>
  <c r="S14" i="1"/>
  <c r="S15" i="1" s="1"/>
  <c r="L20" i="1"/>
  <c r="L24" i="1" s="1"/>
  <c r="X21" i="1"/>
  <c r="F45" i="1"/>
  <c r="U46" i="1"/>
  <c r="D65" i="1"/>
  <c r="H18" i="1"/>
  <c r="K14" i="1"/>
  <c r="K15" i="1" s="1"/>
  <c r="R65" i="1"/>
  <c r="V21" i="1"/>
  <c r="V24" i="1" s="1"/>
  <c r="V26" i="1" s="1"/>
  <c r="X45" i="1"/>
  <c r="W60" i="1"/>
  <c r="W61" i="1" s="1"/>
  <c r="M16" i="1"/>
  <c r="M17" i="1" s="1"/>
  <c r="M18" i="1" s="1"/>
  <c r="C16" i="1"/>
  <c r="C17" i="1" s="1"/>
  <c r="C18" i="1" s="1"/>
  <c r="W16" i="1"/>
  <c r="W17" i="1" s="1"/>
  <c r="B16" i="1"/>
  <c r="B17" i="1" s="1"/>
  <c r="L16" i="1"/>
  <c r="L17" i="1" s="1"/>
  <c r="K16" i="1"/>
  <c r="K17" i="1" s="1"/>
  <c r="U16" i="1"/>
  <c r="U17" i="1" s="1"/>
  <c r="V16" i="1"/>
  <c r="V17" i="1" s="1"/>
  <c r="V18" i="1" s="1"/>
  <c r="J16" i="1"/>
  <c r="J17" i="1" s="1"/>
  <c r="W19" i="1"/>
  <c r="W10" i="1"/>
  <c r="W11" i="1" s="1"/>
  <c r="C21" i="1"/>
  <c r="B18" i="1"/>
  <c r="U14" i="1"/>
  <c r="U15" i="1" s="1"/>
  <c r="H16" i="1"/>
  <c r="H17" i="1" s="1"/>
  <c r="M20" i="1"/>
  <c r="M24" i="1" s="1"/>
  <c r="J21" i="1"/>
  <c r="Q65" i="1"/>
  <c r="X12" i="1"/>
  <c r="X13" i="1" s="1"/>
  <c r="F12" i="1"/>
  <c r="F13" i="1" s="1"/>
  <c r="L14" i="1"/>
  <c r="E20" i="1"/>
  <c r="E24" i="1" s="1"/>
  <c r="V60" i="1"/>
  <c r="V61" i="1" s="1"/>
  <c r="U18" i="1"/>
  <c r="N44" i="1"/>
  <c r="N46" i="1" s="1"/>
  <c r="F46" i="1"/>
  <c r="L12" i="1"/>
  <c r="L13" i="1" s="1"/>
  <c r="R14" i="1"/>
  <c r="R15" i="1" s="1"/>
  <c r="K20" i="1"/>
  <c r="K24" i="1" s="1"/>
  <c r="L18" i="1"/>
  <c r="L15" i="1"/>
  <c r="N12" i="1"/>
  <c r="N13" i="1" s="1"/>
  <c r="B14" i="1"/>
  <c r="B15" i="1" s="1"/>
  <c r="L66" i="1"/>
  <c r="E15" i="1"/>
  <c r="O12" i="1"/>
  <c r="O13" i="1" s="1"/>
  <c r="C14" i="1"/>
  <c r="C15" i="1" s="1"/>
  <c r="V14" i="1"/>
  <c r="V15" i="1" s="1"/>
  <c r="I16" i="1"/>
  <c r="I17" i="1" s="1"/>
  <c r="I18" i="1" s="1"/>
  <c r="N20" i="1"/>
  <c r="N24" i="1" s="1"/>
  <c r="K21" i="1"/>
  <c r="K60" i="1"/>
  <c r="G45" i="1"/>
  <c r="G46" i="1"/>
  <c r="N60" i="1"/>
  <c r="N61" i="1" s="1"/>
  <c r="N63" i="1"/>
  <c r="K66" i="1"/>
  <c r="M60" i="1"/>
  <c r="M63" i="1"/>
  <c r="E22" i="1"/>
  <c r="O22" i="1"/>
  <c r="H45" i="1"/>
  <c r="H46" i="1"/>
  <c r="M61" i="1"/>
  <c r="N66" i="1"/>
  <c r="D66" i="1"/>
  <c r="X66" i="1"/>
  <c r="M66" i="1"/>
  <c r="C66" i="1"/>
  <c r="W66" i="1"/>
  <c r="J66" i="1"/>
  <c r="V66" i="1"/>
  <c r="I66" i="1"/>
  <c r="U66" i="1"/>
  <c r="H66" i="1"/>
  <c r="R22" i="1"/>
  <c r="F22" i="1"/>
  <c r="P22" i="1"/>
  <c r="I45" i="1"/>
  <c r="S45" i="1"/>
  <c r="O66" i="1"/>
  <c r="X60" i="1"/>
  <c r="X61" i="1" s="1"/>
  <c r="X64" i="1" s="1"/>
  <c r="G22" i="1"/>
  <c r="Q22" i="1"/>
  <c r="P66" i="1"/>
  <c r="L44" i="1"/>
  <c r="L45" i="1" s="1"/>
  <c r="S60" i="1"/>
  <c r="S61" i="1" s="1"/>
  <c r="I61" i="1"/>
  <c r="M45" i="1"/>
  <c r="U60" i="1"/>
  <c r="U61" i="1" s="1"/>
  <c r="J61" i="1"/>
  <c r="H68" i="1" l="1"/>
  <c r="H71" i="1" s="1"/>
  <c r="M26" i="1"/>
  <c r="P68" i="1"/>
  <c r="P71" i="1" s="1"/>
  <c r="F24" i="1"/>
  <c r="F26" i="1" s="1"/>
  <c r="D68" i="1"/>
  <c r="D71" i="1" s="1"/>
  <c r="D73" i="1" s="1"/>
  <c r="D75" i="1" s="1"/>
  <c r="D78" i="1" s="1"/>
  <c r="K26" i="1"/>
  <c r="K27" i="1" s="1"/>
  <c r="I24" i="1"/>
  <c r="I26" i="1" s="1"/>
  <c r="R68" i="1"/>
  <c r="R71" i="1" s="1"/>
  <c r="R73" i="1" s="1"/>
  <c r="R75" i="1" s="1"/>
  <c r="R78" i="1" s="1"/>
  <c r="S24" i="1"/>
  <c r="S26" i="1" s="1"/>
  <c r="B24" i="1"/>
  <c r="B26" i="1" s="1"/>
  <c r="J24" i="1"/>
  <c r="E26" i="1"/>
  <c r="E68" i="1"/>
  <c r="E71" i="1" s="1"/>
  <c r="C68" i="1"/>
  <c r="C71" i="1" s="1"/>
  <c r="J26" i="1"/>
  <c r="O45" i="1"/>
  <c r="G68" i="1"/>
  <c r="G71" i="1" s="1"/>
  <c r="G73" i="1" s="1"/>
  <c r="G75" i="1" s="1"/>
  <c r="G78" i="1" s="1"/>
  <c r="N45" i="1"/>
  <c r="B27" i="1"/>
  <c r="B28" i="1"/>
  <c r="D28" i="1"/>
  <c r="D27" i="1"/>
  <c r="O72" i="1"/>
  <c r="O76" i="1" s="1"/>
  <c r="O79" i="1" s="1"/>
  <c r="O73" i="1"/>
  <c r="O75" i="1" s="1"/>
  <c r="O78" i="1" s="1"/>
  <c r="O48" i="1"/>
  <c r="V27" i="1"/>
  <c r="V28" i="1"/>
  <c r="Q73" i="1"/>
  <c r="Q75" i="1" s="1"/>
  <c r="Q78" i="1" s="1"/>
  <c r="Q48" i="1"/>
  <c r="Q72" i="1"/>
  <c r="Q76" i="1" s="1"/>
  <c r="Q79" i="1" s="1"/>
  <c r="Q27" i="1"/>
  <c r="Q28" i="1"/>
  <c r="E28" i="1"/>
  <c r="E27" i="1"/>
  <c r="C48" i="1"/>
  <c r="C73" i="1"/>
  <c r="C75" i="1" s="1"/>
  <c r="C78" i="1" s="1"/>
  <c r="M28" i="1"/>
  <c r="M27" i="1"/>
  <c r="U65" i="1"/>
  <c r="U64" i="1"/>
  <c r="U68" i="1" s="1"/>
  <c r="U71" i="1" s="1"/>
  <c r="V65" i="1"/>
  <c r="V64" i="1"/>
  <c r="P72" i="1"/>
  <c r="P76" i="1" s="1"/>
  <c r="P79" i="1" s="1"/>
  <c r="P73" i="1"/>
  <c r="P75" i="1" s="1"/>
  <c r="P78" i="1" s="1"/>
  <c r="P48" i="1"/>
  <c r="L65" i="1"/>
  <c r="L68" i="1" s="1"/>
  <c r="L71" i="1" s="1"/>
  <c r="L64" i="1"/>
  <c r="B65" i="1"/>
  <c r="B64" i="1"/>
  <c r="B68" i="1" s="1"/>
  <c r="B71" i="1" s="1"/>
  <c r="H73" i="1"/>
  <c r="H75" i="1" s="1"/>
  <c r="H78" i="1" s="1"/>
  <c r="H72" i="1"/>
  <c r="H76" i="1" s="1"/>
  <c r="H79" i="1" s="1"/>
  <c r="H48" i="1"/>
  <c r="N65" i="1"/>
  <c r="N64" i="1"/>
  <c r="N68" i="1" s="1"/>
  <c r="N71" i="1" s="1"/>
  <c r="D48" i="1"/>
  <c r="E73" i="1"/>
  <c r="E75" i="1" s="1"/>
  <c r="E78" i="1" s="1"/>
  <c r="E48" i="1"/>
  <c r="E72" i="1"/>
  <c r="E76" i="1" s="1"/>
  <c r="E79" i="1" s="1"/>
  <c r="C28" i="1"/>
  <c r="C27" i="1"/>
  <c r="W18" i="1"/>
  <c r="W15" i="1"/>
  <c r="AD59" i="1"/>
  <c r="W21" i="1"/>
  <c r="W13" i="1"/>
  <c r="W20" i="1"/>
  <c r="W43" i="1"/>
  <c r="R48" i="1"/>
  <c r="AF59" i="1"/>
  <c r="W67" i="1" s="1"/>
  <c r="W65" i="1"/>
  <c r="W64" i="1"/>
  <c r="W68" i="1" s="1"/>
  <c r="W71" i="1" s="1"/>
  <c r="W70" i="1"/>
  <c r="R26" i="1"/>
  <c r="K65" i="1"/>
  <c r="U36" i="1"/>
  <c r="U37" i="1"/>
  <c r="J65" i="1"/>
  <c r="P26" i="1"/>
  <c r="K28" i="1"/>
  <c r="J27" i="1"/>
  <c r="J28" i="1"/>
  <c r="F72" i="1"/>
  <c r="F76" i="1" s="1"/>
  <c r="F79" i="1" s="1"/>
  <c r="F48" i="1"/>
  <c r="F73" i="1"/>
  <c r="F75" i="1" s="1"/>
  <c r="F78" i="1" s="1"/>
  <c r="N26" i="1"/>
  <c r="I65" i="1"/>
  <c r="I68" i="1" s="1"/>
  <c r="I71" i="1" s="1"/>
  <c r="H24" i="1"/>
  <c r="H26" i="1" s="1"/>
  <c r="O26" i="1"/>
  <c r="J64" i="1"/>
  <c r="G26" i="1"/>
  <c r="S65" i="1"/>
  <c r="L26" i="1"/>
  <c r="U24" i="1"/>
  <c r="U26" i="1" s="1"/>
  <c r="M65" i="1"/>
  <c r="M64" i="1"/>
  <c r="K64" i="1"/>
  <c r="D36" i="1"/>
  <c r="D37" i="1"/>
  <c r="L46" i="1"/>
  <c r="X65" i="1"/>
  <c r="X68" i="1" s="1"/>
  <c r="X71" i="1" s="1"/>
  <c r="X24" i="1"/>
  <c r="X26" i="1" s="1"/>
  <c r="S64" i="1"/>
  <c r="I28" i="1" l="1"/>
  <c r="I27" i="1"/>
  <c r="S28" i="1"/>
  <c r="S27" i="1"/>
  <c r="F27" i="1"/>
  <c r="F28" i="1"/>
  <c r="G48" i="1"/>
  <c r="J68" i="1"/>
  <c r="J71" i="1" s="1"/>
  <c r="J72" i="1" s="1"/>
  <c r="J76" i="1" s="1"/>
  <c r="J79" i="1" s="1"/>
  <c r="R72" i="1"/>
  <c r="R76" i="1" s="1"/>
  <c r="R79" i="1" s="1"/>
  <c r="V68" i="1"/>
  <c r="V71" i="1" s="1"/>
  <c r="V48" i="1" s="1"/>
  <c r="G72" i="1"/>
  <c r="G76" i="1" s="1"/>
  <c r="G79" i="1" s="1"/>
  <c r="M68" i="1"/>
  <c r="M71" i="1" s="1"/>
  <c r="I73" i="1"/>
  <c r="I75" i="1" s="1"/>
  <c r="I78" i="1" s="1"/>
  <c r="I72" i="1"/>
  <c r="I76" i="1" s="1"/>
  <c r="I79" i="1" s="1"/>
  <c r="I48" i="1"/>
  <c r="B73" i="1"/>
  <c r="B75" i="1" s="1"/>
  <c r="B78" i="1" s="1"/>
  <c r="B48" i="1"/>
  <c r="M73" i="1"/>
  <c r="M75" i="1" s="1"/>
  <c r="M78" i="1" s="1"/>
  <c r="M72" i="1"/>
  <c r="M76" i="1" s="1"/>
  <c r="M79" i="1" s="1"/>
  <c r="M48" i="1"/>
  <c r="H28" i="1"/>
  <c r="H27" i="1"/>
  <c r="U72" i="1"/>
  <c r="U76" i="1" s="1"/>
  <c r="U79" i="1" s="1"/>
  <c r="U48" i="1"/>
  <c r="U73" i="1"/>
  <c r="U75" i="1" s="1"/>
  <c r="U78" i="1" s="1"/>
  <c r="X73" i="1"/>
  <c r="X75" i="1" s="1"/>
  <c r="X78" i="1" s="1"/>
  <c r="X48" i="1"/>
  <c r="L73" i="1"/>
  <c r="L75" i="1" s="1"/>
  <c r="L78" i="1" s="1"/>
  <c r="L72" i="1"/>
  <c r="L76" i="1" s="1"/>
  <c r="L79" i="1" s="1"/>
  <c r="L48" i="1"/>
  <c r="W72" i="1"/>
  <c r="W76" i="1" s="1"/>
  <c r="W79" i="1" s="1"/>
  <c r="W48" i="1"/>
  <c r="W73" i="1"/>
  <c r="W75" i="1" s="1"/>
  <c r="W78" i="1" s="1"/>
  <c r="W69" i="1"/>
  <c r="W42" i="1" s="1"/>
  <c r="N73" i="1"/>
  <c r="N75" i="1" s="1"/>
  <c r="N78" i="1" s="1"/>
  <c r="N72" i="1"/>
  <c r="N76" i="1" s="1"/>
  <c r="N79" i="1" s="1"/>
  <c r="N48" i="1"/>
  <c r="P28" i="1"/>
  <c r="P27" i="1"/>
  <c r="U27" i="1"/>
  <c r="U31" i="1"/>
  <c r="U28" i="1"/>
  <c r="U33" i="1" s="1"/>
  <c r="U39" i="1" s="1"/>
  <c r="U51" i="1" s="1"/>
  <c r="U55" i="1" s="1"/>
  <c r="G27" i="1"/>
  <c r="G28" i="1"/>
  <c r="R28" i="1"/>
  <c r="R27" i="1"/>
  <c r="K68" i="1"/>
  <c r="K71" i="1" s="1"/>
  <c r="L28" i="1"/>
  <c r="L27" i="1"/>
  <c r="W23" i="1"/>
  <c r="W24" i="1" s="1"/>
  <c r="W26" i="1" s="1"/>
  <c r="R29" i="1"/>
  <c r="R30" i="1" s="1"/>
  <c r="X29" i="1"/>
  <c r="X31" i="1" s="1"/>
  <c r="C29" i="1"/>
  <c r="O29" i="1"/>
  <c r="O30" i="1" s="1"/>
  <c r="K29" i="1"/>
  <c r="L29" i="1"/>
  <c r="L31" i="1" s="1"/>
  <c r="I29" i="1"/>
  <c r="N29" i="1"/>
  <c r="N30" i="1" s="1"/>
  <c r="U29" i="1"/>
  <c r="U30" i="1" s="1"/>
  <c r="H29" i="1"/>
  <c r="H30" i="1" s="1"/>
  <c r="W29" i="1"/>
  <c r="F29" i="1"/>
  <c r="E29" i="1"/>
  <c r="J29" i="1"/>
  <c r="B29" i="1"/>
  <c r="P29" i="1"/>
  <c r="P30" i="1" s="1"/>
  <c r="Q29" i="1"/>
  <c r="G29" i="1"/>
  <c r="G30" i="1" s="1"/>
  <c r="D29" i="1"/>
  <c r="M29" i="1"/>
  <c r="S29" i="1"/>
  <c r="V29" i="1"/>
  <c r="C82" i="1"/>
  <c r="C84" i="1" s="1"/>
  <c r="C85" i="1" s="1"/>
  <c r="C81" i="1"/>
  <c r="O28" i="1"/>
  <c r="O27" i="1"/>
  <c r="N28" i="1"/>
  <c r="N27" i="1"/>
  <c r="N31" i="1"/>
  <c r="S68" i="1"/>
  <c r="S71" i="1" s="1"/>
  <c r="X27" i="1"/>
  <c r="X28" i="1"/>
  <c r="V73" i="1" l="1"/>
  <c r="V75" i="1" s="1"/>
  <c r="V78" i="1" s="1"/>
  <c r="V72" i="1"/>
  <c r="V76" i="1" s="1"/>
  <c r="V79" i="1" s="1"/>
  <c r="J73" i="1"/>
  <c r="J75" i="1" s="1"/>
  <c r="J78" i="1" s="1"/>
  <c r="J48" i="1"/>
  <c r="H31" i="1"/>
  <c r="L30" i="1"/>
  <c r="O31" i="1"/>
  <c r="O33" i="1" s="1"/>
  <c r="X30" i="1"/>
  <c r="X32" i="1" s="1"/>
  <c r="P31" i="1"/>
  <c r="P33" i="1" s="1"/>
  <c r="X33" i="1"/>
  <c r="W31" i="1"/>
  <c r="W27" i="1"/>
  <c r="W28" i="1"/>
  <c r="W30" i="1"/>
  <c r="M31" i="1"/>
  <c r="M33" i="1" s="1"/>
  <c r="M30" i="1"/>
  <c r="M32" i="1" s="1"/>
  <c r="D30" i="1"/>
  <c r="D32" i="1" s="1"/>
  <c r="D31" i="1"/>
  <c r="D33" i="1" s="1"/>
  <c r="D39" i="1" s="1"/>
  <c r="D51" i="1" s="1"/>
  <c r="D55" i="1" s="1"/>
  <c r="N33" i="1"/>
  <c r="S30" i="1"/>
  <c r="S32" i="1" s="1"/>
  <c r="S31" i="1"/>
  <c r="S33" i="1" s="1"/>
  <c r="R31" i="1"/>
  <c r="R33" i="1" s="1"/>
  <c r="Q30" i="1"/>
  <c r="Q32" i="1" s="1"/>
  <c r="Q31" i="1"/>
  <c r="Q33" i="1" s="1"/>
  <c r="B31" i="1"/>
  <c r="B33" i="1" s="1"/>
  <c r="B30" i="1"/>
  <c r="B32" i="1" s="1"/>
  <c r="L32" i="1"/>
  <c r="K30" i="1"/>
  <c r="K32" i="1" s="1"/>
  <c r="K31" i="1"/>
  <c r="K33" i="1" s="1"/>
  <c r="J31" i="1"/>
  <c r="J33" i="1" s="1"/>
  <c r="J30" i="1"/>
  <c r="J32" i="1" s="1"/>
  <c r="K73" i="1"/>
  <c r="K75" i="1" s="1"/>
  <c r="K78" i="1" s="1"/>
  <c r="K72" i="1"/>
  <c r="K76" i="1" s="1"/>
  <c r="K79" i="1" s="1"/>
  <c r="K48" i="1"/>
  <c r="G31" i="1"/>
  <c r="G33" i="1" s="1"/>
  <c r="N32" i="1"/>
  <c r="I31" i="1"/>
  <c r="I33" i="1" s="1"/>
  <c r="I30" i="1"/>
  <c r="I32" i="1" s="1"/>
  <c r="L33" i="1"/>
  <c r="G32" i="1"/>
  <c r="S73" i="1"/>
  <c r="S75" i="1" s="1"/>
  <c r="S78" i="1" s="1"/>
  <c r="S72" i="1"/>
  <c r="S76" i="1" s="1"/>
  <c r="S79" i="1" s="1"/>
  <c r="S48" i="1"/>
  <c r="E31" i="1"/>
  <c r="E33" i="1" s="1"/>
  <c r="E30" i="1"/>
  <c r="E32" i="1" s="1"/>
  <c r="C30" i="1"/>
  <c r="C32" i="1" s="1"/>
  <c r="C31" i="1"/>
  <c r="C33" i="1" s="1"/>
  <c r="P32" i="1"/>
  <c r="H33" i="1"/>
  <c r="U32" i="1"/>
  <c r="O32" i="1"/>
  <c r="V31" i="1"/>
  <c r="V33" i="1" s="1"/>
  <c r="V30" i="1"/>
  <c r="V32" i="1" s="1"/>
  <c r="F31" i="1"/>
  <c r="F33" i="1" s="1"/>
  <c r="F30" i="1"/>
  <c r="F32" i="1" s="1"/>
  <c r="R32" i="1"/>
  <c r="H32" i="1"/>
  <c r="W33" i="1" l="1"/>
  <c r="N34" i="1"/>
  <c r="R34" i="1"/>
  <c r="U38" i="1"/>
  <c r="U34" i="1"/>
  <c r="U47" i="1" s="1"/>
  <c r="U49" i="1" s="1"/>
  <c r="F34" i="1"/>
  <c r="K34" i="1"/>
  <c r="V34" i="1"/>
  <c r="X34" i="1"/>
  <c r="B34" i="1"/>
  <c r="C34" i="1"/>
  <c r="Q34" i="1"/>
  <c r="S34" i="1"/>
  <c r="D34" i="1"/>
  <c r="D47" i="1" s="1"/>
  <c r="D49" i="1" s="1"/>
  <c r="D38" i="1"/>
  <c r="M34" i="1"/>
  <c r="P34" i="1"/>
  <c r="H34" i="1"/>
  <c r="J34" i="1"/>
  <c r="L34" i="1"/>
  <c r="W32" i="1"/>
  <c r="G34" i="1"/>
  <c r="O34" i="1"/>
  <c r="I34" i="1"/>
  <c r="E34" i="1"/>
  <c r="V47" i="1" l="1"/>
  <c r="V49" i="1" s="1"/>
  <c r="V92" i="1" s="1"/>
  <c r="V35" i="1"/>
  <c r="P47" i="1"/>
  <c r="P49" i="1" s="1"/>
  <c r="P35" i="1"/>
  <c r="X47" i="1"/>
  <c r="X49" i="1" s="1"/>
  <c r="X35" i="1"/>
  <c r="I47" i="1"/>
  <c r="I49" i="1" s="1"/>
  <c r="I35" i="1"/>
  <c r="L47" i="1"/>
  <c r="L49" i="1" s="1"/>
  <c r="L35" i="1"/>
  <c r="Q47" i="1"/>
  <c r="Q49" i="1" s="1"/>
  <c r="Q35" i="1"/>
  <c r="U40" i="1"/>
  <c r="U50" i="1"/>
  <c r="U54" i="1" s="1"/>
  <c r="U56" i="1" s="1"/>
  <c r="U82" i="1" s="1"/>
  <c r="U84" i="1" s="1"/>
  <c r="U85" i="1" s="1"/>
  <c r="R47" i="1"/>
  <c r="R49" i="1" s="1"/>
  <c r="R35" i="1"/>
  <c r="J47" i="1"/>
  <c r="J49" i="1" s="1"/>
  <c r="J35" i="1"/>
  <c r="K47" i="1"/>
  <c r="K49" i="1" s="1"/>
  <c r="K35" i="1"/>
  <c r="H47" i="1"/>
  <c r="H49" i="1" s="1"/>
  <c r="H35" i="1"/>
  <c r="U88" i="1"/>
  <c r="U92" i="1"/>
  <c r="M47" i="1"/>
  <c r="M49" i="1" s="1"/>
  <c r="M35" i="1"/>
  <c r="E47" i="1"/>
  <c r="E49" i="1" s="1"/>
  <c r="E88" i="1" s="1"/>
  <c r="E35" i="1"/>
  <c r="W34" i="1"/>
  <c r="D40" i="1"/>
  <c r="D81" i="1" s="1"/>
  <c r="D50" i="1"/>
  <c r="D54" i="1" s="1"/>
  <c r="D56" i="1" s="1"/>
  <c r="D82" i="1" s="1"/>
  <c r="D84" i="1" s="1"/>
  <c r="D85" i="1" s="1"/>
  <c r="O47" i="1"/>
  <c r="O49" i="1" s="1"/>
  <c r="O35" i="1"/>
  <c r="C47" i="1"/>
  <c r="C49" i="1" s="1"/>
  <c r="C35" i="1"/>
  <c r="N47" i="1"/>
  <c r="N49" i="1" s="1"/>
  <c r="N35" i="1"/>
  <c r="G47" i="1"/>
  <c r="G49" i="1" s="1"/>
  <c r="G35" i="1"/>
  <c r="S47" i="1"/>
  <c r="S49" i="1" s="1"/>
  <c r="S35" i="1"/>
  <c r="B47" i="1"/>
  <c r="B49" i="1" s="1"/>
  <c r="B35" i="1"/>
  <c r="F47" i="1"/>
  <c r="F49" i="1" s="1"/>
  <c r="F35" i="1"/>
  <c r="V88" i="1" l="1"/>
  <c r="V91" i="1" s="1"/>
  <c r="V36" i="1"/>
  <c r="V38" i="1" s="1"/>
  <c r="V37" i="1"/>
  <c r="V39" i="1" s="1"/>
  <c r="V51" i="1" s="1"/>
  <c r="V55" i="1" s="1"/>
  <c r="N37" i="1"/>
  <c r="N39" i="1" s="1"/>
  <c r="N51" i="1" s="1"/>
  <c r="N55" i="1" s="1"/>
  <c r="N36" i="1"/>
  <c r="N38" i="1" s="1"/>
  <c r="W47" i="1"/>
  <c r="W49" i="1" s="1"/>
  <c r="W35" i="1"/>
  <c r="C37" i="1"/>
  <c r="C39" i="1" s="1"/>
  <c r="C51" i="1" s="1"/>
  <c r="C55" i="1" s="1"/>
  <c r="C36" i="1"/>
  <c r="C38" i="1" s="1"/>
  <c r="O37" i="1"/>
  <c r="O39" i="1" s="1"/>
  <c r="O51" i="1" s="1"/>
  <c r="O55" i="1" s="1"/>
  <c r="O36" i="1"/>
  <c r="O38" i="1" s="1"/>
  <c r="I37" i="1"/>
  <c r="I39" i="1" s="1"/>
  <c r="I51" i="1" s="1"/>
  <c r="I55" i="1" s="1"/>
  <c r="I36" i="1"/>
  <c r="I38" i="1" s="1"/>
  <c r="R37" i="1"/>
  <c r="R39" i="1" s="1"/>
  <c r="R51" i="1" s="1"/>
  <c r="R55" i="1" s="1"/>
  <c r="R36" i="1"/>
  <c r="R38" i="1" s="1"/>
  <c r="U90" i="1"/>
  <c r="U91" i="1"/>
  <c r="Q36" i="1"/>
  <c r="Q38" i="1" s="1"/>
  <c r="Q37" i="1"/>
  <c r="Q39" i="1" s="1"/>
  <c r="Q51" i="1" s="1"/>
  <c r="Q55" i="1" s="1"/>
  <c r="F36" i="1"/>
  <c r="F38" i="1" s="1"/>
  <c r="F37" i="1"/>
  <c r="F39" i="1" s="1"/>
  <c r="F51" i="1" s="1"/>
  <c r="F55" i="1" s="1"/>
  <c r="J36" i="1"/>
  <c r="J38" i="1" s="1"/>
  <c r="J37" i="1"/>
  <c r="J39" i="1" s="1"/>
  <c r="J51" i="1" s="1"/>
  <c r="J55" i="1" s="1"/>
  <c r="M37" i="1"/>
  <c r="M39" i="1" s="1"/>
  <c r="M51" i="1" s="1"/>
  <c r="M55" i="1" s="1"/>
  <c r="M36" i="1"/>
  <c r="M38" i="1" s="1"/>
  <c r="S37" i="1"/>
  <c r="S39" i="1" s="1"/>
  <c r="S51" i="1" s="1"/>
  <c r="S55" i="1" s="1"/>
  <c r="S36" i="1"/>
  <c r="S38" i="1" s="1"/>
  <c r="G36" i="1"/>
  <c r="G38" i="1" s="1"/>
  <c r="G37" i="1"/>
  <c r="G39" i="1" s="1"/>
  <c r="G51" i="1" s="1"/>
  <c r="G55" i="1" s="1"/>
  <c r="V90" i="1"/>
  <c r="P36" i="1"/>
  <c r="P38" i="1" s="1"/>
  <c r="P37" i="1"/>
  <c r="P39" i="1" s="1"/>
  <c r="P51" i="1" s="1"/>
  <c r="P55" i="1" s="1"/>
  <c r="K36" i="1"/>
  <c r="K38" i="1" s="1"/>
  <c r="K37" i="1"/>
  <c r="K39" i="1" s="1"/>
  <c r="K51" i="1" s="1"/>
  <c r="K55" i="1" s="1"/>
  <c r="E36" i="1"/>
  <c r="E38" i="1" s="1"/>
  <c r="E37" i="1"/>
  <c r="E39" i="1" s="1"/>
  <c r="E51" i="1" s="1"/>
  <c r="E55" i="1" s="1"/>
  <c r="L37" i="1"/>
  <c r="L39" i="1" s="1"/>
  <c r="L51" i="1" s="1"/>
  <c r="L55" i="1" s="1"/>
  <c r="L36" i="1"/>
  <c r="L38" i="1" s="1"/>
  <c r="E90" i="1"/>
  <c r="E92" i="1"/>
  <c r="E91" i="1"/>
  <c r="B37" i="1"/>
  <c r="B39" i="1" s="1"/>
  <c r="B51" i="1" s="1"/>
  <c r="B55" i="1" s="1"/>
  <c r="B36" i="1"/>
  <c r="B38" i="1" s="1"/>
  <c r="X37" i="1"/>
  <c r="X39" i="1" s="1"/>
  <c r="X51" i="1" s="1"/>
  <c r="X55" i="1" s="1"/>
  <c r="X36" i="1"/>
  <c r="X38" i="1" s="1"/>
  <c r="H37" i="1"/>
  <c r="H39" i="1" s="1"/>
  <c r="H51" i="1" s="1"/>
  <c r="H55" i="1" s="1"/>
  <c r="H36" i="1"/>
  <c r="H38" i="1" s="1"/>
  <c r="U57" i="1"/>
  <c r="U81" i="1"/>
  <c r="V40" i="1" l="1"/>
  <c r="V50" i="1"/>
  <c r="V54" i="1" s="1"/>
  <c r="V56" i="1" s="1"/>
  <c r="V82" i="1" s="1"/>
  <c r="V84" i="1" s="1"/>
  <c r="V85" i="1" s="1"/>
  <c r="E93" i="1"/>
  <c r="E94" i="1" s="1"/>
  <c r="V93" i="1"/>
  <c r="V94" i="1" s="1"/>
  <c r="I40" i="1"/>
  <c r="I50" i="1"/>
  <c r="I54" i="1" s="1"/>
  <c r="I56" i="1" s="1"/>
  <c r="I82" i="1" s="1"/>
  <c r="H40" i="1"/>
  <c r="H50" i="1"/>
  <c r="H54" i="1" s="1"/>
  <c r="H56" i="1" s="1"/>
  <c r="H82" i="1" s="1"/>
  <c r="Q40" i="1"/>
  <c r="Q50" i="1"/>
  <c r="Q54" i="1" s="1"/>
  <c r="Q56" i="1" s="1"/>
  <c r="Q82" i="1" s="1"/>
  <c r="E50" i="1"/>
  <c r="E54" i="1" s="1"/>
  <c r="E56" i="1" s="1"/>
  <c r="E82" i="1" s="1"/>
  <c r="E84" i="1" s="1"/>
  <c r="E85" i="1" s="1"/>
  <c r="E40" i="1"/>
  <c r="M40" i="1"/>
  <c r="M50" i="1"/>
  <c r="M54" i="1" s="1"/>
  <c r="M56" i="1" s="1"/>
  <c r="M82" i="1" s="1"/>
  <c r="B40" i="1"/>
  <c r="B81" i="1" s="1"/>
  <c r="B50" i="1"/>
  <c r="B54" i="1" s="1"/>
  <c r="B56" i="1" s="1"/>
  <c r="B82" i="1" s="1"/>
  <c r="B84" i="1" s="1"/>
  <c r="B85" i="1" s="1"/>
  <c r="W92" i="1"/>
  <c r="W88" i="1"/>
  <c r="S40" i="1"/>
  <c r="S50" i="1"/>
  <c r="S54" i="1" s="1"/>
  <c r="S56" i="1" s="1"/>
  <c r="S82" i="1" s="1"/>
  <c r="X40" i="1"/>
  <c r="X50" i="1"/>
  <c r="X54" i="1" s="1"/>
  <c r="X56" i="1" s="1"/>
  <c r="X82" i="1" s="1"/>
  <c r="X84" i="1" s="1"/>
  <c r="X85" i="1" s="1"/>
  <c r="U93" i="1"/>
  <c r="U94" i="1" s="1"/>
  <c r="R40" i="1"/>
  <c r="R50" i="1"/>
  <c r="R54" i="1" s="1"/>
  <c r="R56" i="1" s="1"/>
  <c r="R82" i="1" s="1"/>
  <c r="K50" i="1"/>
  <c r="K54" i="1" s="1"/>
  <c r="K56" i="1" s="1"/>
  <c r="K82" i="1" s="1"/>
  <c r="K40" i="1"/>
  <c r="N50" i="1"/>
  <c r="N54" i="1" s="1"/>
  <c r="N56" i="1" s="1"/>
  <c r="N82" i="1" s="1"/>
  <c r="N40" i="1"/>
  <c r="F50" i="1"/>
  <c r="F54" i="1" s="1"/>
  <c r="F56" i="1" s="1"/>
  <c r="F82" i="1" s="1"/>
  <c r="F40" i="1"/>
  <c r="L40" i="1"/>
  <c r="L50" i="1"/>
  <c r="L54" i="1" s="1"/>
  <c r="L56" i="1" s="1"/>
  <c r="L82" i="1" s="1"/>
  <c r="O50" i="1"/>
  <c r="O54" i="1" s="1"/>
  <c r="O56" i="1" s="1"/>
  <c r="O82" i="1" s="1"/>
  <c r="O40" i="1"/>
  <c r="G40" i="1"/>
  <c r="G50" i="1"/>
  <c r="G54" i="1" s="1"/>
  <c r="G56" i="1" s="1"/>
  <c r="G82" i="1" s="1"/>
  <c r="C40" i="1"/>
  <c r="C50" i="1"/>
  <c r="C54" i="1" s="1"/>
  <c r="C56" i="1" s="1"/>
  <c r="W37" i="1"/>
  <c r="W39" i="1" s="1"/>
  <c r="W36" i="1"/>
  <c r="W38" i="1" s="1"/>
  <c r="P50" i="1"/>
  <c r="P54" i="1" s="1"/>
  <c r="P56" i="1" s="1"/>
  <c r="P82" i="1" s="1"/>
  <c r="P40" i="1"/>
  <c r="J50" i="1"/>
  <c r="J54" i="1" s="1"/>
  <c r="J56" i="1" s="1"/>
  <c r="J82" i="1" s="1"/>
  <c r="J40" i="1"/>
  <c r="V57" i="1" l="1"/>
  <c r="V81" i="1"/>
  <c r="M57" i="1"/>
  <c r="M81" i="1"/>
  <c r="L57" i="1"/>
  <c r="L81" i="1"/>
  <c r="E57" i="1"/>
  <c r="E81" i="1"/>
  <c r="N57" i="1"/>
  <c r="N81" i="1"/>
  <c r="P57" i="1"/>
  <c r="P81" i="1"/>
  <c r="S57" i="1"/>
  <c r="S81" i="1"/>
  <c r="G57" i="1"/>
  <c r="G81" i="1"/>
  <c r="J57" i="1"/>
  <c r="J81" i="1"/>
  <c r="O57" i="1"/>
  <c r="O81" i="1"/>
  <c r="I57" i="1"/>
  <c r="I81" i="1"/>
  <c r="W40" i="1"/>
  <c r="F57" i="1"/>
  <c r="F81" i="1"/>
  <c r="X44" i="1"/>
  <c r="X46" i="1" s="1"/>
  <c r="X81" i="1"/>
  <c r="Q57" i="1"/>
  <c r="Q81" i="1"/>
  <c r="W91" i="1"/>
  <c r="W90" i="1"/>
  <c r="K57" i="1"/>
  <c r="K81" i="1"/>
  <c r="H57" i="1"/>
  <c r="H81" i="1"/>
  <c r="R57" i="1"/>
  <c r="R81" i="1"/>
  <c r="W44" i="1" l="1"/>
  <c r="W81" i="1"/>
  <c r="W93" i="1"/>
  <c r="W94" i="1" s="1"/>
  <c r="W45" i="1" l="1"/>
  <c r="W46" i="1"/>
  <c r="D25" i="3" s="1"/>
  <c r="D27" i="3" s="1"/>
  <c r="W57" i="1" l="1"/>
  <c r="W51" i="1"/>
  <c r="W55" i="1" s="1"/>
  <c r="W50" i="1"/>
  <c r="W54" i="1" s="1"/>
  <c r="W56" i="1" s="1"/>
  <c r="W82" i="1" s="1"/>
  <c r="W84" i="1" s="1"/>
  <c r="W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寄附金控除追加
48,000円
</t>
        </r>
      </text>
    </comment>
  </commentList>
</comments>
</file>

<file path=xl/sharedStrings.xml><?xml version="1.0" encoding="utf-8"?>
<sst xmlns="http://schemas.openxmlformats.org/spreadsheetml/2006/main" count="184" uniqueCount="117">
  <si>
    <t>税負担シミュレーション＜給与所得者＞</t>
  </si>
  <si>
    <t>・非課税限度額一覧（H18）</t>
  </si>
  <si>
    <t>配偶者</t>
  </si>
  <si>
    <t>人</t>
  </si>
  <si>
    <t>非課税限度額</t>
  </si>
  <si>
    <t>課税最低限</t>
  </si>
  <si>
    <t>算出年度</t>
  </si>
  <si>
    <t>年度</t>
  </si>
  <si>
    <t>扶養親族</t>
  </si>
  <si>
    <t>住民税</t>
  </si>
  <si>
    <t>所得税</t>
  </si>
  <si>
    <t>均等割</t>
  </si>
  <si>
    <t>所得割</t>
  </si>
  <si>
    <t>給与所得控除</t>
  </si>
  <si>
    <t>独身</t>
  </si>
  <si>
    <t>定率</t>
  </si>
  <si>
    <t>夫婦</t>
  </si>
  <si>
    <t>夫婦子１人</t>
  </si>
  <si>
    <t>夫婦子２人</t>
  </si>
  <si>
    <t>【住民税】</t>
  </si>
  <si>
    <t>（単位：円）</t>
  </si>
  <si>
    <t>給与収入</t>
  </si>
  <si>
    <t>給与所得金額</t>
  </si>
  <si>
    <t>所得割非課税限度額</t>
  </si>
  <si>
    <t>所得割非課税判定</t>
  </si>
  <si>
    <t>定額</t>
  </si>
  <si>
    <t>均等割非課税限度額</t>
  </si>
  <si>
    <t>均等割議課税判定</t>
  </si>
  <si>
    <t>所得金額調整控除</t>
  </si>
  <si>
    <t>調整後所得金額</t>
  </si>
  <si>
    <t>社会保険料控除</t>
  </si>
  <si>
    <t>配偶者控除</t>
  </si>
  <si>
    <t>配偶者特別控除</t>
  </si>
  <si>
    <t>扶養控除</t>
  </si>
  <si>
    <t>基礎控除</t>
  </si>
  <si>
    <t>社保控除</t>
  </si>
  <si>
    <t>所得控除合計</t>
  </si>
  <si>
    <t>課税所得</t>
  </si>
  <si>
    <t>調整前税額（市町村民税）</t>
  </si>
  <si>
    <t>調整前税額（都道府県民税）</t>
  </si>
  <si>
    <t>人的控除差額</t>
  </si>
  <si>
    <t>調整控除（市町村民税）</t>
  </si>
  <si>
    <t>調整控除(都道府県民税）</t>
  </si>
  <si>
    <t>調整後税額(市町村民税)</t>
  </si>
  <si>
    <t>人的控除</t>
  </si>
  <si>
    <t>調整後税額(都道府県民税）</t>
  </si>
  <si>
    <t>所得割合計額</t>
  </si>
  <si>
    <t>非課税限度額調整判定</t>
  </si>
  <si>
    <t>←未改修</t>
  </si>
  <si>
    <t>配特控除</t>
  </si>
  <si>
    <t>上記調整額（市町村民税）</t>
  </si>
  <si>
    <t>上記調整額(都道府県民税）</t>
  </si>
  <si>
    <t>特定扶養割増</t>
  </si>
  <si>
    <t>確定所得割（市町村民税）</t>
  </si>
  <si>
    <t>市町村民税</t>
  </si>
  <si>
    <t>都道府県民税</t>
  </si>
  <si>
    <t>確定所得割（都道府県民税）</t>
  </si>
  <si>
    <t>税率</t>
  </si>
  <si>
    <t>確定所得割合計額</t>
  </si>
  <si>
    <t>寄附金額</t>
  </si>
  <si>
    <t>寄附金控除（所得税）</t>
  </si>
  <si>
    <t>寄附金控除（通常分）</t>
  </si>
  <si>
    <t>寄附金控除（特例分）</t>
  </si>
  <si>
    <t>寄附金控除（住民税）</t>
  </si>
  <si>
    <t>寄附金控除（所得税と合計）</t>
  </si>
  <si>
    <t>ふるさと控除上限額（調整控除後税額×0.2）①</t>
  </si>
  <si>
    <t>ふるさと控除率（0.9-所得税の限界税率）②</t>
  </si>
  <si>
    <t>最大寄付額（①÷②＋2000）</t>
  </si>
  <si>
    <t>速算控除</t>
  </si>
  <si>
    <t>所得割（市町村民税）寄附金控除後</t>
  </si>
  <si>
    <t>所得割（都道府県民税）寄附金控除後</t>
  </si>
  <si>
    <t>均等割（市町村民税）</t>
  </si>
  <si>
    <t>均等割（都道府県民税）</t>
  </si>
  <si>
    <t>所得割＋均等割（市町村民税）</t>
  </si>
  <si>
    <t>所得割＋均等割（都道府県民税）</t>
  </si>
  <si>
    <t>住民税額（合計）</t>
  </si>
  <si>
    <t>住民税に占める寄付控除の割合</t>
  </si>
  <si>
    <t>【所得税】</t>
  </si>
  <si>
    <t>調整控除算出（住民税）</t>
  </si>
  <si>
    <t>調整控除算出用（所得税）</t>
  </si>
  <si>
    <r>
      <rPr>
        <sz val="11"/>
        <color theme="1"/>
        <rFont val="MS PGothic"/>
        <family val="2"/>
        <charset val="128"/>
      </rPr>
      <t>寄附金控除</t>
    </r>
    <r>
      <rPr>
        <u/>
        <sz val="11"/>
        <color rgb="FF00FF00"/>
        <rFont val="ＭＳ Ｐゴシック"/>
        <family val="2"/>
        <charset val="128"/>
      </rPr>
      <t>による軽減</t>
    </r>
    <r>
      <rPr>
        <sz val="11"/>
        <color theme="1"/>
        <rFont val="ＭＳ Ｐゴシック"/>
        <family val="2"/>
        <charset val="128"/>
      </rPr>
      <t>額</t>
    </r>
  </si>
  <si>
    <t>寄附金控除額</t>
  </si>
  <si>
    <t>課税所得（寄附金控除減）</t>
  </si>
  <si>
    <t>税額</t>
  </si>
  <si>
    <t>税額（寄附金控除後）</t>
  </si>
  <si>
    <t>所得税額</t>
  </si>
  <si>
    <t>所得税額（寄附金控除減）</t>
  </si>
  <si>
    <t>住民税・所得税合計</t>
  </si>
  <si>
    <t>納税義務者本人</t>
  </si>
  <si>
    <t>合計税負担額（所得分のみ）</t>
  </si>
  <si>
    <t>合計税負担額</t>
  </si>
  <si>
    <t>収入 － 合計税負担</t>
  </si>
  <si>
    <t>可処分所得</t>
  </si>
  <si>
    <t>＜確認用＞</t>
  </si>
  <si>
    <t>適用限度額</t>
  </si>
  <si>
    <t>所得税所得控除軽減</t>
  </si>
  <si>
    <t>個人住民税税額控除（基本分）</t>
  </si>
  <si>
    <t>個人住民税税額控除（特例分）</t>
  </si>
  <si>
    <t>控除額（目安）のシミュレーション</t>
  </si>
  <si>
    <t>・黄色のセルに数値を入力して下さい。（ゼロの場合は入力不要）</t>
  </si>
  <si>
    <t>○寄附者の年収</t>
  </si>
  <si>
    <t>給与収入額</t>
  </si>
  <si>
    <t>円</t>
  </si>
  <si>
    <t>※実際の計算は、寄附をした年の1月～12月の収入を基に行うため、寄附時点では正確な数値は判明していません。</t>
  </si>
  <si>
    <t>○家族構成</t>
  </si>
  <si>
    <t>専業主婦</t>
  </si>
  <si>
    <t>共働き（年収201万円超）</t>
  </si>
  <si>
    <t>中学生以下（16歳未満）</t>
  </si>
  <si>
    <t>高校生（16～18歳）</t>
  </si>
  <si>
    <t>大学生（19～22歳）</t>
  </si>
  <si>
    <t>23歳以上</t>
  </si>
  <si>
    <t>○寄附しようとする額</t>
  </si>
  <si>
    <t>寄附額</t>
  </si>
  <si>
    <t>控除額（所得税＋住民税）</t>
  </si>
  <si>
    <t>（自己負担額）</t>
  </si>
  <si>
    <t>　　※必ず2,000円は自己負担となります。</t>
  </si>
  <si>
    <t>（控除額はあくまで目安です。正確な計算は寄附翌年にお住まいの市区町村にお尋ね下さい。）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</si>
</sst>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;[Red]\-#,##0.0000"/>
    <numFmt numFmtId="177" formatCode="#,##0.00000;[Red]\-#,##0.00000"/>
    <numFmt numFmtId="178" formatCode="#,##0.0;[Red]\-#,##0.0"/>
  </numFmts>
  <fonts count="26">
    <font>
      <sz val="11"/>
      <color theme="1"/>
      <name val="Calibri"/>
      <scheme val="minor"/>
    </font>
    <font>
      <sz val="18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Calibri"/>
      <family val="2"/>
    </font>
    <font>
      <sz val="11"/>
      <color rgb="FF0000FF"/>
      <name val="MS PGothic"/>
      <family val="2"/>
      <charset val="128"/>
    </font>
    <font>
      <sz val="20"/>
      <color theme="1"/>
      <name val="Ｄｆ特太ゴシック体"/>
      <charset val="128"/>
    </font>
    <font>
      <sz val="12"/>
      <color theme="1"/>
      <name val="MS PGothic"/>
      <family val="2"/>
      <charset val="128"/>
    </font>
    <font>
      <sz val="12"/>
      <color rgb="FF0000FF"/>
      <name val="MS PGothic"/>
      <family val="2"/>
      <charset val="128"/>
    </font>
    <font>
      <sz val="16"/>
      <color theme="1"/>
      <name val="Ｄｆ特太ゴシック体"/>
    </font>
    <font>
      <b/>
      <sz val="12"/>
      <color theme="1"/>
      <name val="MS PGothic"/>
      <family val="2"/>
      <charset val="128"/>
    </font>
    <font>
      <strike/>
      <sz val="11"/>
      <color rgb="FF0000FF"/>
      <name val="MS PGothic"/>
      <family val="2"/>
      <charset val="128"/>
    </font>
    <font>
      <strike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rgb="FFFF0000"/>
      <name val="MS PGothic"/>
      <family val="2"/>
      <charset val="128"/>
    </font>
    <font>
      <strike/>
      <sz val="11"/>
      <color rgb="FFFF0000"/>
      <name val="MS PGothic"/>
      <family val="2"/>
      <charset val="128"/>
    </font>
    <font>
      <u/>
      <sz val="11"/>
      <color rgb="FF00FF00"/>
      <name val="MS PGothic"/>
      <family val="2"/>
      <charset val="128"/>
    </font>
    <font>
      <sz val="11"/>
      <color rgb="FF00FF00"/>
      <name val="MS PGothic"/>
      <family val="2"/>
      <charset val="128"/>
    </font>
    <font>
      <sz val="14"/>
      <color theme="1"/>
      <name val="MS PGothic"/>
      <family val="2"/>
      <charset val="128"/>
    </font>
    <font>
      <b/>
      <sz val="14"/>
      <color theme="1"/>
      <name val="MS PGothic"/>
      <family val="2"/>
      <charset val="128"/>
    </font>
    <font>
      <sz val="8"/>
      <color theme="1"/>
      <name val="MS PGothic"/>
      <family val="2"/>
      <charset val="128"/>
    </font>
    <font>
      <sz val="11"/>
      <color rgb="FFF7981D"/>
      <name val="Inconsolata"/>
    </font>
    <font>
      <b/>
      <sz val="10"/>
      <color rgb="FFFF0000"/>
      <name val="MS PGothic"/>
      <family val="2"/>
      <charset val="128"/>
    </font>
    <font>
      <u/>
      <sz val="11"/>
      <color rgb="FF00FF00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E36C09"/>
        <bgColor rgb="FFE36C09"/>
      </patternFill>
    </fill>
    <fill>
      <patternFill patternType="solid">
        <fgColor rgb="FF8DB3E2"/>
        <bgColor rgb="FF8DB3E2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B2A1C7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FFC000"/>
        <bgColor rgb="FFFFC00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10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13">
    <xf numFmtId="0" fontId="0" fillId="0" borderId="0" xfId="0" applyFont="1" applyAlignment="1"/>
    <xf numFmtId="38" fontId="2" fillId="0" borderId="0" xfId="0" applyNumberFormat="1" applyFont="1" applyAlignment="1">
      <alignment vertical="center"/>
    </xf>
    <xf numFmtId="38" fontId="2" fillId="0" borderId="1" xfId="0" applyNumberFormat="1" applyFont="1" applyBorder="1" applyAlignment="1">
      <alignment vertical="center"/>
    </xf>
    <xf numFmtId="38" fontId="4" fillId="2" borderId="4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38" fontId="2" fillId="0" borderId="7" xfId="0" applyNumberFormat="1" applyFont="1" applyBorder="1" applyAlignment="1">
      <alignment vertical="center"/>
    </xf>
    <xf numFmtId="38" fontId="6" fillId="0" borderId="0" xfId="0" applyNumberFormat="1" applyFont="1" applyAlignment="1">
      <alignment horizontal="right" vertical="center"/>
    </xf>
    <xf numFmtId="38" fontId="7" fillId="2" borderId="10" xfId="0" applyNumberFormat="1" applyFont="1" applyFill="1" applyBorder="1" applyAlignment="1">
      <alignment vertical="center"/>
    </xf>
    <xf numFmtId="38" fontId="6" fillId="0" borderId="0" xfId="0" applyNumberFormat="1" applyFont="1" applyAlignment="1">
      <alignment vertical="center"/>
    </xf>
    <xf numFmtId="38" fontId="2" fillId="0" borderId="11" xfId="0" applyNumberFormat="1" applyFont="1" applyBorder="1" applyAlignment="1">
      <alignment vertical="center"/>
    </xf>
    <xf numFmtId="38" fontId="4" fillId="0" borderId="12" xfId="0" applyNumberFormat="1" applyFont="1" applyBorder="1" applyAlignment="1">
      <alignment vertical="center"/>
    </xf>
    <xf numFmtId="38" fontId="2" fillId="0" borderId="13" xfId="0" applyNumberFormat="1" applyFont="1" applyBorder="1" applyAlignment="1">
      <alignment vertical="center"/>
    </xf>
    <xf numFmtId="38" fontId="2" fillId="0" borderId="14" xfId="0" applyNumberFormat="1" applyFont="1" applyBorder="1" applyAlignment="1">
      <alignment horizontal="center" vertical="center"/>
    </xf>
    <xf numFmtId="38" fontId="2" fillId="0" borderId="7" xfId="0" applyNumberFormat="1" applyFont="1" applyBorder="1" applyAlignment="1">
      <alignment horizontal="center" vertical="center"/>
    </xf>
    <xf numFmtId="38" fontId="2" fillId="0" borderId="15" xfId="0" applyNumberFormat="1" applyFont="1" applyBorder="1" applyAlignment="1">
      <alignment vertical="center"/>
    </xf>
    <xf numFmtId="38" fontId="2" fillId="0" borderId="2" xfId="0" applyNumberFormat="1" applyFont="1" applyBorder="1" applyAlignment="1">
      <alignment vertical="center"/>
    </xf>
    <xf numFmtId="38" fontId="4" fillId="0" borderId="5" xfId="0" applyNumberFormat="1" applyFont="1" applyBorder="1" applyAlignment="1">
      <alignment vertical="center"/>
    </xf>
    <xf numFmtId="38" fontId="2" fillId="0" borderId="8" xfId="0" applyNumberFormat="1" applyFont="1" applyBorder="1" applyAlignment="1">
      <alignment vertical="center"/>
    </xf>
    <xf numFmtId="38" fontId="2" fillId="0" borderId="16" xfId="0" applyNumberFormat="1" applyFont="1" applyBorder="1" applyAlignment="1">
      <alignment vertical="center"/>
    </xf>
    <xf numFmtId="38" fontId="2" fillId="0" borderId="17" xfId="0" applyNumberFormat="1" applyFont="1" applyBorder="1" applyAlignment="1">
      <alignment vertical="center"/>
    </xf>
    <xf numFmtId="38" fontId="2" fillId="0" borderId="18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 shrinkToFit="1"/>
    </xf>
    <xf numFmtId="38" fontId="4" fillId="0" borderId="19" xfId="0" applyNumberFormat="1" applyFont="1" applyBorder="1" applyAlignment="1">
      <alignment vertical="center" shrinkToFit="1"/>
    </xf>
    <xf numFmtId="38" fontId="2" fillId="0" borderId="20" xfId="0" applyNumberFormat="1" applyFont="1" applyBorder="1" applyAlignment="1">
      <alignment vertical="center"/>
    </xf>
    <xf numFmtId="38" fontId="2" fillId="0" borderId="21" xfId="0" applyNumberFormat="1" applyFont="1" applyBorder="1" applyAlignment="1">
      <alignment vertical="center"/>
    </xf>
    <xf numFmtId="38" fontId="2" fillId="0" borderId="0" xfId="0" applyNumberFormat="1" applyFont="1" applyAlignment="1">
      <alignment horizontal="right" vertical="center"/>
    </xf>
    <xf numFmtId="40" fontId="2" fillId="0" borderId="19" xfId="0" applyNumberFormat="1" applyFont="1" applyBorder="1" applyAlignment="1">
      <alignment vertical="center" shrinkToFit="1"/>
    </xf>
    <xf numFmtId="38" fontId="2" fillId="0" borderId="22" xfId="0" applyNumberFormat="1" applyFont="1" applyBorder="1" applyAlignment="1">
      <alignment vertical="center"/>
    </xf>
    <xf numFmtId="38" fontId="2" fillId="0" borderId="12" xfId="0" applyNumberFormat="1" applyFont="1" applyBorder="1" applyAlignment="1">
      <alignment vertical="center"/>
    </xf>
    <xf numFmtId="38" fontId="9" fillId="0" borderId="0" xfId="0" applyNumberFormat="1" applyFont="1" applyAlignment="1">
      <alignment horizontal="center" vertical="center"/>
    </xf>
    <xf numFmtId="38" fontId="4" fillId="2" borderId="25" xfId="0" applyNumberFormat="1" applyFont="1" applyFill="1" applyBorder="1" applyAlignment="1">
      <alignment vertical="center"/>
    </xf>
    <xf numFmtId="38" fontId="2" fillId="0" borderId="26" xfId="0" applyNumberFormat="1" applyFont="1" applyBorder="1" applyAlignment="1">
      <alignment vertical="center"/>
    </xf>
    <xf numFmtId="38" fontId="2" fillId="0" borderId="27" xfId="0" applyNumberFormat="1" applyFont="1" applyBorder="1" applyAlignment="1">
      <alignment vertical="center"/>
    </xf>
    <xf numFmtId="38" fontId="2" fillId="0" borderId="28" xfId="0" applyNumberFormat="1" applyFont="1" applyBorder="1" applyAlignment="1">
      <alignment vertical="center" shrinkToFit="1"/>
    </xf>
    <xf numFmtId="38" fontId="4" fillId="3" borderId="29" xfId="0" applyNumberFormat="1" applyFont="1" applyFill="1" applyBorder="1" applyAlignment="1">
      <alignment vertical="center" shrinkToFit="1"/>
    </xf>
    <xf numFmtId="38" fontId="4" fillId="3" borderId="29" xfId="0" applyNumberFormat="1" applyFont="1" applyFill="1" applyBorder="1" applyAlignment="1">
      <alignment vertical="center"/>
    </xf>
    <xf numFmtId="38" fontId="4" fillId="4" borderId="29" xfId="0" applyNumberFormat="1" applyFont="1" applyFill="1" applyBorder="1" applyAlignment="1">
      <alignment vertical="center"/>
    </xf>
    <xf numFmtId="38" fontId="4" fillId="4" borderId="30" xfId="0" applyNumberFormat="1" applyFont="1" applyFill="1" applyBorder="1" applyAlignment="1">
      <alignment vertical="center"/>
    </xf>
    <xf numFmtId="38" fontId="4" fillId="4" borderId="31" xfId="0" applyNumberFormat="1" applyFont="1" applyFill="1" applyBorder="1" applyAlignment="1">
      <alignment vertical="center"/>
    </xf>
    <xf numFmtId="38" fontId="4" fillId="4" borderId="32" xfId="0" applyNumberFormat="1" applyFont="1" applyFill="1" applyBorder="1" applyAlignment="1">
      <alignment vertical="center"/>
    </xf>
    <xf numFmtId="38" fontId="10" fillId="4" borderId="33" xfId="0" applyNumberFormat="1" applyFont="1" applyFill="1" applyBorder="1" applyAlignment="1">
      <alignment vertical="center"/>
    </xf>
    <xf numFmtId="38" fontId="4" fillId="0" borderId="0" xfId="0" applyNumberFormat="1" applyFont="1" applyAlignment="1">
      <alignment vertical="center"/>
    </xf>
    <xf numFmtId="38" fontId="2" fillId="0" borderId="34" xfId="0" applyNumberFormat="1" applyFont="1" applyBorder="1" applyAlignment="1">
      <alignment vertical="center" shrinkToFit="1"/>
    </xf>
    <xf numFmtId="38" fontId="2" fillId="3" borderId="10" xfId="0" applyNumberFormat="1" applyFont="1" applyFill="1" applyBorder="1" applyAlignment="1">
      <alignment vertical="center" shrinkToFit="1"/>
    </xf>
    <xf numFmtId="38" fontId="11" fillId="0" borderId="35" xfId="0" applyNumberFormat="1" applyFont="1" applyBorder="1" applyAlignment="1">
      <alignment vertical="center"/>
    </xf>
    <xf numFmtId="38" fontId="2" fillId="3" borderId="10" xfId="0" applyNumberFormat="1" applyFont="1" applyFill="1" applyBorder="1" applyAlignment="1">
      <alignment vertical="center"/>
    </xf>
    <xf numFmtId="38" fontId="2" fillId="0" borderId="36" xfId="0" applyNumberFormat="1" applyFont="1" applyBorder="1" applyAlignment="1">
      <alignment vertical="center"/>
    </xf>
    <xf numFmtId="38" fontId="2" fillId="0" borderId="37" xfId="0" applyNumberFormat="1" applyFont="1" applyBorder="1" applyAlignment="1">
      <alignment vertical="center"/>
    </xf>
    <xf numFmtId="38" fontId="11" fillId="0" borderId="19" xfId="0" applyNumberFormat="1" applyFont="1" applyBorder="1" applyAlignment="1">
      <alignment vertical="center"/>
    </xf>
    <xf numFmtId="38" fontId="2" fillId="0" borderId="38" xfId="0" applyNumberFormat="1" applyFont="1" applyBorder="1" applyAlignment="1">
      <alignment vertical="center" shrinkToFit="1"/>
    </xf>
    <xf numFmtId="40" fontId="2" fillId="0" borderId="39" xfId="0" applyNumberFormat="1" applyFont="1" applyBorder="1" applyAlignment="1">
      <alignment vertical="center" shrinkToFit="1"/>
    </xf>
    <xf numFmtId="38" fontId="2" fillId="5" borderId="40" xfId="0" applyNumberFormat="1" applyFont="1" applyFill="1" applyBorder="1" applyAlignment="1">
      <alignment vertical="center" shrinkToFit="1"/>
    </xf>
    <xf numFmtId="38" fontId="2" fillId="5" borderId="10" xfId="0" applyNumberFormat="1" applyFont="1" applyFill="1" applyBorder="1" applyAlignment="1">
      <alignment vertical="center"/>
    </xf>
    <xf numFmtId="38" fontId="2" fillId="5" borderId="41" xfId="0" applyNumberFormat="1" applyFont="1" applyFill="1" applyBorder="1" applyAlignment="1">
      <alignment vertical="center"/>
    </xf>
    <xf numFmtId="38" fontId="2" fillId="5" borderId="42" xfId="0" applyNumberFormat="1" applyFont="1" applyFill="1" applyBorder="1" applyAlignment="1">
      <alignment vertical="center"/>
    </xf>
    <xf numFmtId="38" fontId="11" fillId="5" borderId="43" xfId="0" applyNumberFormat="1" applyFont="1" applyFill="1" applyBorder="1" applyAlignment="1">
      <alignment vertical="center"/>
    </xf>
    <xf numFmtId="38" fontId="12" fillId="4" borderId="44" xfId="0" applyNumberFormat="1" applyFont="1" applyFill="1" applyBorder="1" applyAlignment="1">
      <alignment vertical="center" shrinkToFit="1"/>
    </xf>
    <xf numFmtId="40" fontId="2" fillId="4" borderId="43" xfId="0" applyNumberFormat="1" applyFont="1" applyFill="1" applyBorder="1" applyAlignment="1">
      <alignment vertical="center" shrinkToFit="1"/>
    </xf>
    <xf numFmtId="38" fontId="2" fillId="3" borderId="10" xfId="0" applyNumberFormat="1" applyFont="1" applyFill="1" applyBorder="1" applyAlignment="1">
      <alignment horizontal="center" vertical="center" shrinkToFit="1"/>
    </xf>
    <xf numFmtId="38" fontId="2" fillId="3" borderId="10" xfId="0" applyNumberFormat="1" applyFont="1" applyFill="1" applyBorder="1" applyAlignment="1">
      <alignment horizontal="center" vertical="center"/>
    </xf>
    <xf numFmtId="38" fontId="2" fillId="5" borderId="10" xfId="0" applyNumberFormat="1" applyFont="1" applyFill="1" applyBorder="1" applyAlignment="1">
      <alignment horizontal="center" vertical="center"/>
    </xf>
    <xf numFmtId="38" fontId="2" fillId="5" borderId="41" xfId="0" applyNumberFormat="1" applyFont="1" applyFill="1" applyBorder="1" applyAlignment="1">
      <alignment horizontal="center" vertical="center"/>
    </xf>
    <xf numFmtId="38" fontId="2" fillId="5" borderId="42" xfId="0" applyNumberFormat="1" applyFont="1" applyFill="1" applyBorder="1" applyAlignment="1">
      <alignment horizontal="center" vertical="center"/>
    </xf>
    <xf numFmtId="38" fontId="11" fillId="5" borderId="43" xfId="0" applyNumberFormat="1" applyFont="1" applyFill="1" applyBorder="1" applyAlignment="1">
      <alignment horizontal="center" vertical="center"/>
    </xf>
    <xf numFmtId="38" fontId="2" fillId="0" borderId="45" xfId="0" applyNumberFormat="1" applyFont="1" applyBorder="1" applyAlignment="1">
      <alignment vertical="center" shrinkToFit="1"/>
    </xf>
    <xf numFmtId="38" fontId="2" fillId="0" borderId="15" xfId="0" applyNumberFormat="1" applyFont="1" applyBorder="1" applyAlignment="1">
      <alignment vertical="center" shrinkToFit="1"/>
    </xf>
    <xf numFmtId="38" fontId="2" fillId="0" borderId="19" xfId="0" applyNumberFormat="1" applyFont="1" applyBorder="1" applyAlignment="1">
      <alignment vertical="center" shrinkToFit="1"/>
    </xf>
    <xf numFmtId="38" fontId="2" fillId="0" borderId="0" xfId="0" applyNumberFormat="1" applyFont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37" xfId="0" applyNumberFormat="1" applyFont="1" applyBorder="1" applyAlignment="1">
      <alignment horizontal="center" vertical="center"/>
    </xf>
    <xf numFmtId="38" fontId="11" fillId="0" borderId="19" xfId="0" applyNumberFormat="1" applyFont="1" applyBorder="1" applyAlignment="1">
      <alignment horizontal="center" vertical="center"/>
    </xf>
    <xf numFmtId="38" fontId="13" fillId="0" borderId="34" xfId="0" applyNumberFormat="1" applyFont="1" applyBorder="1" applyAlignment="1">
      <alignment vertical="center" shrinkToFit="1"/>
    </xf>
    <xf numFmtId="38" fontId="13" fillId="0" borderId="0" xfId="0" applyNumberFormat="1" applyFont="1" applyAlignment="1">
      <alignment shrinkToFit="1"/>
    </xf>
    <xf numFmtId="38" fontId="13" fillId="0" borderId="37" xfId="0" applyNumberFormat="1" applyFont="1" applyBorder="1" applyAlignment="1">
      <alignment shrinkToFit="1"/>
    </xf>
    <xf numFmtId="38" fontId="2" fillId="0" borderId="46" xfId="0" applyNumberFormat="1" applyFont="1" applyBorder="1" applyAlignment="1">
      <alignment vertical="center" shrinkToFit="1"/>
    </xf>
    <xf numFmtId="38" fontId="2" fillId="0" borderId="27" xfId="0" applyNumberFormat="1" applyFont="1" applyBorder="1" applyAlignment="1">
      <alignment vertical="center" shrinkToFit="1"/>
    </xf>
    <xf numFmtId="38" fontId="12" fillId="4" borderId="43" xfId="0" applyNumberFormat="1" applyFont="1" applyFill="1" applyBorder="1" applyAlignment="1">
      <alignment vertical="center" shrinkToFit="1"/>
    </xf>
    <xf numFmtId="38" fontId="2" fillId="0" borderId="2" xfId="0" applyNumberFormat="1" applyFont="1" applyBorder="1" applyAlignment="1">
      <alignment vertical="center" shrinkToFit="1"/>
    </xf>
    <xf numFmtId="38" fontId="2" fillId="0" borderId="5" xfId="0" applyNumberFormat="1" applyFont="1" applyBorder="1" applyAlignment="1">
      <alignment vertical="center" shrinkToFit="1"/>
    </xf>
    <xf numFmtId="38" fontId="2" fillId="4" borderId="40" xfId="0" applyNumberFormat="1" applyFont="1" applyFill="1" applyBorder="1" applyAlignment="1">
      <alignment vertical="center" shrinkToFit="1"/>
    </xf>
    <xf numFmtId="38" fontId="2" fillId="4" borderId="10" xfId="0" applyNumberFormat="1" applyFont="1" applyFill="1" applyBorder="1" applyAlignment="1">
      <alignment vertical="center"/>
    </xf>
    <xf numFmtId="38" fontId="2" fillId="4" borderId="41" xfId="0" applyNumberFormat="1" applyFont="1" applyFill="1" applyBorder="1" applyAlignment="1">
      <alignment vertical="center"/>
    </xf>
    <xf numFmtId="38" fontId="2" fillId="4" borderId="42" xfId="0" applyNumberFormat="1" applyFont="1" applyFill="1" applyBorder="1" applyAlignment="1">
      <alignment vertical="center"/>
    </xf>
    <xf numFmtId="38" fontId="11" fillId="4" borderId="43" xfId="0" applyNumberFormat="1" applyFont="1" applyFill="1" applyBorder="1" applyAlignment="1">
      <alignment vertical="center"/>
    </xf>
    <xf numFmtId="38" fontId="2" fillId="0" borderId="47" xfId="0" applyNumberFormat="1" applyFont="1" applyBorder="1" applyAlignment="1">
      <alignment vertical="center"/>
    </xf>
    <xf numFmtId="38" fontId="2" fillId="0" borderId="0" xfId="0" applyNumberFormat="1" applyFont="1" applyAlignment="1">
      <alignment vertical="center" shrinkToFit="1"/>
    </xf>
    <xf numFmtId="38" fontId="2" fillId="0" borderId="36" xfId="0" applyNumberFormat="1" applyFont="1" applyBorder="1" applyAlignment="1">
      <alignment vertical="center" shrinkToFit="1"/>
    </xf>
    <xf numFmtId="38" fontId="2" fillId="0" borderId="37" xfId="0" applyNumberFormat="1" applyFont="1" applyBorder="1" applyAlignment="1">
      <alignment vertical="center" shrinkToFit="1"/>
    </xf>
    <xf numFmtId="38" fontId="11" fillId="0" borderId="19" xfId="0" applyNumberFormat="1" applyFont="1" applyBorder="1" applyAlignment="1">
      <alignment vertical="center" shrinkToFit="1"/>
    </xf>
    <xf numFmtId="38" fontId="13" fillId="3" borderId="10" xfId="0" applyNumberFormat="1" applyFont="1" applyFill="1" applyBorder="1" applyAlignment="1">
      <alignment horizontal="right" vertical="center"/>
    </xf>
    <xf numFmtId="38" fontId="13" fillId="0" borderId="37" xfId="0" applyNumberFormat="1" applyFont="1" applyBorder="1" applyAlignment="1">
      <alignment horizontal="right" vertical="center"/>
    </xf>
    <xf numFmtId="38" fontId="13" fillId="0" borderId="0" xfId="0" applyNumberFormat="1" applyFont="1" applyAlignment="1">
      <alignment horizontal="right" vertical="center"/>
    </xf>
    <xf numFmtId="38" fontId="14" fillId="0" borderId="35" xfId="0" applyNumberFormat="1" applyFont="1" applyBorder="1" applyAlignment="1">
      <alignment horizontal="right" vertical="center"/>
    </xf>
    <xf numFmtId="38" fontId="2" fillId="6" borderId="48" xfId="0" applyNumberFormat="1" applyFont="1" applyFill="1" applyBorder="1" applyAlignment="1">
      <alignment vertical="center"/>
    </xf>
    <xf numFmtId="38" fontId="2" fillId="6" borderId="49" xfId="0" applyNumberFormat="1" applyFont="1" applyFill="1" applyBorder="1" applyAlignment="1">
      <alignment vertical="center"/>
    </xf>
    <xf numFmtId="38" fontId="2" fillId="6" borderId="44" xfId="0" applyNumberFormat="1" applyFont="1" applyFill="1" applyBorder="1" applyAlignment="1">
      <alignment horizontal="left" vertical="center" shrinkToFit="1"/>
    </xf>
    <xf numFmtId="38" fontId="4" fillId="6" borderId="43" xfId="0" applyNumberFormat="1" applyFont="1" applyFill="1" applyBorder="1" applyAlignment="1">
      <alignment vertical="center" shrinkToFit="1"/>
    </xf>
    <xf numFmtId="38" fontId="2" fillId="6" borderId="44" xfId="0" applyNumberFormat="1" applyFont="1" applyFill="1" applyBorder="1" applyAlignment="1">
      <alignment vertical="center" shrinkToFit="1"/>
    </xf>
    <xf numFmtId="38" fontId="2" fillId="4" borderId="10" xfId="0" applyNumberFormat="1" applyFont="1" applyFill="1" applyBorder="1" applyAlignment="1">
      <alignment vertical="center" shrinkToFit="1"/>
    </xf>
    <xf numFmtId="38" fontId="2" fillId="4" borderId="41" xfId="0" applyNumberFormat="1" applyFont="1" applyFill="1" applyBorder="1" applyAlignment="1">
      <alignment vertical="center" shrinkToFit="1"/>
    </xf>
    <xf numFmtId="38" fontId="2" fillId="4" borderId="42" xfId="0" applyNumberFormat="1" applyFont="1" applyFill="1" applyBorder="1" applyAlignment="1">
      <alignment vertical="center" shrinkToFit="1"/>
    </xf>
    <xf numFmtId="38" fontId="11" fillId="4" borderId="43" xfId="0" applyNumberFormat="1" applyFont="1" applyFill="1" applyBorder="1" applyAlignment="1">
      <alignment vertical="center" shrinkToFit="1"/>
    </xf>
    <xf numFmtId="38" fontId="2" fillId="7" borderId="40" xfId="0" applyNumberFormat="1" applyFont="1" applyFill="1" applyBorder="1" applyAlignment="1">
      <alignment vertical="center" shrinkToFit="1"/>
    </xf>
    <xf numFmtId="38" fontId="2" fillId="7" borderId="10" xfId="0" applyNumberFormat="1" applyFont="1" applyFill="1" applyBorder="1" applyAlignment="1">
      <alignment horizontal="center" vertical="center" shrinkToFit="1"/>
    </xf>
    <xf numFmtId="38" fontId="2" fillId="7" borderId="41" xfId="0" applyNumberFormat="1" applyFont="1" applyFill="1" applyBorder="1" applyAlignment="1">
      <alignment horizontal="center" vertical="center" shrinkToFit="1"/>
    </xf>
    <xf numFmtId="38" fontId="2" fillId="7" borderId="42" xfId="0" applyNumberFormat="1" applyFont="1" applyFill="1" applyBorder="1" applyAlignment="1">
      <alignment horizontal="center" vertical="center" shrinkToFit="1"/>
    </xf>
    <xf numFmtId="38" fontId="11" fillId="7" borderId="43" xfId="0" applyNumberFormat="1" applyFont="1" applyFill="1" applyBorder="1" applyAlignment="1">
      <alignment horizontal="center" vertical="center" shrinkToFit="1"/>
    </xf>
    <xf numFmtId="38" fontId="2" fillId="3" borderId="10" xfId="0" applyNumberFormat="1" applyFont="1" applyFill="1" applyBorder="1" applyAlignment="1">
      <alignment horizontal="right" vertical="center" shrinkToFit="1"/>
    </xf>
    <xf numFmtId="38" fontId="2" fillId="7" borderId="10" xfId="0" applyNumberFormat="1" applyFont="1" applyFill="1" applyBorder="1" applyAlignment="1">
      <alignment horizontal="right" vertical="center" shrinkToFit="1"/>
    </xf>
    <xf numFmtId="38" fontId="2" fillId="7" borderId="41" xfId="0" applyNumberFormat="1" applyFont="1" applyFill="1" applyBorder="1" applyAlignment="1">
      <alignment horizontal="right" vertical="center" shrinkToFit="1"/>
    </xf>
    <xf numFmtId="38" fontId="2" fillId="7" borderId="42" xfId="0" applyNumberFormat="1" applyFont="1" applyFill="1" applyBorder="1" applyAlignment="1">
      <alignment horizontal="right" vertical="center" shrinkToFit="1"/>
    </xf>
    <xf numFmtId="38" fontId="11" fillId="7" borderId="43" xfId="0" applyNumberFormat="1" applyFont="1" applyFill="1" applyBorder="1" applyAlignment="1">
      <alignment horizontal="right" vertical="center" shrinkToFit="1"/>
    </xf>
    <xf numFmtId="38" fontId="4" fillId="0" borderId="0" xfId="0" applyNumberFormat="1" applyFont="1" applyAlignment="1">
      <alignment vertical="center" shrinkToFit="1"/>
    </xf>
    <xf numFmtId="38" fontId="2" fillId="0" borderId="50" xfId="0" applyNumberFormat="1" applyFont="1" applyBorder="1" applyAlignment="1">
      <alignment vertical="center" shrinkToFit="1"/>
    </xf>
    <xf numFmtId="38" fontId="4" fillId="0" borderId="20" xfId="0" applyNumberFormat="1" applyFont="1" applyBorder="1" applyAlignment="1">
      <alignment vertical="center" shrinkToFit="1"/>
    </xf>
    <xf numFmtId="176" fontId="2" fillId="0" borderId="0" xfId="0" applyNumberFormat="1" applyFont="1" applyAlignment="1">
      <alignment vertical="center" shrinkToFit="1"/>
    </xf>
    <xf numFmtId="38" fontId="2" fillId="3" borderId="51" xfId="0" applyNumberFormat="1" applyFont="1" applyFill="1" applyBorder="1" applyAlignment="1">
      <alignment vertical="center" shrinkToFit="1"/>
    </xf>
    <xf numFmtId="38" fontId="2" fillId="4" borderId="52" xfId="0" applyNumberFormat="1" applyFont="1" applyFill="1" applyBorder="1" applyAlignment="1">
      <alignment vertical="center" shrinkToFit="1"/>
    </xf>
    <xf numFmtId="38" fontId="2" fillId="3" borderId="53" xfId="0" applyNumberFormat="1" applyFont="1" applyFill="1" applyBorder="1" applyAlignment="1">
      <alignment vertical="center" shrinkToFit="1"/>
    </xf>
    <xf numFmtId="38" fontId="2" fillId="3" borderId="54" xfId="0" applyNumberFormat="1" applyFont="1" applyFill="1" applyBorder="1" applyAlignment="1">
      <alignment vertical="center" shrinkToFit="1"/>
    </xf>
    <xf numFmtId="38" fontId="2" fillId="4" borderId="54" xfId="0" applyNumberFormat="1" applyFont="1" applyFill="1" applyBorder="1" applyAlignment="1">
      <alignment vertical="center" shrinkToFit="1"/>
    </xf>
    <xf numFmtId="38" fontId="2" fillId="4" borderId="55" xfId="0" applyNumberFormat="1" applyFont="1" applyFill="1" applyBorder="1" applyAlignment="1">
      <alignment vertical="center" shrinkToFit="1"/>
    </xf>
    <xf numFmtId="38" fontId="2" fillId="4" borderId="56" xfId="0" applyNumberFormat="1" applyFont="1" applyFill="1" applyBorder="1" applyAlignment="1">
      <alignment vertical="center" shrinkToFit="1"/>
    </xf>
    <xf numFmtId="38" fontId="11" fillId="4" borderId="57" xfId="0" applyNumberFormat="1" applyFont="1" applyFill="1" applyBorder="1" applyAlignment="1">
      <alignment vertical="center" shrinkToFit="1"/>
    </xf>
    <xf numFmtId="177" fontId="2" fillId="0" borderId="19" xfId="0" applyNumberFormat="1" applyFont="1" applyBorder="1" applyAlignment="1">
      <alignment vertical="center" shrinkToFit="1"/>
    </xf>
    <xf numFmtId="38" fontId="2" fillId="8" borderId="40" xfId="0" applyNumberFormat="1" applyFont="1" applyFill="1" applyBorder="1" applyAlignment="1">
      <alignment vertical="center" shrinkToFit="1"/>
    </xf>
    <xf numFmtId="38" fontId="2" fillId="8" borderId="10" xfId="0" applyNumberFormat="1" applyFont="1" applyFill="1" applyBorder="1" applyAlignment="1">
      <alignment vertical="center" shrinkToFit="1"/>
    </xf>
    <xf numFmtId="38" fontId="2" fillId="8" borderId="58" xfId="0" applyNumberFormat="1" applyFont="1" applyFill="1" applyBorder="1" applyAlignment="1">
      <alignment vertical="center" shrinkToFit="1"/>
    </xf>
    <xf numFmtId="38" fontId="2" fillId="8" borderId="29" xfId="0" applyNumberFormat="1" applyFont="1" applyFill="1" applyBorder="1" applyAlignment="1">
      <alignment vertical="center" shrinkToFit="1"/>
    </xf>
    <xf numFmtId="38" fontId="2" fillId="8" borderId="59" xfId="0" applyNumberFormat="1" applyFont="1" applyFill="1" applyBorder="1" applyAlignment="1">
      <alignment vertical="center" shrinkToFit="1"/>
    </xf>
    <xf numFmtId="38" fontId="11" fillId="8" borderId="43" xfId="0" applyNumberFormat="1" applyFont="1" applyFill="1" applyBorder="1" applyAlignment="1">
      <alignment vertical="center" shrinkToFit="1"/>
    </xf>
    <xf numFmtId="38" fontId="2" fillId="9" borderId="42" xfId="0" applyNumberFormat="1" applyFont="1" applyFill="1" applyBorder="1" applyAlignment="1">
      <alignment vertical="center" shrinkToFit="1"/>
    </xf>
    <xf numFmtId="38" fontId="11" fillId="0" borderId="35" xfId="0" applyNumberFormat="1" applyFont="1" applyBorder="1" applyAlignment="1">
      <alignment vertical="center" shrinkToFit="1"/>
    </xf>
    <xf numFmtId="40" fontId="2" fillId="10" borderId="60" xfId="0" applyNumberFormat="1" applyFont="1" applyFill="1" applyBorder="1" applyAlignment="1">
      <alignment horizontal="right" vertical="center"/>
    </xf>
    <xf numFmtId="38" fontId="2" fillId="0" borderId="61" xfId="0" applyNumberFormat="1" applyFont="1" applyBorder="1" applyAlignment="1">
      <alignment vertical="center" shrinkToFit="1"/>
    </xf>
    <xf numFmtId="38" fontId="2" fillId="11" borderId="41" xfId="0" applyNumberFormat="1" applyFont="1" applyFill="1" applyBorder="1" applyAlignment="1">
      <alignment vertical="center" shrinkToFit="1"/>
    </xf>
    <xf numFmtId="38" fontId="2" fillId="11" borderId="10" xfId="0" applyNumberFormat="1" applyFont="1" applyFill="1" applyBorder="1" applyAlignment="1">
      <alignment vertical="center" shrinkToFit="1"/>
    </xf>
    <xf numFmtId="38" fontId="2" fillId="10" borderId="62" xfId="0" applyNumberFormat="1" applyFont="1" applyFill="1" applyBorder="1" applyAlignment="1">
      <alignment vertical="center" shrinkToFit="1"/>
    </xf>
    <xf numFmtId="38" fontId="2" fillId="10" borderId="10" xfId="0" applyNumberFormat="1" applyFont="1" applyFill="1" applyBorder="1" applyAlignment="1">
      <alignment vertical="center" shrinkToFit="1"/>
    </xf>
    <xf numFmtId="38" fontId="2" fillId="10" borderId="41" xfId="0" applyNumberFormat="1" applyFont="1" applyFill="1" applyBorder="1" applyAlignment="1">
      <alignment vertical="center" shrinkToFit="1"/>
    </xf>
    <xf numFmtId="38" fontId="2" fillId="10" borderId="42" xfId="0" applyNumberFormat="1" applyFont="1" applyFill="1" applyBorder="1" applyAlignment="1">
      <alignment vertical="center" shrinkToFit="1"/>
    </xf>
    <xf numFmtId="38" fontId="11" fillId="10" borderId="63" xfId="0" applyNumberFormat="1" applyFont="1" applyFill="1" applyBorder="1" applyAlignment="1">
      <alignment vertical="center" shrinkToFit="1"/>
    </xf>
    <xf numFmtId="38" fontId="13" fillId="10" borderId="42" xfId="0" applyNumberFormat="1" applyFont="1" applyFill="1" applyBorder="1" applyAlignment="1">
      <alignment vertical="center" shrinkToFit="1"/>
    </xf>
    <xf numFmtId="38" fontId="2" fillId="12" borderId="62" xfId="0" applyNumberFormat="1" applyFont="1" applyFill="1" applyBorder="1" applyAlignment="1">
      <alignment vertical="center" shrinkToFit="1"/>
    </xf>
    <xf numFmtId="38" fontId="2" fillId="12" borderId="10" xfId="0" applyNumberFormat="1" applyFont="1" applyFill="1" applyBorder="1" applyAlignment="1">
      <alignment vertical="center" shrinkToFit="1"/>
    </xf>
    <xf numFmtId="38" fontId="2" fillId="12" borderId="41" xfId="0" applyNumberFormat="1" applyFont="1" applyFill="1" applyBorder="1" applyAlignment="1">
      <alignment vertical="center" shrinkToFit="1"/>
    </xf>
    <xf numFmtId="38" fontId="2" fillId="12" borderId="42" xfId="0" applyNumberFormat="1" applyFont="1" applyFill="1" applyBorder="1" applyAlignment="1">
      <alignment vertical="center" shrinkToFit="1"/>
    </xf>
    <xf numFmtId="38" fontId="11" fillId="12" borderId="43" xfId="0" applyNumberFormat="1" applyFont="1" applyFill="1" applyBorder="1" applyAlignment="1">
      <alignment vertical="center" shrinkToFit="1"/>
    </xf>
    <xf numFmtId="38" fontId="2" fillId="0" borderId="19" xfId="0" applyNumberFormat="1" applyFont="1" applyBorder="1" applyAlignment="1">
      <alignment vertical="center"/>
    </xf>
    <xf numFmtId="38" fontId="2" fillId="0" borderId="1" xfId="0" applyNumberFormat="1" applyFont="1" applyBorder="1" applyAlignment="1">
      <alignment vertical="center" shrinkToFit="1"/>
    </xf>
    <xf numFmtId="38" fontId="2" fillId="11" borderId="44" xfId="0" applyNumberFormat="1" applyFont="1" applyFill="1" applyBorder="1" applyAlignment="1">
      <alignment vertical="center" shrinkToFit="1"/>
    </xf>
    <xf numFmtId="177" fontId="2" fillId="11" borderId="43" xfId="0" applyNumberFormat="1" applyFont="1" applyFill="1" applyBorder="1" applyAlignment="1">
      <alignment vertical="center" shrinkToFit="1"/>
    </xf>
    <xf numFmtId="40" fontId="2" fillId="3" borderId="10" xfId="0" applyNumberFormat="1" applyFont="1" applyFill="1" applyBorder="1" applyAlignment="1">
      <alignment vertical="center" shrinkToFit="1"/>
    </xf>
    <xf numFmtId="40" fontId="2" fillId="12" borderId="10" xfId="0" applyNumberFormat="1" applyFont="1" applyFill="1" applyBorder="1" applyAlignment="1">
      <alignment vertical="center" shrinkToFit="1"/>
    </xf>
    <xf numFmtId="40" fontId="2" fillId="11" borderId="41" xfId="0" applyNumberFormat="1" applyFont="1" applyFill="1" applyBorder="1" applyAlignment="1">
      <alignment vertical="center" shrinkToFit="1"/>
    </xf>
    <xf numFmtId="40" fontId="2" fillId="11" borderId="10" xfId="0" applyNumberFormat="1" applyFont="1" applyFill="1" applyBorder="1" applyAlignment="1">
      <alignment vertical="center" shrinkToFit="1"/>
    </xf>
    <xf numFmtId="40" fontId="2" fillId="11" borderId="42" xfId="0" applyNumberFormat="1" applyFont="1" applyFill="1" applyBorder="1" applyAlignment="1">
      <alignment vertical="center" shrinkToFit="1"/>
    </xf>
    <xf numFmtId="40" fontId="11" fillId="12" borderId="43" xfId="0" applyNumberFormat="1" applyFont="1" applyFill="1" applyBorder="1" applyAlignment="1">
      <alignment vertical="center" shrinkToFit="1"/>
    </xf>
    <xf numFmtId="38" fontId="2" fillId="0" borderId="20" xfId="0" applyNumberFormat="1" applyFont="1" applyBorder="1" applyAlignment="1">
      <alignment vertical="center" shrinkToFit="1"/>
    </xf>
    <xf numFmtId="38" fontId="2" fillId="12" borderId="56" xfId="0" applyNumberFormat="1" applyFont="1" applyFill="1" applyBorder="1" applyAlignment="1">
      <alignment vertical="center" shrinkToFit="1"/>
    </xf>
    <xf numFmtId="38" fontId="2" fillId="0" borderId="64" xfId="0" applyNumberFormat="1" applyFont="1" applyBorder="1" applyAlignment="1">
      <alignment vertical="center" shrinkToFit="1"/>
    </xf>
    <xf numFmtId="38" fontId="2" fillId="0" borderId="65" xfId="0" applyNumberFormat="1" applyFont="1" applyBorder="1" applyAlignment="1">
      <alignment vertical="center" shrinkToFit="1"/>
    </xf>
    <xf numFmtId="38" fontId="2" fillId="0" borderId="66" xfId="0" applyNumberFormat="1" applyFont="1" applyBorder="1" applyAlignment="1">
      <alignment vertical="center" shrinkToFit="1"/>
    </xf>
    <xf numFmtId="38" fontId="11" fillId="0" borderId="67" xfId="0" applyNumberFormat="1" applyFont="1" applyBorder="1" applyAlignment="1">
      <alignment vertical="center" shrinkToFit="1"/>
    </xf>
    <xf numFmtId="178" fontId="2" fillId="0" borderId="19" xfId="0" applyNumberFormat="1" applyFont="1" applyBorder="1" applyAlignment="1">
      <alignment vertical="center" shrinkToFit="1"/>
    </xf>
    <xf numFmtId="38" fontId="2" fillId="0" borderId="68" xfId="0" applyNumberFormat="1" applyFont="1" applyBorder="1" applyAlignment="1">
      <alignment vertical="center" shrinkToFit="1"/>
    </xf>
    <xf numFmtId="38" fontId="2" fillId="0" borderId="69" xfId="0" applyNumberFormat="1" applyFont="1" applyBorder="1" applyAlignment="1">
      <alignment vertical="center" shrinkToFit="1"/>
    </xf>
    <xf numFmtId="38" fontId="11" fillId="0" borderId="70" xfId="0" applyNumberFormat="1" applyFont="1" applyBorder="1" applyAlignment="1">
      <alignment vertical="center" shrinkToFit="1"/>
    </xf>
    <xf numFmtId="38" fontId="2" fillId="6" borderId="71" xfId="0" applyNumberFormat="1" applyFont="1" applyFill="1" applyBorder="1" applyAlignment="1">
      <alignment horizontal="right" vertical="center" shrinkToFit="1"/>
    </xf>
    <xf numFmtId="38" fontId="2" fillId="3" borderId="29" xfId="0" applyNumberFormat="1" applyFont="1" applyFill="1" applyBorder="1" applyAlignment="1">
      <alignment vertical="center" shrinkToFit="1"/>
    </xf>
    <xf numFmtId="38" fontId="2" fillId="6" borderId="29" xfId="0" applyNumberFormat="1" applyFont="1" applyFill="1" applyBorder="1" applyAlignment="1">
      <alignment vertical="center" shrinkToFit="1"/>
    </xf>
    <xf numFmtId="38" fontId="2" fillId="6" borderId="58" xfId="0" applyNumberFormat="1" applyFont="1" applyFill="1" applyBorder="1" applyAlignment="1">
      <alignment vertical="center" shrinkToFit="1"/>
    </xf>
    <xf numFmtId="38" fontId="2" fillId="6" borderId="59" xfId="0" applyNumberFormat="1" applyFont="1" applyFill="1" applyBorder="1" applyAlignment="1">
      <alignment vertical="center" shrinkToFit="1"/>
    </xf>
    <xf numFmtId="38" fontId="11" fillId="6" borderId="33" xfId="0" applyNumberFormat="1" applyFont="1" applyFill="1" applyBorder="1" applyAlignment="1">
      <alignment vertical="center" shrinkToFit="1"/>
    </xf>
    <xf numFmtId="38" fontId="2" fillId="6" borderId="62" xfId="0" applyNumberFormat="1" applyFont="1" applyFill="1" applyBorder="1" applyAlignment="1">
      <alignment horizontal="right" vertical="center" shrinkToFit="1"/>
    </xf>
    <xf numFmtId="38" fontId="2" fillId="6" borderId="10" xfId="0" applyNumberFormat="1" applyFont="1" applyFill="1" applyBorder="1" applyAlignment="1">
      <alignment vertical="center" shrinkToFit="1"/>
    </xf>
    <xf numFmtId="38" fontId="2" fillId="6" borderId="41" xfId="0" applyNumberFormat="1" applyFont="1" applyFill="1" applyBorder="1" applyAlignment="1">
      <alignment vertical="center" shrinkToFit="1"/>
    </xf>
    <xf numFmtId="38" fontId="2" fillId="6" borderId="42" xfId="0" applyNumberFormat="1" applyFont="1" applyFill="1" applyBorder="1" applyAlignment="1">
      <alignment vertical="center" shrinkToFit="1"/>
    </xf>
    <xf numFmtId="38" fontId="11" fillId="6" borderId="43" xfId="0" applyNumberFormat="1" applyFont="1" applyFill="1" applyBorder="1" applyAlignment="1">
      <alignment vertical="center" shrinkToFit="1"/>
    </xf>
    <xf numFmtId="38" fontId="2" fillId="13" borderId="71" xfId="0" applyNumberFormat="1" applyFont="1" applyFill="1" applyBorder="1" applyAlignment="1">
      <alignment horizontal="right" vertical="center" shrinkToFit="1"/>
    </xf>
    <xf numFmtId="38" fontId="2" fillId="0" borderId="65" xfId="0" applyNumberFormat="1" applyFont="1" applyBorder="1" applyAlignment="1">
      <alignment vertical="center"/>
    </xf>
    <xf numFmtId="38" fontId="2" fillId="0" borderId="66" xfId="0" applyNumberFormat="1" applyFont="1" applyBorder="1" applyAlignment="1">
      <alignment vertical="center"/>
    </xf>
    <xf numFmtId="38" fontId="11" fillId="0" borderId="67" xfId="0" applyNumberFormat="1" applyFont="1" applyBorder="1" applyAlignment="1">
      <alignment vertical="center"/>
    </xf>
    <xf numFmtId="38" fontId="2" fillId="13" borderId="62" xfId="0" applyNumberFormat="1" applyFont="1" applyFill="1" applyBorder="1" applyAlignment="1">
      <alignment horizontal="right" vertical="center" shrinkToFit="1"/>
    </xf>
    <xf numFmtId="38" fontId="2" fillId="13" borderId="72" xfId="0" applyNumberFormat="1" applyFont="1" applyFill="1" applyBorder="1" applyAlignment="1">
      <alignment horizontal="right" vertical="center" shrinkToFit="1"/>
    </xf>
    <xf numFmtId="38" fontId="2" fillId="0" borderId="73" xfId="0" applyNumberFormat="1" applyFont="1" applyBorder="1" applyAlignment="1">
      <alignment vertical="center"/>
    </xf>
    <xf numFmtId="38" fontId="2" fillId="0" borderId="69" xfId="0" applyNumberFormat="1" applyFont="1" applyBorder="1" applyAlignment="1">
      <alignment vertical="center"/>
    </xf>
    <xf numFmtId="38" fontId="11" fillId="0" borderId="27" xfId="0" applyNumberFormat="1" applyFont="1" applyBorder="1" applyAlignment="1">
      <alignment vertical="center"/>
    </xf>
    <xf numFmtId="38" fontId="2" fillId="14" borderId="42" xfId="0" applyNumberFormat="1" applyFont="1" applyFill="1" applyBorder="1" applyAlignment="1">
      <alignment horizontal="right" vertical="center" shrinkToFit="1"/>
    </xf>
    <xf numFmtId="38" fontId="2" fillId="13" borderId="10" xfId="0" applyNumberFormat="1" applyFont="1" applyFill="1" applyBorder="1" applyAlignment="1">
      <alignment vertical="center"/>
    </xf>
    <xf numFmtId="9" fontId="2" fillId="14" borderId="58" xfId="0" applyNumberFormat="1" applyFont="1" applyFill="1" applyBorder="1" applyAlignment="1">
      <alignment vertical="center"/>
    </xf>
    <xf numFmtId="9" fontId="2" fillId="14" borderId="29" xfId="0" applyNumberFormat="1" applyFont="1" applyFill="1" applyBorder="1" applyAlignment="1">
      <alignment vertical="center"/>
    </xf>
    <xf numFmtId="9" fontId="2" fillId="14" borderId="59" xfId="0" applyNumberFormat="1" applyFont="1" applyFill="1" applyBorder="1" applyAlignment="1">
      <alignment vertical="center"/>
    </xf>
    <xf numFmtId="38" fontId="11" fillId="14" borderId="74" xfId="0" applyNumberFormat="1" applyFont="1" applyFill="1" applyBorder="1" applyAlignment="1">
      <alignment vertical="center"/>
    </xf>
    <xf numFmtId="178" fontId="2" fillId="11" borderId="43" xfId="0" applyNumberFormat="1" applyFont="1" applyFill="1" applyBorder="1" applyAlignment="1">
      <alignment vertical="center" shrinkToFit="1"/>
    </xf>
    <xf numFmtId="38" fontId="2" fillId="3" borderId="29" xfId="0" applyNumberFormat="1" applyFont="1" applyFill="1" applyBorder="1" applyAlignment="1">
      <alignment vertical="center"/>
    </xf>
    <xf numFmtId="38" fontId="2" fillId="0" borderId="75" xfId="0" applyNumberFormat="1" applyFont="1" applyBorder="1" applyAlignment="1">
      <alignment vertical="center"/>
    </xf>
    <xf numFmtId="38" fontId="2" fillId="4" borderId="44" xfId="0" applyNumberFormat="1" applyFont="1" applyFill="1" applyBorder="1" applyAlignment="1">
      <alignment horizontal="left" vertical="center" shrinkToFit="1"/>
    </xf>
    <xf numFmtId="38" fontId="4" fillId="4" borderId="43" xfId="0" applyNumberFormat="1" applyFont="1" applyFill="1" applyBorder="1" applyAlignment="1">
      <alignment vertical="center" shrinkToFit="1"/>
    </xf>
    <xf numFmtId="38" fontId="2" fillId="4" borderId="44" xfId="0" applyNumberFormat="1" applyFont="1" applyFill="1" applyBorder="1" applyAlignment="1">
      <alignment vertical="center" shrinkToFit="1"/>
    </xf>
    <xf numFmtId="38" fontId="2" fillId="4" borderId="76" xfId="0" applyNumberFormat="1" applyFont="1" applyFill="1" applyBorder="1" applyAlignment="1">
      <alignment horizontal="left" vertical="center" shrinkToFit="1"/>
    </xf>
    <xf numFmtId="38" fontId="4" fillId="4" borderId="57" xfId="0" applyNumberFormat="1" applyFont="1" applyFill="1" applyBorder="1" applyAlignment="1">
      <alignment vertical="center" shrinkToFit="1"/>
    </xf>
    <xf numFmtId="38" fontId="2" fillId="4" borderId="76" xfId="0" applyNumberFormat="1" applyFont="1" applyFill="1" applyBorder="1" applyAlignment="1">
      <alignment vertical="center" shrinkToFit="1"/>
    </xf>
    <xf numFmtId="38" fontId="13" fillId="0" borderId="61" xfId="0" applyNumberFormat="1" applyFont="1" applyBorder="1" applyAlignment="1">
      <alignment vertical="center" shrinkToFit="1"/>
    </xf>
    <xf numFmtId="38" fontId="14" fillId="0" borderId="0" xfId="0" applyNumberFormat="1" applyFont="1" applyAlignment="1">
      <alignment shrinkToFit="1"/>
    </xf>
    <xf numFmtId="38" fontId="2" fillId="11" borderId="62" xfId="0" applyNumberFormat="1" applyFont="1" applyFill="1" applyBorder="1" applyAlignment="1">
      <alignment vertical="center" shrinkToFit="1"/>
    </xf>
    <xf numFmtId="38" fontId="2" fillId="14" borderId="10" xfId="0" applyNumberFormat="1" applyFont="1" applyFill="1" applyBorder="1" applyAlignment="1">
      <alignment vertical="center"/>
    </xf>
    <xf numFmtId="38" fontId="2" fillId="14" borderId="41" xfId="0" applyNumberFormat="1" applyFont="1" applyFill="1" applyBorder="1" applyAlignment="1">
      <alignment vertical="center"/>
    </xf>
    <xf numFmtId="38" fontId="2" fillId="11" borderId="41" xfId="0" applyNumberFormat="1" applyFont="1" applyFill="1" applyBorder="1" applyAlignment="1">
      <alignment vertical="center"/>
    </xf>
    <xf numFmtId="38" fontId="2" fillId="11" borderId="10" xfId="0" applyNumberFormat="1" applyFont="1" applyFill="1" applyBorder="1" applyAlignment="1">
      <alignment vertical="center"/>
    </xf>
    <xf numFmtId="38" fontId="2" fillId="11" borderId="42" xfId="0" applyNumberFormat="1" applyFont="1" applyFill="1" applyBorder="1" applyAlignment="1">
      <alignment vertical="center"/>
    </xf>
    <xf numFmtId="38" fontId="11" fillId="14" borderId="43" xfId="0" applyNumberFormat="1" applyFont="1" applyFill="1" applyBorder="1" applyAlignment="1">
      <alignment vertical="center"/>
    </xf>
    <xf numFmtId="38" fontId="2" fillId="0" borderId="78" xfId="0" applyNumberFormat="1" applyFont="1" applyBorder="1" applyAlignment="1">
      <alignment vertical="center"/>
    </xf>
    <xf numFmtId="0" fontId="15" fillId="11" borderId="62" xfId="0" applyFont="1" applyFill="1" applyBorder="1" applyAlignment="1">
      <alignment vertical="center" shrinkToFit="1"/>
    </xf>
    <xf numFmtId="0" fontId="2" fillId="14" borderId="10" xfId="0" applyFont="1" applyFill="1" applyBorder="1" applyAlignment="1">
      <alignment vertical="center"/>
    </xf>
    <xf numFmtId="0" fontId="16" fillId="11" borderId="41" xfId="0" applyFont="1" applyFill="1" applyBorder="1" applyAlignment="1">
      <alignment vertical="center"/>
    </xf>
    <xf numFmtId="0" fontId="16" fillId="11" borderId="10" xfId="0" applyFont="1" applyFill="1" applyBorder="1" applyAlignment="1">
      <alignment vertical="center"/>
    </xf>
    <xf numFmtId="38" fontId="16" fillId="11" borderId="42" xfId="0" applyNumberFormat="1" applyFont="1" applyFill="1" applyBorder="1" applyAlignment="1">
      <alignment vertical="center"/>
    </xf>
    <xf numFmtId="0" fontId="11" fillId="14" borderId="4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38" fontId="2" fillId="14" borderId="62" xfId="0" applyNumberFormat="1" applyFont="1" applyFill="1" applyBorder="1" applyAlignment="1">
      <alignment vertical="center" shrinkToFit="1"/>
    </xf>
    <xf numFmtId="38" fontId="2" fillId="14" borderId="10" xfId="0" applyNumberFormat="1" applyFont="1" applyFill="1" applyBorder="1" applyAlignment="1">
      <alignment vertical="center" shrinkToFit="1"/>
    </xf>
    <xf numFmtId="38" fontId="16" fillId="11" borderId="41" xfId="0" applyNumberFormat="1" applyFont="1" applyFill="1" applyBorder="1" applyAlignment="1">
      <alignment vertical="center"/>
    </xf>
    <xf numFmtId="38" fontId="16" fillId="11" borderId="10" xfId="0" applyNumberFormat="1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38" fontId="2" fillId="15" borderId="79" xfId="0" applyNumberFormat="1" applyFont="1" applyFill="1" applyBorder="1" applyAlignment="1">
      <alignment vertical="center" shrinkToFit="1"/>
    </xf>
    <xf numFmtId="38" fontId="2" fillId="15" borderId="80" xfId="0" applyNumberFormat="1" applyFont="1" applyFill="1" applyBorder="1" applyAlignment="1">
      <alignment vertical="center" shrinkToFit="1"/>
    </xf>
    <xf numFmtId="38" fontId="2" fillId="15" borderId="80" xfId="0" applyNumberFormat="1" applyFont="1" applyFill="1" applyBorder="1" applyAlignment="1">
      <alignment vertical="center"/>
    </xf>
    <xf numFmtId="38" fontId="2" fillId="15" borderId="81" xfId="0" applyNumberFormat="1" applyFont="1" applyFill="1" applyBorder="1" applyAlignment="1">
      <alignment vertical="center"/>
    </xf>
    <xf numFmtId="38" fontId="2" fillId="15" borderId="82" xfId="0" applyNumberFormat="1" applyFont="1" applyFill="1" applyBorder="1" applyAlignment="1">
      <alignment vertical="center"/>
    </xf>
    <xf numFmtId="38" fontId="11" fillId="15" borderId="83" xfId="0" applyNumberFormat="1" applyFont="1" applyFill="1" applyBorder="1" applyAlignment="1">
      <alignment vertical="center"/>
    </xf>
    <xf numFmtId="38" fontId="2" fillId="14" borderId="44" xfId="0" applyNumberFormat="1" applyFont="1" applyFill="1" applyBorder="1" applyAlignment="1">
      <alignment vertical="center"/>
    </xf>
    <xf numFmtId="38" fontId="2" fillId="14" borderId="42" xfId="0" applyNumberFormat="1" applyFont="1" applyFill="1" applyBorder="1" applyAlignment="1">
      <alignment vertical="center"/>
    </xf>
    <xf numFmtId="38" fontId="2" fillId="0" borderId="38" xfId="0" applyNumberFormat="1" applyFont="1" applyBorder="1" applyAlignment="1">
      <alignment vertical="center"/>
    </xf>
    <xf numFmtId="38" fontId="2" fillId="0" borderId="84" xfId="0" applyNumberFormat="1" applyFont="1" applyBorder="1" applyAlignment="1">
      <alignment vertical="center"/>
    </xf>
    <xf numFmtId="38" fontId="2" fillId="0" borderId="85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8" fontId="2" fillId="6" borderId="86" xfId="0" applyNumberFormat="1" applyFont="1" applyFill="1" applyBorder="1" applyAlignment="1">
      <alignment vertical="center" shrinkToFit="1"/>
    </xf>
    <xf numFmtId="38" fontId="2" fillId="3" borderId="87" xfId="0" applyNumberFormat="1" applyFont="1" applyFill="1" applyBorder="1" applyAlignment="1">
      <alignment vertical="center" shrinkToFit="1"/>
    </xf>
    <xf numFmtId="38" fontId="13" fillId="3" borderId="29" xfId="0" applyNumberFormat="1" applyFont="1" applyFill="1" applyBorder="1" applyAlignment="1">
      <alignment vertical="center"/>
    </xf>
    <xf numFmtId="38" fontId="2" fillId="6" borderId="29" xfId="0" applyNumberFormat="1" applyFont="1" applyFill="1" applyBorder="1" applyAlignment="1">
      <alignment vertical="center"/>
    </xf>
    <xf numFmtId="38" fontId="2" fillId="6" borderId="58" xfId="0" applyNumberFormat="1" applyFont="1" applyFill="1" applyBorder="1" applyAlignment="1">
      <alignment vertical="center"/>
    </xf>
    <xf numFmtId="38" fontId="2" fillId="6" borderId="59" xfId="0" applyNumberFormat="1" applyFont="1" applyFill="1" applyBorder="1" applyAlignment="1">
      <alignment vertical="center"/>
    </xf>
    <xf numFmtId="38" fontId="11" fillId="6" borderId="33" xfId="0" applyNumberFormat="1" applyFont="1" applyFill="1" applyBorder="1" applyAlignment="1">
      <alignment vertical="center"/>
    </xf>
    <xf numFmtId="40" fontId="2" fillId="0" borderId="8" xfId="0" applyNumberFormat="1" applyFont="1" applyBorder="1" applyAlignment="1">
      <alignment vertical="center"/>
    </xf>
    <xf numFmtId="40" fontId="2" fillId="0" borderId="78" xfId="0" applyNumberFormat="1" applyFont="1" applyBorder="1" applyAlignment="1">
      <alignment vertical="center"/>
    </xf>
    <xf numFmtId="38" fontId="2" fillId="6" borderId="52" xfId="0" applyNumberFormat="1" applyFont="1" applyFill="1" applyBorder="1" applyAlignment="1">
      <alignment vertical="center" shrinkToFit="1"/>
    </xf>
    <xf numFmtId="38" fontId="13" fillId="3" borderId="54" xfId="0" applyNumberFormat="1" applyFont="1" applyFill="1" applyBorder="1" applyAlignment="1">
      <alignment vertical="center"/>
    </xf>
    <xf numFmtId="38" fontId="2" fillId="6" borderId="54" xfId="0" applyNumberFormat="1" applyFont="1" applyFill="1" applyBorder="1" applyAlignment="1">
      <alignment vertical="center"/>
    </xf>
    <xf numFmtId="38" fontId="2" fillId="6" borderId="55" xfId="0" applyNumberFormat="1" applyFont="1" applyFill="1" applyBorder="1" applyAlignment="1">
      <alignment vertical="center"/>
    </xf>
    <xf numFmtId="38" fontId="2" fillId="6" borderId="56" xfId="0" applyNumberFormat="1" applyFont="1" applyFill="1" applyBorder="1" applyAlignment="1">
      <alignment vertical="center"/>
    </xf>
    <xf numFmtId="38" fontId="11" fillId="6" borderId="57" xfId="0" applyNumberFormat="1" applyFont="1" applyFill="1" applyBorder="1" applyAlignment="1">
      <alignment vertical="center"/>
    </xf>
    <xf numFmtId="38" fontId="11" fillId="0" borderId="0" xfId="0" applyNumberFormat="1" applyFont="1" applyAlignment="1">
      <alignment vertical="center"/>
    </xf>
    <xf numFmtId="38" fontId="2" fillId="0" borderId="46" xfId="0" applyNumberFormat="1" applyFont="1" applyBorder="1" applyAlignment="1">
      <alignment vertical="center"/>
    </xf>
    <xf numFmtId="40" fontId="2" fillId="0" borderId="88" xfId="0" applyNumberFormat="1" applyFont="1" applyBorder="1" applyAlignment="1">
      <alignment vertical="center"/>
    </xf>
    <xf numFmtId="40" fontId="2" fillId="0" borderId="89" xfId="0" applyNumberFormat="1" applyFont="1" applyBorder="1" applyAlignment="1">
      <alignment vertical="center"/>
    </xf>
    <xf numFmtId="38" fontId="11" fillId="0" borderId="36" xfId="0" applyNumberFormat="1" applyFont="1" applyBorder="1" applyAlignment="1">
      <alignment vertical="center"/>
    </xf>
    <xf numFmtId="38" fontId="12" fillId="11" borderId="7" xfId="0" applyNumberFormat="1" applyFont="1" applyFill="1" applyBorder="1" applyAlignment="1">
      <alignment vertical="center"/>
    </xf>
    <xf numFmtId="38" fontId="17" fillId="0" borderId="0" xfId="0" applyNumberFormat="1" applyFont="1" applyAlignment="1">
      <alignment vertical="center"/>
    </xf>
    <xf numFmtId="38" fontId="12" fillId="0" borderId="0" xfId="0" applyNumberFormat="1" applyFont="1" applyAlignment="1">
      <alignment horizontal="left" vertical="center"/>
    </xf>
    <xf numFmtId="38" fontId="2" fillId="0" borderId="0" xfId="0" applyNumberFormat="1" applyFont="1" applyAlignment="1">
      <alignment horizontal="left" vertical="center"/>
    </xf>
    <xf numFmtId="38" fontId="2" fillId="4" borderId="91" xfId="0" applyNumberFormat="1" applyFont="1" applyFill="1" applyBorder="1" applyAlignment="1">
      <alignment vertical="center"/>
    </xf>
    <xf numFmtId="38" fontId="2" fillId="0" borderId="9" xfId="0" applyNumberFormat="1" applyFont="1" applyBorder="1" applyAlignment="1">
      <alignment horizontal="left" vertical="center"/>
    </xf>
    <xf numFmtId="38" fontId="19" fillId="0" borderId="0" xfId="0" applyNumberFormat="1" applyFont="1" applyAlignment="1">
      <alignment horizontal="left" vertical="center"/>
    </xf>
    <xf numFmtId="38" fontId="2" fillId="0" borderId="7" xfId="0" applyNumberFormat="1" applyFont="1" applyBorder="1" applyAlignment="1">
      <alignment horizontal="left" vertical="center"/>
    </xf>
    <xf numFmtId="38" fontId="2" fillId="4" borderId="95" xfId="0" applyNumberFormat="1" applyFont="1" applyFill="1" applyBorder="1" applyAlignment="1">
      <alignment vertical="center"/>
    </xf>
    <xf numFmtId="38" fontId="2" fillId="0" borderId="7" xfId="0" applyNumberFormat="1" applyFont="1" applyBorder="1" applyAlignment="1">
      <alignment horizontal="left" vertical="center" shrinkToFit="1"/>
    </xf>
    <xf numFmtId="38" fontId="2" fillId="0" borderId="94" xfId="0" applyNumberFormat="1" applyFont="1" applyBorder="1" applyAlignment="1">
      <alignment vertical="center"/>
    </xf>
    <xf numFmtId="38" fontId="2" fillId="0" borderId="90" xfId="0" applyNumberFormat="1" applyFont="1" applyBorder="1" applyAlignment="1">
      <alignment vertical="center"/>
    </xf>
    <xf numFmtId="38" fontId="2" fillId="4" borderId="91" xfId="0" applyNumberFormat="1" applyFont="1" applyFill="1" applyBorder="1" applyAlignment="1">
      <alignment vertical="center"/>
    </xf>
    <xf numFmtId="38" fontId="9" fillId="0" borderId="98" xfId="0" applyNumberFormat="1" applyFont="1" applyBorder="1" applyAlignment="1">
      <alignment vertical="center"/>
    </xf>
    <xf numFmtId="38" fontId="9" fillId="0" borderId="99" xfId="0" applyNumberFormat="1" applyFont="1" applyBorder="1" applyAlignment="1">
      <alignment horizontal="left" vertical="center"/>
    </xf>
    <xf numFmtId="38" fontId="20" fillId="16" borderId="0" xfId="0" applyNumberFormat="1" applyFont="1" applyFill="1" applyAlignment="1"/>
    <xf numFmtId="38" fontId="9" fillId="0" borderId="0" xfId="0" applyNumberFormat="1" applyFont="1" applyAlignment="1">
      <alignment horizontal="right" vertical="center"/>
    </xf>
    <xf numFmtId="38" fontId="9" fillId="0" borderId="0" xfId="0" applyNumberFormat="1" applyFont="1" applyAlignment="1">
      <alignment vertical="center"/>
    </xf>
    <xf numFmtId="38" fontId="9" fillId="0" borderId="0" xfId="0" applyNumberFormat="1" applyFont="1" applyAlignment="1">
      <alignment horizontal="left" vertical="center"/>
    </xf>
    <xf numFmtId="38" fontId="2" fillId="0" borderId="8" xfId="0" applyNumberFormat="1" applyFont="1" applyBorder="1" applyAlignment="1">
      <alignment horizontal="center" vertical="center" shrinkToFit="1"/>
    </xf>
    <xf numFmtId="0" fontId="3" fillId="0" borderId="9" xfId="0" applyFont="1" applyBorder="1"/>
    <xf numFmtId="38" fontId="2" fillId="0" borderId="2" xfId="0" applyNumberFormat="1" applyFont="1" applyBorder="1" applyAlignment="1">
      <alignment horizontal="center" vertical="center"/>
    </xf>
    <xf numFmtId="0" fontId="3" fillId="0" borderId="77" xfId="0" applyFont="1" applyBorder="1"/>
    <xf numFmtId="0" fontId="3" fillId="0" borderId="5" xfId="0" applyFont="1" applyBorder="1"/>
    <xf numFmtId="38" fontId="2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38" fontId="2" fillId="0" borderId="8" xfId="0" applyNumberFormat="1" applyFont="1" applyBorder="1" applyAlignment="1">
      <alignment horizontal="center" vertical="center"/>
    </xf>
    <xf numFmtId="38" fontId="2" fillId="0" borderId="50" xfId="0" applyNumberFormat="1" applyFont="1" applyBorder="1" applyAlignment="1">
      <alignment horizontal="center" vertical="center"/>
    </xf>
    <xf numFmtId="0" fontId="3" fillId="0" borderId="20" xfId="0" applyFont="1" applyBorder="1"/>
    <xf numFmtId="38" fontId="2" fillId="0" borderId="50" xfId="0" applyNumberFormat="1" applyFont="1" applyBorder="1" applyAlignment="1">
      <alignment horizontal="center" vertical="center" shrinkToFit="1"/>
    </xf>
    <xf numFmtId="38" fontId="2" fillId="4" borderId="2" xfId="0" applyNumberFormat="1" applyFont="1" applyFill="1" applyBorder="1" applyAlignment="1">
      <alignment horizontal="center" vertical="center" shrinkToFit="1"/>
    </xf>
    <xf numFmtId="38" fontId="2" fillId="0" borderId="14" xfId="0" applyNumberFormat="1" applyFont="1" applyBorder="1" applyAlignment="1">
      <alignment horizontal="center" vertical="center"/>
    </xf>
    <xf numFmtId="0" fontId="3" fillId="0" borderId="90" xfId="0" applyFont="1" applyBorder="1"/>
    <xf numFmtId="38" fontId="2" fillId="0" borderId="11" xfId="0" applyNumberFormat="1" applyFont="1" applyBorder="1" applyAlignment="1">
      <alignment vertical="center"/>
    </xf>
    <xf numFmtId="38" fontId="2" fillId="0" borderId="11" xfId="0" applyNumberFormat="1" applyFont="1" applyBorder="1" applyAlignment="1">
      <alignment horizontal="left" vertical="center"/>
    </xf>
    <xf numFmtId="38" fontId="2" fillId="0" borderId="23" xfId="0" applyNumberFormat="1" applyFont="1" applyBorder="1" applyAlignment="1">
      <alignment horizontal="left" vertical="center"/>
    </xf>
    <xf numFmtId="0" fontId="3" fillId="0" borderId="24" xfId="0" applyFont="1" applyBorder="1"/>
    <xf numFmtId="38" fontId="1" fillId="0" borderId="0" xfId="0" applyNumberFormat="1" applyFont="1" applyAlignment="1">
      <alignment horizontal="left" vertical="center"/>
    </xf>
    <xf numFmtId="0" fontId="0" fillId="0" borderId="0" xfId="0" applyFont="1" applyAlignment="1"/>
    <xf numFmtId="38" fontId="2" fillId="0" borderId="2" xfId="0" applyNumberFormat="1" applyFont="1" applyBorder="1" applyAlignment="1">
      <alignment horizontal="left" vertical="center"/>
    </xf>
    <xf numFmtId="0" fontId="3" fillId="0" borderId="3" xfId="0" applyFont="1" applyBorder="1"/>
    <xf numFmtId="38" fontId="2" fillId="0" borderId="6" xfId="0" applyNumberFormat="1" applyFont="1" applyBorder="1" applyAlignment="1">
      <alignment horizontal="left" vertical="top" wrapText="1"/>
    </xf>
    <xf numFmtId="38" fontId="5" fillId="0" borderId="0" xfId="0" applyNumberFormat="1" applyFont="1" applyAlignment="1">
      <alignment horizontal="center" vertical="center"/>
    </xf>
    <xf numFmtId="38" fontId="8" fillId="0" borderId="0" xfId="0" applyNumberFormat="1" applyFont="1" applyAlignment="1">
      <alignment horizontal="center" vertical="center"/>
    </xf>
    <xf numFmtId="38" fontId="2" fillId="0" borderId="8" xfId="0" applyNumberFormat="1" applyFont="1" applyBorder="1" applyAlignment="1">
      <alignment horizontal="left" vertical="center"/>
    </xf>
    <xf numFmtId="38" fontId="9" fillId="0" borderId="96" xfId="0" applyNumberFormat="1" applyFont="1" applyBorder="1" applyAlignment="1">
      <alignment horizontal="center" vertical="center"/>
    </xf>
    <xf numFmtId="0" fontId="3" fillId="0" borderId="97" xfId="0" applyFont="1" applyBorder="1"/>
    <xf numFmtId="38" fontId="21" fillId="0" borderId="0" xfId="0" applyNumberFormat="1" applyFont="1" applyAlignment="1">
      <alignment horizontal="center" vertical="center"/>
    </xf>
    <xf numFmtId="38" fontId="18" fillId="0" borderId="8" xfId="0" applyNumberFormat="1" applyFont="1" applyBorder="1" applyAlignment="1">
      <alignment horizontal="center" vertical="center"/>
    </xf>
    <xf numFmtId="38" fontId="2" fillId="0" borderId="92" xfId="0" applyNumberFormat="1" applyFont="1" applyBorder="1" applyAlignment="1">
      <alignment horizontal="left" vertical="center"/>
    </xf>
    <xf numFmtId="0" fontId="3" fillId="0" borderId="17" xfId="0" applyFont="1" applyBorder="1"/>
    <xf numFmtId="0" fontId="3" fillId="0" borderId="93" xfId="0" applyFont="1" applyBorder="1"/>
    <xf numFmtId="38" fontId="2" fillId="0" borderId="94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1914525" cy="447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24100" y="762000"/>
          <a:ext cx="1914525" cy="447675"/>
        </a:xfrm>
        <a:prstGeom prst="wedgeRoundRectCallout">
          <a:avLst>
            <a:gd name="adj1" fmla="val 22167"/>
            <a:gd name="adj2" fmla="val -80053"/>
            <a:gd name="adj3" fmla="val 16667"/>
          </a:avLst>
        </a:pr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①年度を設定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4</xdr:row>
      <xdr:rowOff>9525</xdr:rowOff>
    </xdr:from>
    <xdr:ext cx="352425" cy="4476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74550" y="3565688"/>
          <a:ext cx="342900" cy="428625"/>
        </a:xfrm>
        <a:prstGeom prst="wedgeRoundRectCallout">
          <a:avLst>
            <a:gd name="adj1" fmla="val 76167"/>
            <a:gd name="adj2" fmla="val -45678"/>
            <a:gd name="adj3" fmla="val 16667"/>
          </a:avLst>
        </a:pr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②人数を設定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866775</xdr:colOff>
      <xdr:row>21</xdr:row>
      <xdr:rowOff>104775</xdr:rowOff>
    </xdr:from>
    <xdr:ext cx="1504950" cy="5238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607813" y="3532350"/>
          <a:ext cx="1476375" cy="4953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000"/>
  <sheetViews>
    <sheetView tabSelected="1" workbookViewId="0">
      <selection activeCell="V10" sqref="V10"/>
    </sheetView>
  </sheetViews>
  <sheetFormatPr baseColWidth="10" defaultColWidth="14.5" defaultRowHeight="15" customHeight="1"/>
  <cols>
    <col min="1" max="1" width="30.5" customWidth="1"/>
    <col min="2" max="21" width="12.5" hidden="1" customWidth="1"/>
    <col min="22" max="23" width="12.5" customWidth="1"/>
    <col min="24" max="24" width="17.5" customWidth="1"/>
    <col min="25" max="25" width="5.1640625" customWidth="1"/>
    <col min="26" max="26" width="3.1640625" customWidth="1"/>
    <col min="27" max="27" width="10.1640625" customWidth="1"/>
    <col min="28" max="28" width="10.83203125" customWidth="1"/>
    <col min="29" max="32" width="10.6640625" customWidth="1"/>
    <col min="33" max="33" width="2.5" customWidth="1"/>
    <col min="34" max="35" width="10.6640625" customWidth="1"/>
    <col min="36" max="36" width="9.6640625" customWidth="1"/>
    <col min="37" max="38" width="11.1640625" customWidth="1"/>
    <col min="39" max="43" width="12.6640625" customWidth="1"/>
  </cols>
  <sheetData>
    <row r="1" spans="1:43" ht="15" customHeight="1">
      <c r="A1" s="297" t="s">
        <v>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1"/>
      <c r="X1" s="1"/>
      <c r="Y1" s="2"/>
      <c r="Z1" s="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</v>
      </c>
      <c r="AN1" s="1"/>
      <c r="AO1" s="1"/>
      <c r="AP1" s="1"/>
      <c r="AQ1" s="1"/>
    </row>
    <row r="2" spans="1:43" ht="1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9" t="s">
        <v>2</v>
      </c>
      <c r="X2" s="300"/>
      <c r="Y2" s="3">
        <f>入力欄!D12</f>
        <v>0</v>
      </c>
      <c r="Z2" s="4" t="s">
        <v>3</v>
      </c>
      <c r="AA2" s="301"/>
      <c r="AB2" s="298"/>
      <c r="AC2" s="1"/>
      <c r="AD2" s="1"/>
      <c r="AE2" s="1"/>
      <c r="AF2" s="1"/>
      <c r="AG2" s="1"/>
      <c r="AH2" s="302" t="str">
        <f>IF(Y2&gt;0,IF(Y2=1,"夫婦","多妻?"),"独身")</f>
        <v>独身</v>
      </c>
      <c r="AI2" s="298"/>
      <c r="AJ2" s="1"/>
      <c r="AK2" s="1"/>
      <c r="AL2" s="1"/>
      <c r="AM2" s="5"/>
      <c r="AN2" s="286" t="s">
        <v>4</v>
      </c>
      <c r="AO2" s="279"/>
      <c r="AP2" s="286" t="s">
        <v>5</v>
      </c>
      <c r="AQ2" s="279"/>
    </row>
    <row r="3" spans="1:43" ht="15" customHeight="1">
      <c r="A3" s="6" t="s">
        <v>6</v>
      </c>
      <c r="B3" s="7">
        <v>33</v>
      </c>
      <c r="C3" s="8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93" t="s">
        <v>8</v>
      </c>
      <c r="X3" s="279"/>
      <c r="Y3" s="10"/>
      <c r="Z3" s="11"/>
      <c r="AA3" s="1"/>
      <c r="AB3" s="1"/>
      <c r="AC3" s="2" t="s">
        <v>9</v>
      </c>
      <c r="AD3" s="2"/>
      <c r="AE3" s="2" t="s">
        <v>10</v>
      </c>
      <c r="AF3" s="2"/>
      <c r="AG3" s="1"/>
      <c r="AH3" s="298"/>
      <c r="AI3" s="298"/>
      <c r="AJ3" s="1"/>
      <c r="AK3" s="1"/>
      <c r="AL3" s="1"/>
      <c r="AM3" s="5"/>
      <c r="AN3" s="12" t="s">
        <v>11</v>
      </c>
      <c r="AO3" s="13" t="s">
        <v>12</v>
      </c>
      <c r="AP3" s="12" t="s">
        <v>12</v>
      </c>
      <c r="AQ3" s="12" t="s">
        <v>10</v>
      </c>
    </row>
    <row r="4" spans="1:43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93" t="str">
        <f>IF(B3&gt;23,"16歳未満","")</f>
        <v>16歳未満</v>
      </c>
      <c r="X4" s="279"/>
      <c r="Y4" s="3">
        <f>入力欄!D15</f>
        <v>0</v>
      </c>
      <c r="Z4" s="14" t="s">
        <v>3</v>
      </c>
      <c r="AA4" s="1"/>
      <c r="AB4" s="1"/>
      <c r="AC4" s="15" t="s">
        <v>13</v>
      </c>
      <c r="AD4" s="16"/>
      <c r="AE4" s="15" t="s">
        <v>13</v>
      </c>
      <c r="AF4" s="4"/>
      <c r="AG4" s="1"/>
      <c r="AH4" s="303" t="str">
        <f>IF((Y5+Y6+Y7)&gt;0,"控除対象扶養","")</f>
        <v/>
      </c>
      <c r="AI4" s="303" t="str">
        <f>IF((Y5+Y6+Y7)&gt;0,(Y5+Y6+Y7),"")</f>
        <v/>
      </c>
      <c r="AJ4" s="1"/>
      <c r="AK4" s="1"/>
      <c r="AL4" s="1"/>
      <c r="AM4" s="17" t="s">
        <v>14</v>
      </c>
      <c r="AN4" s="18">
        <v>1000000</v>
      </c>
      <c r="AO4" s="19">
        <v>1000000</v>
      </c>
      <c r="AP4" s="20">
        <v>1088888</v>
      </c>
      <c r="AQ4" s="18">
        <v>1144444</v>
      </c>
    </row>
    <row r="5" spans="1:43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93" t="str">
        <f>IF(B3&gt;23,"16歳以上19歳未満","扶養親族")</f>
        <v>16歳以上19歳未満</v>
      </c>
      <c r="X5" s="279"/>
      <c r="Y5" s="3">
        <f>入力欄!D16</f>
        <v>0</v>
      </c>
      <c r="Z5" s="14" t="s">
        <v>3</v>
      </c>
      <c r="AA5" s="1"/>
      <c r="AB5" s="1"/>
      <c r="AC5" s="21" t="s">
        <v>15</v>
      </c>
      <c r="AD5" s="22"/>
      <c r="AE5" s="21" t="s">
        <v>15</v>
      </c>
      <c r="AF5" s="22"/>
      <c r="AG5" s="1"/>
      <c r="AH5" s="298"/>
      <c r="AI5" s="298"/>
      <c r="AJ5" s="1"/>
      <c r="AK5" s="1"/>
      <c r="AL5" s="1"/>
      <c r="AM5" s="17" t="s">
        <v>16</v>
      </c>
      <c r="AN5" s="18">
        <v>1570000</v>
      </c>
      <c r="AO5" s="23">
        <v>1750000</v>
      </c>
      <c r="AP5" s="24">
        <v>1455555</v>
      </c>
      <c r="AQ5" s="18">
        <v>1566666</v>
      </c>
    </row>
    <row r="6" spans="1:43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5"/>
      <c r="W6" s="294" t="str">
        <f>IF(B3&gt;23,"19歳以上23歳未満","特定扶養親族")</f>
        <v>19歳以上23歳未満</v>
      </c>
      <c r="X6" s="279"/>
      <c r="Y6" s="3">
        <f>入力欄!D17</f>
        <v>0</v>
      </c>
      <c r="Z6" s="14" t="s">
        <v>3</v>
      </c>
      <c r="AA6" s="1"/>
      <c r="AB6" s="1"/>
      <c r="AC6" s="21">
        <v>0</v>
      </c>
      <c r="AD6" s="26">
        <v>0</v>
      </c>
      <c r="AE6" s="21">
        <v>0</v>
      </c>
      <c r="AF6" s="26">
        <v>0</v>
      </c>
      <c r="AG6" s="1"/>
      <c r="AH6" s="303" t="str">
        <f>IF(Y6&gt;0,"うち特定扶養","")</f>
        <v/>
      </c>
      <c r="AI6" s="303" t="str">
        <f>IF(Y6&gt;0,Y6,"")</f>
        <v/>
      </c>
      <c r="AJ6" s="1"/>
      <c r="AK6" s="1"/>
      <c r="AL6" s="1"/>
      <c r="AM6" s="17" t="s">
        <v>17</v>
      </c>
      <c r="AN6" s="18">
        <v>2071428</v>
      </c>
      <c r="AO6" s="27">
        <v>2257142</v>
      </c>
      <c r="AP6" s="28">
        <v>1950000</v>
      </c>
      <c r="AQ6" s="18">
        <v>2200000</v>
      </c>
    </row>
    <row r="7" spans="1:43" ht="15" customHeight="1">
      <c r="A7" s="1"/>
      <c r="B7" s="25"/>
      <c r="C7" s="2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5"/>
      <c r="W7" s="295" t="str">
        <f>IF(B3&gt;23,"23歳以上","")</f>
        <v>23歳以上</v>
      </c>
      <c r="X7" s="296"/>
      <c r="Y7" s="30">
        <f>入力欄!D18</f>
        <v>0</v>
      </c>
      <c r="Z7" s="31" t="s">
        <v>3</v>
      </c>
      <c r="AA7" s="1"/>
      <c r="AB7" s="1"/>
      <c r="AC7" s="21">
        <v>1625001</v>
      </c>
      <c r="AD7" s="26">
        <v>0.4</v>
      </c>
      <c r="AE7" s="21">
        <v>1625001</v>
      </c>
      <c r="AF7" s="26">
        <v>0.4</v>
      </c>
      <c r="AG7" s="1"/>
      <c r="AH7" s="298"/>
      <c r="AI7" s="298"/>
      <c r="AJ7" s="1"/>
      <c r="AK7" s="1"/>
      <c r="AL7" s="1"/>
      <c r="AM7" s="17" t="s">
        <v>18</v>
      </c>
      <c r="AN7" s="18">
        <v>2571428</v>
      </c>
      <c r="AO7" s="32">
        <v>2757142</v>
      </c>
      <c r="AP7" s="28">
        <v>2700000</v>
      </c>
      <c r="AQ7" s="18">
        <v>3250000</v>
      </c>
    </row>
    <row r="8" spans="1:43" ht="15" customHeight="1">
      <c r="A8" s="1" t="s">
        <v>19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20</v>
      </c>
      <c r="Y8" s="1"/>
      <c r="Z8" s="1"/>
      <c r="AA8" s="1"/>
      <c r="AB8" s="1"/>
      <c r="AC8" s="21">
        <v>1800001</v>
      </c>
      <c r="AD8" s="26">
        <v>0.3</v>
      </c>
      <c r="AE8" s="21">
        <v>1800001</v>
      </c>
      <c r="AF8" s="26">
        <v>0.3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" customHeight="1">
      <c r="A9" s="33" t="s">
        <v>21</v>
      </c>
      <c r="B9" s="34">
        <v>7000000</v>
      </c>
      <c r="C9" s="35">
        <v>7000000</v>
      </c>
      <c r="D9" s="36"/>
      <c r="E9" s="37">
        <v>11000000</v>
      </c>
      <c r="F9" s="38">
        <v>12000000</v>
      </c>
      <c r="G9" s="38">
        <v>13000000</v>
      </c>
      <c r="H9" s="38">
        <v>14000000</v>
      </c>
      <c r="I9" s="38">
        <v>15000000</v>
      </c>
      <c r="J9" s="38">
        <v>16000000</v>
      </c>
      <c r="K9" s="38">
        <v>17000000</v>
      </c>
      <c r="L9" s="38">
        <v>18000000</v>
      </c>
      <c r="M9" s="38">
        <v>19000000</v>
      </c>
      <c r="N9" s="38">
        <v>20000000</v>
      </c>
      <c r="O9" s="38">
        <v>21000000</v>
      </c>
      <c r="P9" s="38">
        <v>22000000</v>
      </c>
      <c r="Q9" s="38">
        <v>23000000</v>
      </c>
      <c r="R9" s="38">
        <v>24000000</v>
      </c>
      <c r="S9" s="38">
        <v>25000000</v>
      </c>
      <c r="T9" s="38"/>
      <c r="U9" s="38"/>
      <c r="V9" s="38">
        <v>4500000</v>
      </c>
      <c r="W9" s="39">
        <f>入力欄!D7</f>
        <v>6000000</v>
      </c>
      <c r="X9" s="40">
        <v>0</v>
      </c>
      <c r="Y9" s="41"/>
      <c r="Z9" s="41"/>
      <c r="AA9" s="41"/>
      <c r="AB9" s="1"/>
      <c r="AC9" s="21">
        <v>3600001</v>
      </c>
      <c r="AD9" s="26">
        <v>0.2</v>
      </c>
      <c r="AE9" s="21">
        <v>3600001</v>
      </c>
      <c r="AF9" s="26">
        <v>0.2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" customHeight="1">
      <c r="A10" s="42" t="s">
        <v>13</v>
      </c>
      <c r="B10" s="43">
        <f t="shared" ref="B10:S10" si="0">B9*VLOOKUP(B9,$AC$6:$AD$12,2)+VLOOKUP(B9,$AC$14:$AD$22,2)</f>
        <v>1800000</v>
      </c>
      <c r="C10" s="43">
        <f t="shared" si="0"/>
        <v>1800000</v>
      </c>
      <c r="D10" s="43">
        <f t="shared" si="0"/>
        <v>550000</v>
      </c>
      <c r="E10" s="43">
        <f t="shared" si="0"/>
        <v>1950000</v>
      </c>
      <c r="F10" s="43">
        <f t="shared" si="0"/>
        <v>1950000</v>
      </c>
      <c r="G10" s="43">
        <f t="shared" si="0"/>
        <v>1950000</v>
      </c>
      <c r="H10" s="43">
        <f t="shared" si="0"/>
        <v>1950000</v>
      </c>
      <c r="I10" s="43">
        <f t="shared" si="0"/>
        <v>1950000</v>
      </c>
      <c r="J10" s="43">
        <f t="shared" si="0"/>
        <v>1950000</v>
      </c>
      <c r="K10" s="43">
        <f t="shared" si="0"/>
        <v>1950000</v>
      </c>
      <c r="L10" s="43">
        <f t="shared" si="0"/>
        <v>1950000</v>
      </c>
      <c r="M10" s="43">
        <f t="shared" si="0"/>
        <v>1950000</v>
      </c>
      <c r="N10" s="43">
        <f t="shared" si="0"/>
        <v>1950000</v>
      </c>
      <c r="O10" s="43">
        <f t="shared" si="0"/>
        <v>1950000</v>
      </c>
      <c r="P10" s="43">
        <f t="shared" si="0"/>
        <v>1950000</v>
      </c>
      <c r="Q10" s="43">
        <f t="shared" si="0"/>
        <v>1950000</v>
      </c>
      <c r="R10" s="43">
        <f t="shared" si="0"/>
        <v>1950000</v>
      </c>
      <c r="S10" s="43">
        <f t="shared" si="0"/>
        <v>1950000</v>
      </c>
      <c r="T10" s="1"/>
      <c r="U10" s="43">
        <f t="shared" ref="U10:W10" si="1">U9*VLOOKUP(U9,$AC$6:$AD$12,2)+VLOOKUP(U9,$AC$14:$AD$22,2)</f>
        <v>550000</v>
      </c>
      <c r="V10" s="43">
        <f t="shared" si="1"/>
        <v>1340000</v>
      </c>
      <c r="W10" s="43">
        <f t="shared" si="1"/>
        <v>1640000</v>
      </c>
      <c r="X10" s="44">
        <f>X9*VLOOKUP(X9,$AC$6:$AD$11,2)+VLOOKUP(X9,$AC$14:$AD$21,2)</f>
        <v>550000</v>
      </c>
      <c r="Y10" s="1"/>
      <c r="Z10" s="1"/>
      <c r="AA10" s="1"/>
      <c r="AB10" s="1"/>
      <c r="AC10" s="21">
        <v>6600001</v>
      </c>
      <c r="AD10" s="26">
        <v>0.1</v>
      </c>
      <c r="AE10" s="21">
        <v>6600001</v>
      </c>
      <c r="AF10" s="26">
        <v>0.1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" customHeight="1">
      <c r="A11" s="42" t="s">
        <v>22</v>
      </c>
      <c r="B11" s="43">
        <f t="shared" ref="B11:S11" si="2">B9-B10</f>
        <v>5200000</v>
      </c>
      <c r="C11" s="45">
        <f t="shared" si="2"/>
        <v>5200000</v>
      </c>
      <c r="D11" s="1">
        <f t="shared" si="2"/>
        <v>-550000</v>
      </c>
      <c r="E11" s="46">
        <f t="shared" si="2"/>
        <v>9050000</v>
      </c>
      <c r="F11" s="1">
        <f t="shared" si="2"/>
        <v>10050000</v>
      </c>
      <c r="G11" s="1">
        <f t="shared" si="2"/>
        <v>11050000</v>
      </c>
      <c r="H11" s="1">
        <f t="shared" si="2"/>
        <v>12050000</v>
      </c>
      <c r="I11" s="1">
        <f t="shared" si="2"/>
        <v>13050000</v>
      </c>
      <c r="J11" s="1">
        <f t="shared" si="2"/>
        <v>14050000</v>
      </c>
      <c r="K11" s="1">
        <f t="shared" si="2"/>
        <v>15050000</v>
      </c>
      <c r="L11" s="1">
        <f t="shared" si="2"/>
        <v>16050000</v>
      </c>
      <c r="M11" s="1">
        <f t="shared" si="2"/>
        <v>17050000</v>
      </c>
      <c r="N11" s="1">
        <f t="shared" si="2"/>
        <v>18050000</v>
      </c>
      <c r="O11" s="1">
        <f t="shared" si="2"/>
        <v>19050000</v>
      </c>
      <c r="P11" s="1">
        <f t="shared" si="2"/>
        <v>20050000</v>
      </c>
      <c r="Q11" s="1">
        <f t="shared" si="2"/>
        <v>21050000</v>
      </c>
      <c r="R11" s="1">
        <f t="shared" si="2"/>
        <v>22050000</v>
      </c>
      <c r="S11" s="1">
        <f t="shared" si="2"/>
        <v>23050000</v>
      </c>
      <c r="T11" s="1"/>
      <c r="U11" s="1">
        <f t="shared" ref="U11:X11" si="3">U9-U10</f>
        <v>-550000</v>
      </c>
      <c r="V11" s="1">
        <f t="shared" si="3"/>
        <v>3160000</v>
      </c>
      <c r="W11" s="47">
        <f t="shared" si="3"/>
        <v>4360000</v>
      </c>
      <c r="X11" s="48">
        <f t="shared" si="3"/>
        <v>-550000</v>
      </c>
      <c r="Y11" s="1"/>
      <c r="Z11" s="1"/>
      <c r="AA11" s="1"/>
      <c r="AB11" s="1"/>
      <c r="AC11" s="49"/>
      <c r="AD11" s="50"/>
      <c r="AE11" s="49"/>
      <c r="AF11" s="5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" customHeight="1">
      <c r="A12" s="51" t="s">
        <v>23</v>
      </c>
      <c r="B12" s="43">
        <f t="shared" ref="B12:S12" si="4">IF(($Y$2+$Y$4+$Y$5+$Y$6+$Y$7)&gt;=1,350000*($Y$2+$Y$4+$Y$5+$Y$6+$Y$7+1)+320000,350000)</f>
        <v>350000</v>
      </c>
      <c r="C12" s="45">
        <f t="shared" si="4"/>
        <v>350000</v>
      </c>
      <c r="D12" s="52">
        <f t="shared" si="4"/>
        <v>350000</v>
      </c>
      <c r="E12" s="53">
        <f t="shared" si="4"/>
        <v>350000</v>
      </c>
      <c r="F12" s="52">
        <f t="shared" si="4"/>
        <v>350000</v>
      </c>
      <c r="G12" s="52">
        <f t="shared" si="4"/>
        <v>350000</v>
      </c>
      <c r="H12" s="52">
        <f t="shared" si="4"/>
        <v>350000</v>
      </c>
      <c r="I12" s="52">
        <f t="shared" si="4"/>
        <v>350000</v>
      </c>
      <c r="J12" s="52">
        <f t="shared" si="4"/>
        <v>350000</v>
      </c>
      <c r="K12" s="52">
        <f t="shared" si="4"/>
        <v>350000</v>
      </c>
      <c r="L12" s="52">
        <f t="shared" si="4"/>
        <v>350000</v>
      </c>
      <c r="M12" s="52">
        <f t="shared" si="4"/>
        <v>350000</v>
      </c>
      <c r="N12" s="52">
        <f t="shared" si="4"/>
        <v>350000</v>
      </c>
      <c r="O12" s="52">
        <f t="shared" si="4"/>
        <v>350000</v>
      </c>
      <c r="P12" s="52">
        <f t="shared" si="4"/>
        <v>350000</v>
      </c>
      <c r="Q12" s="52">
        <f t="shared" si="4"/>
        <v>350000</v>
      </c>
      <c r="R12" s="52">
        <f t="shared" si="4"/>
        <v>350000</v>
      </c>
      <c r="S12" s="52">
        <f t="shared" si="4"/>
        <v>350000</v>
      </c>
      <c r="T12" s="52"/>
      <c r="U12" s="52">
        <f t="shared" ref="U12:X12" si="5">IF(($Y$2+$Y$4+$Y$5+$Y$6+$Y$7)&gt;=1,350000*($Y$2+$Y$4+$Y$5+$Y$6+$Y$7+1)+320000,350000)</f>
        <v>350000</v>
      </c>
      <c r="V12" s="52">
        <f t="shared" si="5"/>
        <v>350000</v>
      </c>
      <c r="W12" s="54">
        <f t="shared" si="5"/>
        <v>350000</v>
      </c>
      <c r="X12" s="55">
        <f t="shared" si="5"/>
        <v>350000</v>
      </c>
      <c r="Y12" s="1"/>
      <c r="Z12" s="1"/>
      <c r="AA12" s="1"/>
      <c r="AB12" s="1"/>
      <c r="AC12" s="56">
        <v>8500001</v>
      </c>
      <c r="AD12" s="57">
        <v>0</v>
      </c>
      <c r="AE12" s="56">
        <v>8500001</v>
      </c>
      <c r="AF12" s="57"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" customHeight="1">
      <c r="A13" s="51" t="s">
        <v>24</v>
      </c>
      <c r="B13" s="58" t="str">
        <f t="shared" ref="B13:S13" si="6">IF(B11&gt;B12,"所得割課税","所得割非課税")</f>
        <v>所得割課税</v>
      </c>
      <c r="C13" s="59" t="str">
        <f t="shared" si="6"/>
        <v>所得割課税</v>
      </c>
      <c r="D13" s="60" t="str">
        <f t="shared" si="6"/>
        <v>所得割非課税</v>
      </c>
      <c r="E13" s="61" t="str">
        <f t="shared" si="6"/>
        <v>所得割課税</v>
      </c>
      <c r="F13" s="60" t="str">
        <f t="shared" si="6"/>
        <v>所得割課税</v>
      </c>
      <c r="G13" s="60" t="str">
        <f t="shared" si="6"/>
        <v>所得割課税</v>
      </c>
      <c r="H13" s="60" t="str">
        <f t="shared" si="6"/>
        <v>所得割課税</v>
      </c>
      <c r="I13" s="60" t="str">
        <f t="shared" si="6"/>
        <v>所得割課税</v>
      </c>
      <c r="J13" s="60" t="str">
        <f t="shared" si="6"/>
        <v>所得割課税</v>
      </c>
      <c r="K13" s="60" t="str">
        <f t="shared" si="6"/>
        <v>所得割課税</v>
      </c>
      <c r="L13" s="60" t="str">
        <f t="shared" si="6"/>
        <v>所得割課税</v>
      </c>
      <c r="M13" s="60" t="str">
        <f t="shared" si="6"/>
        <v>所得割課税</v>
      </c>
      <c r="N13" s="60" t="str">
        <f t="shared" si="6"/>
        <v>所得割課税</v>
      </c>
      <c r="O13" s="60" t="str">
        <f t="shared" si="6"/>
        <v>所得割課税</v>
      </c>
      <c r="P13" s="60" t="str">
        <f t="shared" si="6"/>
        <v>所得割課税</v>
      </c>
      <c r="Q13" s="60" t="str">
        <f t="shared" si="6"/>
        <v>所得割課税</v>
      </c>
      <c r="R13" s="60" t="str">
        <f t="shared" si="6"/>
        <v>所得割課税</v>
      </c>
      <c r="S13" s="60" t="str">
        <f t="shared" si="6"/>
        <v>所得割課税</v>
      </c>
      <c r="T13" s="60"/>
      <c r="U13" s="60" t="str">
        <f t="shared" ref="U13:X13" si="7">IF(U11&gt;U12,"所得割課税","所得割非課税")</f>
        <v>所得割非課税</v>
      </c>
      <c r="V13" s="60" t="str">
        <f t="shared" si="7"/>
        <v>所得割課税</v>
      </c>
      <c r="W13" s="62" t="str">
        <f t="shared" si="7"/>
        <v>所得割課税</v>
      </c>
      <c r="X13" s="63" t="str">
        <f t="shared" si="7"/>
        <v>所得割非課税</v>
      </c>
      <c r="Y13" s="1"/>
      <c r="Z13" s="1"/>
      <c r="AA13" s="1"/>
      <c r="AB13" s="1"/>
      <c r="AC13" s="64" t="s">
        <v>25</v>
      </c>
      <c r="AD13" s="65"/>
      <c r="AE13" s="64" t="s">
        <v>25</v>
      </c>
      <c r="AF13" s="6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" customHeight="1">
      <c r="A14" s="51" t="s">
        <v>26</v>
      </c>
      <c r="B14" s="43">
        <f t="shared" ref="B14:S14" si="8">IF(($Y$2+$Y$4+$Y$5+$Y$6+$Y$7)&gt;=1,350000*($Y$2+$Y$4+$Y$5+$Y$6+$Y$7+1)+210000,350000)</f>
        <v>350000</v>
      </c>
      <c r="C14" s="45">
        <f t="shared" si="8"/>
        <v>350000</v>
      </c>
      <c r="D14" s="52">
        <f t="shared" si="8"/>
        <v>350000</v>
      </c>
      <c r="E14" s="53">
        <f t="shared" si="8"/>
        <v>350000</v>
      </c>
      <c r="F14" s="52">
        <f t="shared" si="8"/>
        <v>350000</v>
      </c>
      <c r="G14" s="52">
        <f t="shared" si="8"/>
        <v>350000</v>
      </c>
      <c r="H14" s="52">
        <f t="shared" si="8"/>
        <v>350000</v>
      </c>
      <c r="I14" s="52">
        <f t="shared" si="8"/>
        <v>350000</v>
      </c>
      <c r="J14" s="52">
        <f t="shared" si="8"/>
        <v>350000</v>
      </c>
      <c r="K14" s="52">
        <f t="shared" si="8"/>
        <v>350000</v>
      </c>
      <c r="L14" s="52">
        <f t="shared" si="8"/>
        <v>350000</v>
      </c>
      <c r="M14" s="52">
        <f t="shared" si="8"/>
        <v>350000</v>
      </c>
      <c r="N14" s="52">
        <f t="shared" si="8"/>
        <v>350000</v>
      </c>
      <c r="O14" s="52">
        <f t="shared" si="8"/>
        <v>350000</v>
      </c>
      <c r="P14" s="52">
        <f t="shared" si="8"/>
        <v>350000</v>
      </c>
      <c r="Q14" s="52">
        <f t="shared" si="8"/>
        <v>350000</v>
      </c>
      <c r="R14" s="52">
        <f t="shared" si="8"/>
        <v>350000</v>
      </c>
      <c r="S14" s="52">
        <f t="shared" si="8"/>
        <v>350000</v>
      </c>
      <c r="T14" s="52"/>
      <c r="U14" s="52">
        <f t="shared" ref="U14:X14" si="9">IF(($Y$2+$Y$4+$Y$5+$Y$6+$Y$7)&gt;=1,350000*($Y$2+$Y$4+$Y$5+$Y$6+$Y$7+1)+210000,350000)</f>
        <v>350000</v>
      </c>
      <c r="V14" s="52">
        <f t="shared" si="9"/>
        <v>350000</v>
      </c>
      <c r="W14" s="54">
        <f t="shared" si="9"/>
        <v>350000</v>
      </c>
      <c r="X14" s="55">
        <f t="shared" si="9"/>
        <v>350000</v>
      </c>
      <c r="Y14" s="1"/>
      <c r="Z14" s="1"/>
      <c r="AA14" s="1"/>
      <c r="AB14" s="1"/>
      <c r="AC14" s="21">
        <v>0</v>
      </c>
      <c r="AD14" s="66">
        <v>550000</v>
      </c>
      <c r="AE14" s="21">
        <v>0</v>
      </c>
      <c r="AF14" s="66">
        <v>550000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" customHeight="1">
      <c r="A15" s="51" t="s">
        <v>27</v>
      </c>
      <c r="B15" s="58" t="str">
        <f t="shared" ref="B15:S15" si="10">IF(B11&gt;B14,"均等割課税","均等割非課税")</f>
        <v>均等割課税</v>
      </c>
      <c r="C15" s="58" t="str">
        <f t="shared" si="10"/>
        <v>均等割課税</v>
      </c>
      <c r="D15" s="60" t="str">
        <f t="shared" si="10"/>
        <v>均等割非課税</v>
      </c>
      <c r="E15" s="61" t="str">
        <f t="shared" si="10"/>
        <v>均等割課税</v>
      </c>
      <c r="F15" s="60" t="str">
        <f t="shared" si="10"/>
        <v>均等割課税</v>
      </c>
      <c r="G15" s="60" t="str">
        <f t="shared" si="10"/>
        <v>均等割課税</v>
      </c>
      <c r="H15" s="60" t="str">
        <f t="shared" si="10"/>
        <v>均等割課税</v>
      </c>
      <c r="I15" s="60" t="str">
        <f t="shared" si="10"/>
        <v>均等割課税</v>
      </c>
      <c r="J15" s="60" t="str">
        <f t="shared" si="10"/>
        <v>均等割課税</v>
      </c>
      <c r="K15" s="60" t="str">
        <f t="shared" si="10"/>
        <v>均等割課税</v>
      </c>
      <c r="L15" s="60" t="str">
        <f t="shared" si="10"/>
        <v>均等割課税</v>
      </c>
      <c r="M15" s="60" t="str">
        <f t="shared" si="10"/>
        <v>均等割課税</v>
      </c>
      <c r="N15" s="60" t="str">
        <f t="shared" si="10"/>
        <v>均等割課税</v>
      </c>
      <c r="O15" s="60" t="str">
        <f t="shared" si="10"/>
        <v>均等割課税</v>
      </c>
      <c r="P15" s="60" t="str">
        <f t="shared" si="10"/>
        <v>均等割課税</v>
      </c>
      <c r="Q15" s="60" t="str">
        <f t="shared" si="10"/>
        <v>均等割課税</v>
      </c>
      <c r="R15" s="60" t="str">
        <f t="shared" si="10"/>
        <v>均等割課税</v>
      </c>
      <c r="S15" s="60" t="str">
        <f t="shared" si="10"/>
        <v>均等割課税</v>
      </c>
      <c r="T15" s="60"/>
      <c r="U15" s="60" t="str">
        <f t="shared" ref="U15:X15" si="11">IF(U11&gt;U14,"均等割課税","均等割非課税")</f>
        <v>均等割非課税</v>
      </c>
      <c r="V15" s="60" t="str">
        <f t="shared" si="11"/>
        <v>均等割課税</v>
      </c>
      <c r="W15" s="62" t="str">
        <f t="shared" si="11"/>
        <v>均等割課税</v>
      </c>
      <c r="X15" s="63" t="str">
        <f t="shared" si="11"/>
        <v>均等割非課税</v>
      </c>
      <c r="Y15" s="1"/>
      <c r="Z15" s="1"/>
      <c r="AA15" s="1"/>
      <c r="AB15" s="1"/>
      <c r="AC15" s="21">
        <v>1625001</v>
      </c>
      <c r="AD15" s="66">
        <v>-100000</v>
      </c>
      <c r="AE15" s="21">
        <v>1625001</v>
      </c>
      <c r="AF15" s="66">
        <v>-100000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5" customHeight="1">
      <c r="A16" s="42" t="s">
        <v>28</v>
      </c>
      <c r="B16" s="58" t="str">
        <f t="shared" ref="B16:S16" si="12">IF(AND($B$3&gt;=33,(AND(OR($Y$4&gt;0,$Y$5&gt;0,$Y$6&gt;0))),B9&gt;8500000),"有","無")</f>
        <v>無</v>
      </c>
      <c r="C16" s="58" t="str">
        <f t="shared" si="12"/>
        <v>無</v>
      </c>
      <c r="D16" s="67" t="str">
        <f t="shared" si="12"/>
        <v>無</v>
      </c>
      <c r="E16" s="68" t="str">
        <f t="shared" si="12"/>
        <v>無</v>
      </c>
      <c r="F16" s="67" t="str">
        <f t="shared" si="12"/>
        <v>無</v>
      </c>
      <c r="G16" s="67" t="str">
        <f t="shared" si="12"/>
        <v>無</v>
      </c>
      <c r="H16" s="67" t="str">
        <f t="shared" si="12"/>
        <v>無</v>
      </c>
      <c r="I16" s="67" t="str">
        <f t="shared" si="12"/>
        <v>無</v>
      </c>
      <c r="J16" s="67" t="str">
        <f t="shared" si="12"/>
        <v>無</v>
      </c>
      <c r="K16" s="67" t="str">
        <f t="shared" si="12"/>
        <v>無</v>
      </c>
      <c r="L16" s="67" t="str">
        <f t="shared" si="12"/>
        <v>無</v>
      </c>
      <c r="M16" s="67" t="str">
        <f t="shared" si="12"/>
        <v>無</v>
      </c>
      <c r="N16" s="67" t="str">
        <f t="shared" si="12"/>
        <v>無</v>
      </c>
      <c r="O16" s="67" t="str">
        <f t="shared" si="12"/>
        <v>無</v>
      </c>
      <c r="P16" s="67" t="str">
        <f t="shared" si="12"/>
        <v>無</v>
      </c>
      <c r="Q16" s="67" t="str">
        <f t="shared" si="12"/>
        <v>無</v>
      </c>
      <c r="R16" s="67" t="str">
        <f t="shared" si="12"/>
        <v>無</v>
      </c>
      <c r="S16" s="67" t="str">
        <f t="shared" si="12"/>
        <v>無</v>
      </c>
      <c r="T16" s="67"/>
      <c r="U16" s="67" t="str">
        <f t="shared" ref="U16:W16" si="13">IF(AND($B$3&gt;=33,(AND(OR($Y$4&gt;0,$Y$5&gt;0,$Y$6&gt;0))),U9&gt;8500000),"有","無")</f>
        <v>無</v>
      </c>
      <c r="V16" s="67" t="str">
        <f t="shared" si="13"/>
        <v>無</v>
      </c>
      <c r="W16" s="69" t="str">
        <f t="shared" si="13"/>
        <v>無</v>
      </c>
      <c r="X16" s="70"/>
      <c r="Y16" s="1"/>
      <c r="Z16" s="1"/>
      <c r="AA16" s="1"/>
      <c r="AB16" s="1"/>
      <c r="AC16" s="21"/>
      <c r="AD16" s="66"/>
      <c r="AE16" s="21"/>
      <c r="AF16" s="6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5" customHeight="1">
      <c r="A17" s="42"/>
      <c r="B17" s="58">
        <f t="shared" ref="B17:C17" si="14">IF(B16="有",IF(B9&lt;10000000,0.1*(B9-8500000),150000),0)</f>
        <v>0</v>
      </c>
      <c r="C17" s="58">
        <f t="shared" si="14"/>
        <v>0</v>
      </c>
      <c r="D17" s="67"/>
      <c r="E17" s="68">
        <f t="shared" ref="E17:S17" si="15">IF(E16="有",IF(E9&lt;10000000,0.1*(E9-8500000),150000),0)</f>
        <v>0</v>
      </c>
      <c r="F17" s="67">
        <f t="shared" si="15"/>
        <v>0</v>
      </c>
      <c r="G17" s="67">
        <f t="shared" si="15"/>
        <v>0</v>
      </c>
      <c r="H17" s="67">
        <f t="shared" si="15"/>
        <v>0</v>
      </c>
      <c r="I17" s="67">
        <f t="shared" si="15"/>
        <v>0</v>
      </c>
      <c r="J17" s="67">
        <f t="shared" si="15"/>
        <v>0</v>
      </c>
      <c r="K17" s="67">
        <f t="shared" si="15"/>
        <v>0</v>
      </c>
      <c r="L17" s="67">
        <f t="shared" si="15"/>
        <v>0</v>
      </c>
      <c r="M17" s="67">
        <f t="shared" si="15"/>
        <v>0</v>
      </c>
      <c r="N17" s="67">
        <f t="shared" si="15"/>
        <v>0</v>
      </c>
      <c r="O17" s="67">
        <f t="shared" si="15"/>
        <v>0</v>
      </c>
      <c r="P17" s="67">
        <f t="shared" si="15"/>
        <v>0</v>
      </c>
      <c r="Q17" s="67">
        <f t="shared" si="15"/>
        <v>0</v>
      </c>
      <c r="R17" s="67">
        <f t="shared" si="15"/>
        <v>0</v>
      </c>
      <c r="S17" s="67">
        <f t="shared" si="15"/>
        <v>0</v>
      </c>
      <c r="T17" s="67"/>
      <c r="U17" s="67">
        <f t="shared" ref="U17:W17" si="16">IF(U16="有",IF(U9&lt;10000000,0.1*(U9-8500000),150000),0)</f>
        <v>0</v>
      </c>
      <c r="V17" s="67">
        <f t="shared" si="16"/>
        <v>0</v>
      </c>
      <c r="W17" s="69">
        <f t="shared" si="16"/>
        <v>0</v>
      </c>
      <c r="X17" s="70"/>
      <c r="Y17" s="1"/>
      <c r="Z17" s="1"/>
      <c r="AA17" s="1"/>
      <c r="AB17" s="1"/>
      <c r="AC17" s="21"/>
      <c r="AD17" s="66"/>
      <c r="AE17" s="21"/>
      <c r="AF17" s="6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5" customHeight="1">
      <c r="A18" s="42" t="s">
        <v>29</v>
      </c>
      <c r="B18" s="43">
        <f t="shared" ref="B18:C18" si="17">B11-B17</f>
        <v>5200000</v>
      </c>
      <c r="C18" s="43">
        <f t="shared" si="17"/>
        <v>5200000</v>
      </c>
      <c r="D18" s="1"/>
      <c r="E18" s="46">
        <f t="shared" ref="E18:S18" si="18">E11-E17</f>
        <v>9050000</v>
      </c>
      <c r="F18" s="1">
        <f t="shared" si="18"/>
        <v>10050000</v>
      </c>
      <c r="G18" s="1">
        <f t="shared" si="18"/>
        <v>11050000</v>
      </c>
      <c r="H18" s="1">
        <f t="shared" si="18"/>
        <v>12050000</v>
      </c>
      <c r="I18" s="1">
        <f t="shared" si="18"/>
        <v>13050000</v>
      </c>
      <c r="J18" s="1">
        <f t="shared" si="18"/>
        <v>14050000</v>
      </c>
      <c r="K18" s="1">
        <f t="shared" si="18"/>
        <v>15050000</v>
      </c>
      <c r="L18" s="1">
        <f t="shared" si="18"/>
        <v>16050000</v>
      </c>
      <c r="M18" s="1">
        <f t="shared" si="18"/>
        <v>17050000</v>
      </c>
      <c r="N18" s="1">
        <f t="shared" si="18"/>
        <v>18050000</v>
      </c>
      <c r="O18" s="1">
        <f t="shared" si="18"/>
        <v>19050000</v>
      </c>
      <c r="P18" s="1">
        <f t="shared" si="18"/>
        <v>20050000</v>
      </c>
      <c r="Q18" s="1">
        <f t="shared" si="18"/>
        <v>21050000</v>
      </c>
      <c r="R18" s="1">
        <f t="shared" si="18"/>
        <v>22050000</v>
      </c>
      <c r="S18" s="1">
        <f t="shared" si="18"/>
        <v>23050000</v>
      </c>
      <c r="T18" s="1"/>
      <c r="U18" s="1">
        <f t="shared" ref="U18:W18" si="19">U11-U17</f>
        <v>-550000</v>
      </c>
      <c r="V18" s="1">
        <f t="shared" si="19"/>
        <v>3160000</v>
      </c>
      <c r="W18" s="47">
        <f t="shared" si="19"/>
        <v>4360000</v>
      </c>
      <c r="X18" s="48"/>
      <c r="Y18" s="1"/>
      <c r="Z18" s="1"/>
      <c r="AA18" s="1"/>
      <c r="AB18" s="1"/>
      <c r="AC18" s="21">
        <v>1800001</v>
      </c>
      <c r="AD18" s="66">
        <v>80000</v>
      </c>
      <c r="AE18" s="21">
        <v>1800001</v>
      </c>
      <c r="AF18" s="66">
        <v>80000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5" customHeight="1">
      <c r="A19" s="42" t="s">
        <v>30</v>
      </c>
      <c r="B19" s="43">
        <f t="shared" ref="B19:S19" si="20">B9*VLOOKUP(B9,$AC$25:$AD$27,2)+VLOOKUP(B9,$AC$29:$AD$31,2)</f>
        <v>1050000</v>
      </c>
      <c r="C19" s="45">
        <f t="shared" si="20"/>
        <v>1050000</v>
      </c>
      <c r="D19" s="1">
        <f t="shared" si="20"/>
        <v>0</v>
      </c>
      <c r="E19" s="46">
        <f t="shared" si="20"/>
        <v>1410000</v>
      </c>
      <c r="F19" s="1">
        <f t="shared" si="20"/>
        <v>1440000</v>
      </c>
      <c r="G19" s="1">
        <f t="shared" si="20"/>
        <v>1470000</v>
      </c>
      <c r="H19" s="1">
        <f t="shared" si="20"/>
        <v>1500000</v>
      </c>
      <c r="I19" s="1">
        <f t="shared" si="20"/>
        <v>1530000</v>
      </c>
      <c r="J19" s="1">
        <f t="shared" si="20"/>
        <v>1560000</v>
      </c>
      <c r="K19" s="1">
        <f t="shared" si="20"/>
        <v>1590000</v>
      </c>
      <c r="L19" s="1">
        <f t="shared" si="20"/>
        <v>1620000</v>
      </c>
      <c r="M19" s="1">
        <f t="shared" si="20"/>
        <v>1620000</v>
      </c>
      <c r="N19" s="1">
        <f t="shared" si="20"/>
        <v>1620000</v>
      </c>
      <c r="O19" s="1">
        <f t="shared" si="20"/>
        <v>1620000</v>
      </c>
      <c r="P19" s="1">
        <f t="shared" si="20"/>
        <v>1620000</v>
      </c>
      <c r="Q19" s="1">
        <f t="shared" si="20"/>
        <v>1620000</v>
      </c>
      <c r="R19" s="1">
        <f t="shared" si="20"/>
        <v>1620000</v>
      </c>
      <c r="S19" s="1">
        <f t="shared" si="20"/>
        <v>1620000</v>
      </c>
      <c r="T19" s="1"/>
      <c r="U19" s="1">
        <f t="shared" ref="U19:X19" si="21">U9*VLOOKUP(U9,$AC$25:$AD$27,2)+VLOOKUP(U9,$AC$29:$AD$31,2)</f>
        <v>0</v>
      </c>
      <c r="V19" s="1">
        <f t="shared" si="21"/>
        <v>675000</v>
      </c>
      <c r="W19" s="47">
        <f t="shared" si="21"/>
        <v>900000</v>
      </c>
      <c r="X19" s="48">
        <f t="shared" si="21"/>
        <v>0</v>
      </c>
      <c r="Y19" s="1"/>
      <c r="Z19" s="1"/>
      <c r="AA19" s="1"/>
      <c r="AB19" s="1"/>
      <c r="AC19" s="21">
        <v>3600001</v>
      </c>
      <c r="AD19" s="66">
        <v>440000</v>
      </c>
      <c r="AE19" s="21">
        <v>3600001</v>
      </c>
      <c r="AF19" s="66">
        <v>440000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5" customHeight="1">
      <c r="A20" s="71" t="s">
        <v>31</v>
      </c>
      <c r="B20" s="72">
        <f t="shared" ref="B20:S20" si="22">IF($Y$2=1,IF($B$3&gt;=31,IF(AND($Y$2=1),IF($B$3&gt;=31,IF(B11&gt;9000000,IF(B11&gt;9500000,IF(B11&gt;10000000,0,$AD$34*1/3),$AD$34*2/3),$AD$34),$AD$34),0),$AD$34),0)</f>
        <v>0</v>
      </c>
      <c r="C20" s="72">
        <f t="shared" si="22"/>
        <v>0</v>
      </c>
      <c r="D20" s="73">
        <f t="shared" si="22"/>
        <v>0</v>
      </c>
      <c r="E20" s="72">
        <f t="shared" si="22"/>
        <v>0</v>
      </c>
      <c r="F20" s="72">
        <f t="shared" si="22"/>
        <v>0</v>
      </c>
      <c r="G20" s="72">
        <f t="shared" si="22"/>
        <v>0</v>
      </c>
      <c r="H20" s="72">
        <f t="shared" si="22"/>
        <v>0</v>
      </c>
      <c r="I20" s="72">
        <f t="shared" si="22"/>
        <v>0</v>
      </c>
      <c r="J20" s="72">
        <f t="shared" si="22"/>
        <v>0</v>
      </c>
      <c r="K20" s="72">
        <f t="shared" si="22"/>
        <v>0</v>
      </c>
      <c r="L20" s="72">
        <f t="shared" si="22"/>
        <v>0</v>
      </c>
      <c r="M20" s="72">
        <f t="shared" si="22"/>
        <v>0</v>
      </c>
      <c r="N20" s="72">
        <f t="shared" si="22"/>
        <v>0</v>
      </c>
      <c r="O20" s="72">
        <f t="shared" si="22"/>
        <v>0</v>
      </c>
      <c r="P20" s="72">
        <f t="shared" si="22"/>
        <v>0</v>
      </c>
      <c r="Q20" s="72">
        <f t="shared" si="22"/>
        <v>0</v>
      </c>
      <c r="R20" s="72">
        <f t="shared" si="22"/>
        <v>0</v>
      </c>
      <c r="S20" s="72">
        <f t="shared" si="22"/>
        <v>0</v>
      </c>
      <c r="T20" s="1"/>
      <c r="U20" s="72">
        <f t="shared" ref="U20:W20" si="23">IF($Y$2=1,IF($B$3&gt;=30,IF(AND($Y$2=1),IF($B$3&gt;=30,IF(U11&gt;9000000,IF(U11&gt;9500000,IF(U11&gt;10000000,0,$AD$34*1/3),$AD$34*2/3),$AD$34),$AD$34),0),$AD$34),0)</f>
        <v>0</v>
      </c>
      <c r="V20" s="72">
        <f t="shared" si="23"/>
        <v>0</v>
      </c>
      <c r="W20" s="73">
        <f t="shared" si="23"/>
        <v>0</v>
      </c>
      <c r="X20" s="48">
        <f>IF($Y$2=1,$AD$34,0)</f>
        <v>0</v>
      </c>
      <c r="Y20" s="1"/>
      <c r="Z20" s="1"/>
      <c r="AA20" s="1"/>
      <c r="AB20" s="1"/>
      <c r="AC20" s="21">
        <v>6600001</v>
      </c>
      <c r="AD20" s="66">
        <v>1100000</v>
      </c>
      <c r="AE20" s="21">
        <v>6600001</v>
      </c>
      <c r="AF20" s="66">
        <v>1100000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" customHeight="1">
      <c r="A21" s="42" t="s">
        <v>32</v>
      </c>
      <c r="B21" s="43">
        <f t="shared" ref="B21:D21" si="24">IF(B11&lt;10000000,IF($Y$2=1,$AD$35,0),0)</f>
        <v>0</v>
      </c>
      <c r="C21" s="45">
        <f t="shared" si="24"/>
        <v>0</v>
      </c>
      <c r="D21" s="1">
        <f t="shared" si="24"/>
        <v>0</v>
      </c>
      <c r="E21" s="46"/>
      <c r="F21" s="1">
        <f t="shared" ref="F21:S21" si="25">IF(F11&lt;10000000,IF($Y$2=1,$AD$35,0),0)</f>
        <v>0</v>
      </c>
      <c r="G21" s="1">
        <f t="shared" si="25"/>
        <v>0</v>
      </c>
      <c r="H21" s="1">
        <f t="shared" si="25"/>
        <v>0</v>
      </c>
      <c r="I21" s="1">
        <f t="shared" si="25"/>
        <v>0</v>
      </c>
      <c r="J21" s="1">
        <f t="shared" si="25"/>
        <v>0</v>
      </c>
      <c r="K21" s="1">
        <f t="shared" si="25"/>
        <v>0</v>
      </c>
      <c r="L21" s="1">
        <f t="shared" si="25"/>
        <v>0</v>
      </c>
      <c r="M21" s="1">
        <f t="shared" si="25"/>
        <v>0</v>
      </c>
      <c r="N21" s="1">
        <f t="shared" si="25"/>
        <v>0</v>
      </c>
      <c r="O21" s="1">
        <f t="shared" si="25"/>
        <v>0</v>
      </c>
      <c r="P21" s="1">
        <f t="shared" si="25"/>
        <v>0</v>
      </c>
      <c r="Q21" s="1">
        <f t="shared" si="25"/>
        <v>0</v>
      </c>
      <c r="R21" s="1">
        <f t="shared" si="25"/>
        <v>0</v>
      </c>
      <c r="S21" s="1">
        <f t="shared" si="25"/>
        <v>0</v>
      </c>
      <c r="T21" s="1"/>
      <c r="U21" s="1">
        <f t="shared" ref="U21:V21" si="26">IF(U11&lt;10000000,IF($Y$2=1,$AD$35,0),0)</f>
        <v>0</v>
      </c>
      <c r="V21" s="1">
        <f t="shared" si="26"/>
        <v>0</v>
      </c>
      <c r="W21" s="47">
        <f>IF(W11&lt;10000000,IF($Y$2=1,$AD$61,0),0)</f>
        <v>0</v>
      </c>
      <c r="X21" s="48">
        <f>IF(X11&lt;10000000,IF($Y$2=1,$AD$35,0),0)</f>
        <v>0</v>
      </c>
      <c r="Y21" s="1"/>
      <c r="Z21" s="1"/>
      <c r="AA21" s="1"/>
      <c r="AB21" s="1"/>
      <c r="AC21" s="74"/>
      <c r="AD21" s="75"/>
      <c r="AE21" s="74"/>
      <c r="AF21" s="7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5" customHeight="1">
      <c r="A22" s="42" t="s">
        <v>33</v>
      </c>
      <c r="B22" s="43">
        <f t="shared" ref="B22:S22" si="27">IF($Y$5&gt;0,$Y$5*$AD$36,0)+IF($Y$6&gt;0,$Y$6*$AD$37)+IF($Y$7&gt;0,$Y$7*$AD$36,0)</f>
        <v>0</v>
      </c>
      <c r="C22" s="45">
        <f t="shared" si="27"/>
        <v>0</v>
      </c>
      <c r="D22" s="1">
        <f t="shared" si="27"/>
        <v>0</v>
      </c>
      <c r="E22" s="46">
        <f t="shared" si="27"/>
        <v>0</v>
      </c>
      <c r="F22" s="1">
        <f t="shared" si="27"/>
        <v>0</v>
      </c>
      <c r="G22" s="1">
        <f t="shared" si="27"/>
        <v>0</v>
      </c>
      <c r="H22" s="1">
        <f t="shared" si="27"/>
        <v>0</v>
      </c>
      <c r="I22" s="1">
        <f t="shared" si="27"/>
        <v>0</v>
      </c>
      <c r="J22" s="1">
        <f t="shared" si="27"/>
        <v>0</v>
      </c>
      <c r="K22" s="1">
        <f t="shared" si="27"/>
        <v>0</v>
      </c>
      <c r="L22" s="1">
        <f t="shared" si="27"/>
        <v>0</v>
      </c>
      <c r="M22" s="1">
        <f t="shared" si="27"/>
        <v>0</v>
      </c>
      <c r="N22" s="1">
        <f t="shared" si="27"/>
        <v>0</v>
      </c>
      <c r="O22" s="1">
        <f t="shared" si="27"/>
        <v>0</v>
      </c>
      <c r="P22" s="1">
        <f t="shared" si="27"/>
        <v>0</v>
      </c>
      <c r="Q22" s="1">
        <f t="shared" si="27"/>
        <v>0</v>
      </c>
      <c r="R22" s="1">
        <f t="shared" si="27"/>
        <v>0</v>
      </c>
      <c r="S22" s="1">
        <f t="shared" si="27"/>
        <v>0</v>
      </c>
      <c r="T22" s="1"/>
      <c r="U22" s="1">
        <f t="shared" ref="U22:X22" si="28">IF($Y$5&gt;0,$Y$5*$AD$36,0)+IF($Y$6&gt;0,$Y$6*$AD$37)+IF($Y$7&gt;0,$Y$7*$AD$36,0)</f>
        <v>0</v>
      </c>
      <c r="V22" s="1">
        <f t="shared" si="28"/>
        <v>0</v>
      </c>
      <c r="W22" s="47">
        <f t="shared" si="28"/>
        <v>0</v>
      </c>
      <c r="X22" s="48">
        <f t="shared" si="28"/>
        <v>0</v>
      </c>
      <c r="Y22" s="1"/>
      <c r="Z22" s="1"/>
      <c r="AA22" s="1"/>
      <c r="AB22" s="1"/>
      <c r="AC22" s="56">
        <v>8500001</v>
      </c>
      <c r="AD22" s="76">
        <v>1950000</v>
      </c>
      <c r="AE22" s="56">
        <v>8500001</v>
      </c>
      <c r="AF22" s="76">
        <v>1950000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5" customHeight="1">
      <c r="A23" s="42" t="s">
        <v>34</v>
      </c>
      <c r="B23" s="43">
        <f t="shared" ref="B23:S23" si="29">$AD$33</f>
        <v>430000</v>
      </c>
      <c r="C23" s="45">
        <f t="shared" si="29"/>
        <v>430000</v>
      </c>
      <c r="D23" s="1">
        <f t="shared" si="29"/>
        <v>430000</v>
      </c>
      <c r="E23" s="46">
        <f t="shared" si="29"/>
        <v>430000</v>
      </c>
      <c r="F23" s="1">
        <f t="shared" si="29"/>
        <v>430000</v>
      </c>
      <c r="G23" s="1">
        <f t="shared" si="29"/>
        <v>430000</v>
      </c>
      <c r="H23" s="1">
        <f t="shared" si="29"/>
        <v>430000</v>
      </c>
      <c r="I23" s="1">
        <f t="shared" si="29"/>
        <v>430000</v>
      </c>
      <c r="J23" s="1">
        <f t="shared" si="29"/>
        <v>430000</v>
      </c>
      <c r="K23" s="1">
        <f t="shared" si="29"/>
        <v>430000</v>
      </c>
      <c r="L23" s="1">
        <f t="shared" si="29"/>
        <v>430000</v>
      </c>
      <c r="M23" s="1">
        <f t="shared" si="29"/>
        <v>430000</v>
      </c>
      <c r="N23" s="1">
        <f t="shared" si="29"/>
        <v>430000</v>
      </c>
      <c r="O23" s="1">
        <f t="shared" si="29"/>
        <v>430000</v>
      </c>
      <c r="P23" s="1">
        <f t="shared" si="29"/>
        <v>430000</v>
      </c>
      <c r="Q23" s="1">
        <f t="shared" si="29"/>
        <v>430000</v>
      </c>
      <c r="R23" s="1">
        <f t="shared" si="29"/>
        <v>430000</v>
      </c>
      <c r="S23" s="1">
        <f t="shared" si="29"/>
        <v>430000</v>
      </c>
      <c r="T23" s="1"/>
      <c r="U23" s="1">
        <f t="shared" ref="U23:V23" si="30">$AD$33</f>
        <v>430000</v>
      </c>
      <c r="V23" s="1">
        <f t="shared" si="30"/>
        <v>430000</v>
      </c>
      <c r="W23" s="47">
        <f>$AD$59</f>
        <v>430000</v>
      </c>
      <c r="X23" s="48">
        <f>$AD$33</f>
        <v>430000</v>
      </c>
      <c r="Y23" s="1"/>
      <c r="Z23" s="1"/>
      <c r="AA23" s="1"/>
      <c r="AB23" s="1"/>
      <c r="AC23" s="77" t="s">
        <v>35</v>
      </c>
      <c r="AD23" s="78"/>
      <c r="AE23" s="77" t="s">
        <v>35</v>
      </c>
      <c r="AF23" s="7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" customHeight="1">
      <c r="A24" s="79" t="s">
        <v>36</v>
      </c>
      <c r="B24" s="43">
        <f t="shared" ref="B24:S24" si="31">SUM(B19:B23)</f>
        <v>1480000</v>
      </c>
      <c r="C24" s="45">
        <f t="shared" si="31"/>
        <v>1480000</v>
      </c>
      <c r="D24" s="80">
        <f t="shared" si="31"/>
        <v>430000</v>
      </c>
      <c r="E24" s="81">
        <f t="shared" si="31"/>
        <v>1840000</v>
      </c>
      <c r="F24" s="80">
        <f t="shared" si="31"/>
        <v>1870000</v>
      </c>
      <c r="G24" s="80">
        <f t="shared" si="31"/>
        <v>1900000</v>
      </c>
      <c r="H24" s="80">
        <f t="shared" si="31"/>
        <v>1930000</v>
      </c>
      <c r="I24" s="80">
        <f t="shared" si="31"/>
        <v>1960000</v>
      </c>
      <c r="J24" s="80">
        <f t="shared" si="31"/>
        <v>1990000</v>
      </c>
      <c r="K24" s="80">
        <f t="shared" si="31"/>
        <v>2020000</v>
      </c>
      <c r="L24" s="80">
        <f t="shared" si="31"/>
        <v>2050000</v>
      </c>
      <c r="M24" s="80">
        <f t="shared" si="31"/>
        <v>2050000</v>
      </c>
      <c r="N24" s="80">
        <f t="shared" si="31"/>
        <v>2050000</v>
      </c>
      <c r="O24" s="80">
        <f t="shared" si="31"/>
        <v>2050000</v>
      </c>
      <c r="P24" s="80">
        <f t="shared" si="31"/>
        <v>2050000</v>
      </c>
      <c r="Q24" s="80">
        <f t="shared" si="31"/>
        <v>2050000</v>
      </c>
      <c r="R24" s="80">
        <f t="shared" si="31"/>
        <v>2050000</v>
      </c>
      <c r="S24" s="80">
        <f t="shared" si="31"/>
        <v>2050000</v>
      </c>
      <c r="T24" s="80"/>
      <c r="U24" s="80">
        <f t="shared" ref="U24:X24" si="32">SUM(U19:U23)</f>
        <v>430000</v>
      </c>
      <c r="V24" s="80">
        <f t="shared" si="32"/>
        <v>1105000</v>
      </c>
      <c r="W24" s="82">
        <f t="shared" si="32"/>
        <v>1330000</v>
      </c>
      <c r="X24" s="83">
        <f t="shared" si="32"/>
        <v>430000</v>
      </c>
      <c r="Y24" s="1"/>
      <c r="Z24" s="1"/>
      <c r="AA24" s="1"/>
      <c r="AB24" s="1"/>
      <c r="AC24" s="21" t="s">
        <v>15</v>
      </c>
      <c r="AD24" s="66"/>
      <c r="AE24" s="21" t="s">
        <v>15</v>
      </c>
      <c r="AF24" s="6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5" customHeight="1">
      <c r="A25" s="42"/>
      <c r="B25" s="43"/>
      <c r="C25" s="45"/>
      <c r="D25" s="1"/>
      <c r="E25" s="4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7"/>
      <c r="X25" s="48"/>
      <c r="Y25" s="1"/>
      <c r="Z25" s="1"/>
      <c r="AA25" s="1"/>
      <c r="AB25" s="1"/>
      <c r="AC25" s="21">
        <v>0</v>
      </c>
      <c r="AD25" s="26">
        <v>0.15</v>
      </c>
      <c r="AE25" s="21">
        <v>0</v>
      </c>
      <c r="AF25" s="26">
        <v>0.15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" customHeight="1">
      <c r="A26" s="42" t="s">
        <v>37</v>
      </c>
      <c r="B26" s="43">
        <f t="shared" ref="B26:D26" si="33">ROUNDDOWN(IF(B11-B24&lt;0,0,B11-B24),-3)</f>
        <v>3720000</v>
      </c>
      <c r="C26" s="45">
        <f t="shared" si="33"/>
        <v>3720000</v>
      </c>
      <c r="D26" s="84">
        <f t="shared" si="33"/>
        <v>0</v>
      </c>
      <c r="E26" s="1">
        <f t="shared" ref="E26:S26" si="34">ROUNDDOWN(IF(E18-E24&lt;0,0,E18-E24),-3)</f>
        <v>7210000</v>
      </c>
      <c r="F26" s="1">
        <f t="shared" si="34"/>
        <v>8180000</v>
      </c>
      <c r="G26" s="1">
        <f t="shared" si="34"/>
        <v>9150000</v>
      </c>
      <c r="H26" s="1">
        <f t="shared" si="34"/>
        <v>10120000</v>
      </c>
      <c r="I26" s="1">
        <f t="shared" si="34"/>
        <v>11090000</v>
      </c>
      <c r="J26" s="1">
        <f t="shared" si="34"/>
        <v>12060000</v>
      </c>
      <c r="K26" s="1">
        <f t="shared" si="34"/>
        <v>13030000</v>
      </c>
      <c r="L26" s="1">
        <f t="shared" si="34"/>
        <v>14000000</v>
      </c>
      <c r="M26" s="1">
        <f t="shared" si="34"/>
        <v>15000000</v>
      </c>
      <c r="N26" s="1">
        <f t="shared" si="34"/>
        <v>16000000</v>
      </c>
      <c r="O26" s="1">
        <f t="shared" si="34"/>
        <v>17000000</v>
      </c>
      <c r="P26" s="1">
        <f t="shared" si="34"/>
        <v>18000000</v>
      </c>
      <c r="Q26" s="1">
        <f t="shared" si="34"/>
        <v>19000000</v>
      </c>
      <c r="R26" s="1">
        <f t="shared" si="34"/>
        <v>20000000</v>
      </c>
      <c r="S26" s="1">
        <f t="shared" si="34"/>
        <v>21000000</v>
      </c>
      <c r="T26" s="1"/>
      <c r="U26" s="1">
        <f t="shared" ref="U26:V26" si="35">ROUNDDOWN(IF(U11-U24&lt;0,0,U11-U24),-3)</f>
        <v>0</v>
      </c>
      <c r="V26" s="1">
        <f t="shared" si="35"/>
        <v>2055000</v>
      </c>
      <c r="W26" s="47">
        <f>ROUNDDOWN(IF(W18-W24&lt;0,0,W18-W24),-3)</f>
        <v>3030000</v>
      </c>
      <c r="X26" s="48">
        <f>ROUNDDOWN(IF(X11-X24&lt;0,0,X11-X24),-3)</f>
        <v>0</v>
      </c>
      <c r="Y26" s="1"/>
      <c r="Z26" s="1"/>
      <c r="AA26" s="1"/>
      <c r="AB26" s="1"/>
      <c r="AC26" s="21">
        <v>9000001</v>
      </c>
      <c r="AD26" s="26">
        <v>0.03</v>
      </c>
      <c r="AE26" s="21">
        <v>9000001</v>
      </c>
      <c r="AF26" s="26">
        <v>0.03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" customHeight="1">
      <c r="A27" s="42" t="s">
        <v>38</v>
      </c>
      <c r="B27" s="43">
        <f t="shared" ref="B27:S27" si="36">ROUNDDOWN(B26*VLOOKUP(B26,$AA$40:$AB$43,2)-VLOOKUP(B26,$AC$50:$AD$53,2),-2)</f>
        <v>223200</v>
      </c>
      <c r="C27" s="43">
        <f t="shared" si="36"/>
        <v>223200</v>
      </c>
      <c r="D27" s="85">
        <f t="shared" si="36"/>
        <v>0</v>
      </c>
      <c r="E27" s="86">
        <f t="shared" si="36"/>
        <v>432600</v>
      </c>
      <c r="F27" s="85">
        <f t="shared" si="36"/>
        <v>490800</v>
      </c>
      <c r="G27" s="85">
        <f t="shared" si="36"/>
        <v>549000</v>
      </c>
      <c r="H27" s="85">
        <f t="shared" si="36"/>
        <v>607200</v>
      </c>
      <c r="I27" s="85">
        <f t="shared" si="36"/>
        <v>665400</v>
      </c>
      <c r="J27" s="85">
        <f t="shared" si="36"/>
        <v>723600</v>
      </c>
      <c r="K27" s="85">
        <f t="shared" si="36"/>
        <v>781800</v>
      </c>
      <c r="L27" s="85">
        <f t="shared" si="36"/>
        <v>840000</v>
      </c>
      <c r="M27" s="85">
        <f t="shared" si="36"/>
        <v>900000</v>
      </c>
      <c r="N27" s="85">
        <f t="shared" si="36"/>
        <v>960000</v>
      </c>
      <c r="O27" s="85">
        <f t="shared" si="36"/>
        <v>1020000</v>
      </c>
      <c r="P27" s="85">
        <f t="shared" si="36"/>
        <v>1080000</v>
      </c>
      <c r="Q27" s="85">
        <f t="shared" si="36"/>
        <v>1140000</v>
      </c>
      <c r="R27" s="85">
        <f t="shared" si="36"/>
        <v>1200000</v>
      </c>
      <c r="S27" s="85">
        <f t="shared" si="36"/>
        <v>1260000</v>
      </c>
      <c r="T27" s="85"/>
      <c r="U27" s="85">
        <f t="shared" ref="U27:X27" si="37">ROUNDDOWN(U26*VLOOKUP(U26,$AA$40:$AB$43,2)-VLOOKUP(U26,$AC$50:$AD$53,2),-2)</f>
        <v>0</v>
      </c>
      <c r="V27" s="85">
        <f t="shared" si="37"/>
        <v>123300</v>
      </c>
      <c r="W27" s="87">
        <f t="shared" si="37"/>
        <v>181800</v>
      </c>
      <c r="X27" s="88">
        <f t="shared" si="37"/>
        <v>0</v>
      </c>
      <c r="Y27" s="1"/>
      <c r="Z27" s="1"/>
      <c r="AA27" s="1"/>
      <c r="AB27" s="1"/>
      <c r="AC27" s="49">
        <v>18000001</v>
      </c>
      <c r="AD27" s="50">
        <v>0</v>
      </c>
      <c r="AE27" s="49">
        <v>18000001</v>
      </c>
      <c r="AF27" s="50"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5" customHeight="1">
      <c r="A28" s="42" t="s">
        <v>39</v>
      </c>
      <c r="B28" s="43">
        <f t="shared" ref="B28:S28" si="38">ROUNDDOWN(B26*VLOOKUP(B26,$AC$40:$AD$43,2)-VLOOKUP(B26,$AC$50:$AD$53,2),-2)</f>
        <v>148800</v>
      </c>
      <c r="C28" s="43">
        <f t="shared" si="38"/>
        <v>148800</v>
      </c>
      <c r="D28" s="87">
        <f t="shared" si="38"/>
        <v>0</v>
      </c>
      <c r="E28" s="85">
        <f t="shared" si="38"/>
        <v>288400</v>
      </c>
      <c r="F28" s="85">
        <f t="shared" si="38"/>
        <v>327200</v>
      </c>
      <c r="G28" s="85">
        <f t="shared" si="38"/>
        <v>366000</v>
      </c>
      <c r="H28" s="85">
        <f t="shared" si="38"/>
        <v>404800</v>
      </c>
      <c r="I28" s="85">
        <f t="shared" si="38"/>
        <v>443600</v>
      </c>
      <c r="J28" s="85">
        <f t="shared" si="38"/>
        <v>482400</v>
      </c>
      <c r="K28" s="85">
        <f t="shared" si="38"/>
        <v>521200</v>
      </c>
      <c r="L28" s="85">
        <f t="shared" si="38"/>
        <v>560000</v>
      </c>
      <c r="M28" s="85">
        <f t="shared" si="38"/>
        <v>600000</v>
      </c>
      <c r="N28" s="85">
        <f t="shared" si="38"/>
        <v>640000</v>
      </c>
      <c r="O28" s="85">
        <f t="shared" si="38"/>
        <v>680000</v>
      </c>
      <c r="P28" s="85">
        <f t="shared" si="38"/>
        <v>720000</v>
      </c>
      <c r="Q28" s="85">
        <f t="shared" si="38"/>
        <v>760000</v>
      </c>
      <c r="R28" s="85">
        <f t="shared" si="38"/>
        <v>800000</v>
      </c>
      <c r="S28" s="85">
        <f t="shared" si="38"/>
        <v>840000</v>
      </c>
      <c r="T28" s="85"/>
      <c r="U28" s="85">
        <f t="shared" ref="U28:X28" si="39">ROUNDDOWN(U26*VLOOKUP(U26,$AC$40:$AD$43,2)-VLOOKUP(U26,$AC$50:$AD$53,2),-2)</f>
        <v>0</v>
      </c>
      <c r="V28" s="85">
        <f t="shared" si="39"/>
        <v>82200</v>
      </c>
      <c r="W28" s="87">
        <f t="shared" si="39"/>
        <v>121200</v>
      </c>
      <c r="X28" s="88">
        <f t="shared" si="39"/>
        <v>0</v>
      </c>
      <c r="Y28" s="1"/>
      <c r="Z28" s="1"/>
      <c r="AA28" s="1"/>
      <c r="AB28" s="1"/>
      <c r="AC28" s="21" t="s">
        <v>25</v>
      </c>
      <c r="AD28" s="66"/>
      <c r="AE28" s="21" t="s">
        <v>15</v>
      </c>
      <c r="AF28" s="6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" customHeight="1">
      <c r="A29" s="71" t="s">
        <v>40</v>
      </c>
      <c r="B29" s="89">
        <f t="shared" ref="B29:S29" si="40">-(IF(($Y$5+$Y$7)&gt;0,($Y$5+$Y$7)*$AD$62,0)+IF($Y$6&gt;0,$Y$6*$AD$63)+$AD$59)+(IF(($Y$5+$Y$7)&gt;0,($Y$5+$Y$7)*$AF$62,0)+IF($Y$6&gt;0,$Y$6*$AF$63)+$AF$59)-(IF(AND($Y$2=1),B20,0))+(IF(AND($Y$2=1),B64,0))</f>
        <v>50000</v>
      </c>
      <c r="C29" s="89">
        <f t="shared" si="40"/>
        <v>50000</v>
      </c>
      <c r="D29" s="90">
        <f t="shared" si="40"/>
        <v>50000</v>
      </c>
      <c r="E29" s="91">
        <f t="shared" si="40"/>
        <v>50000</v>
      </c>
      <c r="F29" s="91">
        <f t="shared" si="40"/>
        <v>50000</v>
      </c>
      <c r="G29" s="91">
        <f t="shared" si="40"/>
        <v>50000</v>
      </c>
      <c r="H29" s="91">
        <f t="shared" si="40"/>
        <v>50000</v>
      </c>
      <c r="I29" s="91">
        <f t="shared" si="40"/>
        <v>50000</v>
      </c>
      <c r="J29" s="91">
        <f t="shared" si="40"/>
        <v>50000</v>
      </c>
      <c r="K29" s="91">
        <f t="shared" si="40"/>
        <v>50000</v>
      </c>
      <c r="L29" s="91">
        <f t="shared" si="40"/>
        <v>50000</v>
      </c>
      <c r="M29" s="91">
        <f t="shared" si="40"/>
        <v>50000</v>
      </c>
      <c r="N29" s="91">
        <f t="shared" si="40"/>
        <v>50000</v>
      </c>
      <c r="O29" s="91">
        <f t="shared" si="40"/>
        <v>50000</v>
      </c>
      <c r="P29" s="91">
        <f t="shared" si="40"/>
        <v>50000</v>
      </c>
      <c r="Q29" s="91">
        <f t="shared" si="40"/>
        <v>50000</v>
      </c>
      <c r="R29" s="91">
        <f t="shared" si="40"/>
        <v>50000</v>
      </c>
      <c r="S29" s="91">
        <f t="shared" si="40"/>
        <v>50000</v>
      </c>
      <c r="T29" s="91"/>
      <c r="U29" s="91">
        <f t="shared" ref="U29:X29" si="41">-(IF(($Y$5+$Y$7)&gt;0,($Y$5+$Y$7)*$AD$62,0)+IF($Y$6&gt;0,$Y$6*$AD$63)+$AD$59)+(IF(($Y$5+$Y$7)&gt;0,($Y$5+$Y$7)*$AF$62,0)+IF($Y$6&gt;0,$Y$6*$AF$63)+$AF$59)-(IF(AND($Y$2=1),U20,0))+(IF(AND($Y$2=1),U64,0))</f>
        <v>50000</v>
      </c>
      <c r="V29" s="91">
        <f t="shared" si="41"/>
        <v>50000</v>
      </c>
      <c r="W29" s="90">
        <f t="shared" si="41"/>
        <v>50000</v>
      </c>
      <c r="X29" s="92">
        <f t="shared" si="41"/>
        <v>50000</v>
      </c>
      <c r="Y29" s="1"/>
      <c r="Z29" s="1"/>
      <c r="AA29" s="1"/>
      <c r="AB29" s="1"/>
      <c r="AC29" s="21">
        <v>0</v>
      </c>
      <c r="AD29" s="66">
        <v>0</v>
      </c>
      <c r="AE29" s="21">
        <v>0</v>
      </c>
      <c r="AF29" s="66"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5" customHeight="1">
      <c r="A30" s="42" t="s">
        <v>41</v>
      </c>
      <c r="B30" s="43">
        <f t="shared" ref="B30:S30" si="42">IF(B26&gt;2000000,IF(((B29-(B26-2000000))*0.03)&lt;=1500,1500,((B29-(B26-2000000))*0.03)),IF(B26&gt;B29,B29*0.03,B26*0.03))</f>
        <v>1500</v>
      </c>
      <c r="C30" s="43">
        <f t="shared" si="42"/>
        <v>1500</v>
      </c>
      <c r="D30" s="85">
        <f t="shared" si="42"/>
        <v>0</v>
      </c>
      <c r="E30" s="86">
        <f t="shared" si="42"/>
        <v>1500</v>
      </c>
      <c r="F30" s="85">
        <f t="shared" si="42"/>
        <v>1500</v>
      </c>
      <c r="G30" s="85">
        <f t="shared" si="42"/>
        <v>1500</v>
      </c>
      <c r="H30" s="85">
        <f t="shared" si="42"/>
        <v>1500</v>
      </c>
      <c r="I30" s="85">
        <f t="shared" si="42"/>
        <v>1500</v>
      </c>
      <c r="J30" s="85">
        <f t="shared" si="42"/>
        <v>1500</v>
      </c>
      <c r="K30" s="85">
        <f t="shared" si="42"/>
        <v>1500</v>
      </c>
      <c r="L30" s="85">
        <f t="shared" si="42"/>
        <v>1500</v>
      </c>
      <c r="M30" s="85">
        <f t="shared" si="42"/>
        <v>1500</v>
      </c>
      <c r="N30" s="85">
        <f t="shared" si="42"/>
        <v>1500</v>
      </c>
      <c r="O30" s="85">
        <f t="shared" si="42"/>
        <v>1500</v>
      </c>
      <c r="P30" s="85">
        <f t="shared" si="42"/>
        <v>1500</v>
      </c>
      <c r="Q30" s="85">
        <f t="shared" si="42"/>
        <v>1500</v>
      </c>
      <c r="R30" s="85">
        <f t="shared" si="42"/>
        <v>1500</v>
      </c>
      <c r="S30" s="85">
        <f t="shared" si="42"/>
        <v>1500</v>
      </c>
      <c r="T30" s="85"/>
      <c r="U30" s="85">
        <f t="shared" ref="U30:X30" si="43">IF(U26&gt;2000000,IF(((U29-(U26-2000000))*0.03)&lt;=1500,1500,((U29-(U26-2000000))*0.03)),IF(U26&gt;U29,U29*0.03,U26*0.03))</f>
        <v>0</v>
      </c>
      <c r="V30" s="85">
        <f t="shared" si="43"/>
        <v>1500</v>
      </c>
      <c r="W30" s="87">
        <f t="shared" si="43"/>
        <v>1500</v>
      </c>
      <c r="X30" s="88">
        <f t="shared" si="43"/>
        <v>0</v>
      </c>
      <c r="Y30" s="1"/>
      <c r="Z30" s="1"/>
      <c r="AA30" s="1"/>
      <c r="AB30" s="1"/>
      <c r="AC30" s="21">
        <v>9000001</v>
      </c>
      <c r="AD30" s="66">
        <v>1080000</v>
      </c>
      <c r="AE30" s="21">
        <v>9000001</v>
      </c>
      <c r="AF30" s="66">
        <v>1080000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" customHeight="1">
      <c r="A31" s="42" t="s">
        <v>42</v>
      </c>
      <c r="B31" s="43">
        <f t="shared" ref="B31:S31" si="44">IF(B26&gt;2000000,IF(((B29-(B26-2000000))*0.02)&lt;=1000,1000,((B29-(B26-2000000))*0.02)),IF(B26&gt;B29,B29*0.02,B26*0.02))</f>
        <v>1000</v>
      </c>
      <c r="C31" s="43">
        <f t="shared" si="44"/>
        <v>1000</v>
      </c>
      <c r="D31" s="85">
        <f t="shared" si="44"/>
        <v>0</v>
      </c>
      <c r="E31" s="86">
        <f t="shared" si="44"/>
        <v>1000</v>
      </c>
      <c r="F31" s="85">
        <f t="shared" si="44"/>
        <v>1000</v>
      </c>
      <c r="G31" s="85">
        <f t="shared" si="44"/>
        <v>1000</v>
      </c>
      <c r="H31" s="85">
        <f t="shared" si="44"/>
        <v>1000</v>
      </c>
      <c r="I31" s="85">
        <f t="shared" si="44"/>
        <v>1000</v>
      </c>
      <c r="J31" s="85">
        <f t="shared" si="44"/>
        <v>1000</v>
      </c>
      <c r="K31" s="85">
        <f t="shared" si="44"/>
        <v>1000</v>
      </c>
      <c r="L31" s="85">
        <f t="shared" si="44"/>
        <v>1000</v>
      </c>
      <c r="M31" s="85">
        <f t="shared" si="44"/>
        <v>1000</v>
      </c>
      <c r="N31" s="85">
        <f t="shared" si="44"/>
        <v>1000</v>
      </c>
      <c r="O31" s="85">
        <f t="shared" si="44"/>
        <v>1000</v>
      </c>
      <c r="P31" s="85">
        <f t="shared" si="44"/>
        <v>1000</v>
      </c>
      <c r="Q31" s="85">
        <f t="shared" si="44"/>
        <v>1000</v>
      </c>
      <c r="R31" s="85">
        <f t="shared" si="44"/>
        <v>1000</v>
      </c>
      <c r="S31" s="85">
        <f t="shared" si="44"/>
        <v>1000</v>
      </c>
      <c r="T31" s="85"/>
      <c r="U31" s="85">
        <f t="shared" ref="U31:X31" si="45">IF(U26&gt;2000000,IF(((U29-(U26-2000000))*0.02)&lt;=1000,1000,((U29-(U26-2000000))*0.02)),IF(U26&gt;U29,U29*0.02,U26*0.02))</f>
        <v>0</v>
      </c>
      <c r="V31" s="85">
        <f t="shared" si="45"/>
        <v>1000</v>
      </c>
      <c r="W31" s="87">
        <f t="shared" si="45"/>
        <v>1000</v>
      </c>
      <c r="X31" s="88">
        <f t="shared" si="45"/>
        <v>0</v>
      </c>
      <c r="Y31" s="1"/>
      <c r="Z31" s="1"/>
      <c r="AA31" s="1"/>
      <c r="AB31" s="1"/>
      <c r="AC31" s="74">
        <v>18000001</v>
      </c>
      <c r="AD31" s="75">
        <v>1620000</v>
      </c>
      <c r="AE31" s="74">
        <v>18000001</v>
      </c>
      <c r="AF31" s="75">
        <v>1620000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" customHeight="1">
      <c r="A32" s="42" t="s">
        <v>43</v>
      </c>
      <c r="B32" s="43">
        <f t="shared" ref="B32:S32" si="46">B27-B30</f>
        <v>221700</v>
      </c>
      <c r="C32" s="43">
        <f t="shared" si="46"/>
        <v>221700</v>
      </c>
      <c r="D32" s="85">
        <f t="shared" si="46"/>
        <v>0</v>
      </c>
      <c r="E32" s="86">
        <f t="shared" si="46"/>
        <v>431100</v>
      </c>
      <c r="F32" s="85">
        <f t="shared" si="46"/>
        <v>489300</v>
      </c>
      <c r="G32" s="85">
        <f t="shared" si="46"/>
        <v>547500</v>
      </c>
      <c r="H32" s="85">
        <f t="shared" si="46"/>
        <v>605700</v>
      </c>
      <c r="I32" s="85">
        <f t="shared" si="46"/>
        <v>663900</v>
      </c>
      <c r="J32" s="85">
        <f t="shared" si="46"/>
        <v>722100</v>
      </c>
      <c r="K32" s="85">
        <f t="shared" si="46"/>
        <v>780300</v>
      </c>
      <c r="L32" s="85">
        <f t="shared" si="46"/>
        <v>838500</v>
      </c>
      <c r="M32" s="85">
        <f t="shared" si="46"/>
        <v>898500</v>
      </c>
      <c r="N32" s="85">
        <f t="shared" si="46"/>
        <v>958500</v>
      </c>
      <c r="O32" s="85">
        <f t="shared" si="46"/>
        <v>1018500</v>
      </c>
      <c r="P32" s="85">
        <f t="shared" si="46"/>
        <v>1078500</v>
      </c>
      <c r="Q32" s="85">
        <f t="shared" si="46"/>
        <v>1138500</v>
      </c>
      <c r="R32" s="85">
        <f t="shared" si="46"/>
        <v>1198500</v>
      </c>
      <c r="S32" s="85">
        <f t="shared" si="46"/>
        <v>1258500</v>
      </c>
      <c r="T32" s="85"/>
      <c r="U32" s="85">
        <f t="shared" ref="U32:X32" si="47">U27-U30</f>
        <v>0</v>
      </c>
      <c r="V32" s="85">
        <f t="shared" si="47"/>
        <v>121800</v>
      </c>
      <c r="W32" s="87">
        <f t="shared" si="47"/>
        <v>180300</v>
      </c>
      <c r="X32" s="88">
        <f t="shared" si="47"/>
        <v>0</v>
      </c>
      <c r="Y32" s="1"/>
      <c r="Z32" s="1"/>
      <c r="AA32" s="1"/>
      <c r="AB32" s="1"/>
      <c r="AC32" s="93" t="s">
        <v>44</v>
      </c>
      <c r="AD32" s="94"/>
      <c r="AE32" s="93" t="s">
        <v>44</v>
      </c>
      <c r="AF32" s="94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" customHeight="1">
      <c r="A33" s="42" t="s">
        <v>45</v>
      </c>
      <c r="B33" s="43">
        <f t="shared" ref="B33:S33" si="48">B28-B31</f>
        <v>147800</v>
      </c>
      <c r="C33" s="43">
        <f t="shared" si="48"/>
        <v>147800</v>
      </c>
      <c r="D33" s="85">
        <f t="shared" si="48"/>
        <v>0</v>
      </c>
      <c r="E33" s="86">
        <f t="shared" si="48"/>
        <v>287400</v>
      </c>
      <c r="F33" s="85">
        <f t="shared" si="48"/>
        <v>326200</v>
      </c>
      <c r="G33" s="85">
        <f t="shared" si="48"/>
        <v>365000</v>
      </c>
      <c r="H33" s="85">
        <f t="shared" si="48"/>
        <v>403800</v>
      </c>
      <c r="I33" s="85">
        <f t="shared" si="48"/>
        <v>442600</v>
      </c>
      <c r="J33" s="85">
        <f t="shared" si="48"/>
        <v>481400</v>
      </c>
      <c r="K33" s="85">
        <f t="shared" si="48"/>
        <v>520200</v>
      </c>
      <c r="L33" s="85">
        <f t="shared" si="48"/>
        <v>559000</v>
      </c>
      <c r="M33" s="85">
        <f t="shared" si="48"/>
        <v>599000</v>
      </c>
      <c r="N33" s="85">
        <f t="shared" si="48"/>
        <v>639000</v>
      </c>
      <c r="O33" s="85">
        <f t="shared" si="48"/>
        <v>679000</v>
      </c>
      <c r="P33" s="85">
        <f t="shared" si="48"/>
        <v>719000</v>
      </c>
      <c r="Q33" s="85">
        <f t="shared" si="48"/>
        <v>759000</v>
      </c>
      <c r="R33" s="85">
        <f t="shared" si="48"/>
        <v>799000</v>
      </c>
      <c r="S33" s="85">
        <f t="shared" si="48"/>
        <v>839000</v>
      </c>
      <c r="T33" s="85"/>
      <c r="U33" s="85">
        <f t="shared" ref="U33:X33" si="49">U28-U31</f>
        <v>0</v>
      </c>
      <c r="V33" s="85">
        <f t="shared" si="49"/>
        <v>81200</v>
      </c>
      <c r="W33" s="87">
        <f t="shared" si="49"/>
        <v>120200</v>
      </c>
      <c r="X33" s="88">
        <f t="shared" si="49"/>
        <v>0</v>
      </c>
      <c r="Y33" s="1"/>
      <c r="Z33" s="1"/>
      <c r="AA33" s="1"/>
      <c r="AB33" s="1"/>
      <c r="AC33" s="95" t="s">
        <v>34</v>
      </c>
      <c r="AD33" s="96">
        <v>430000</v>
      </c>
      <c r="AE33" s="97" t="s">
        <v>34</v>
      </c>
      <c r="AF33" s="96">
        <v>480000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5" customHeight="1">
      <c r="A34" s="79" t="s">
        <v>46</v>
      </c>
      <c r="B34" s="43">
        <f t="shared" ref="B34:S34" si="50">SUM(B32:B33)</f>
        <v>369500</v>
      </c>
      <c r="C34" s="43">
        <f t="shared" si="50"/>
        <v>369500</v>
      </c>
      <c r="D34" s="98">
        <f t="shared" si="50"/>
        <v>0</v>
      </c>
      <c r="E34" s="99">
        <f t="shared" si="50"/>
        <v>718500</v>
      </c>
      <c r="F34" s="98">
        <f t="shared" si="50"/>
        <v>815500</v>
      </c>
      <c r="G34" s="98">
        <f t="shared" si="50"/>
        <v>912500</v>
      </c>
      <c r="H34" s="98">
        <f t="shared" si="50"/>
        <v>1009500</v>
      </c>
      <c r="I34" s="98">
        <f t="shared" si="50"/>
        <v>1106500</v>
      </c>
      <c r="J34" s="98">
        <f t="shared" si="50"/>
        <v>1203500</v>
      </c>
      <c r="K34" s="98">
        <f t="shared" si="50"/>
        <v>1300500</v>
      </c>
      <c r="L34" s="98">
        <f t="shared" si="50"/>
        <v>1397500</v>
      </c>
      <c r="M34" s="98">
        <f t="shared" si="50"/>
        <v>1497500</v>
      </c>
      <c r="N34" s="98">
        <f t="shared" si="50"/>
        <v>1597500</v>
      </c>
      <c r="O34" s="98">
        <f t="shared" si="50"/>
        <v>1697500</v>
      </c>
      <c r="P34" s="98">
        <f t="shared" si="50"/>
        <v>1797500</v>
      </c>
      <c r="Q34" s="98">
        <f t="shared" si="50"/>
        <v>1897500</v>
      </c>
      <c r="R34" s="98">
        <f t="shared" si="50"/>
        <v>1997500</v>
      </c>
      <c r="S34" s="98">
        <f t="shared" si="50"/>
        <v>2097500</v>
      </c>
      <c r="T34" s="98"/>
      <c r="U34" s="98">
        <f t="shared" ref="U34:X34" si="51">SUM(U32:U33)</f>
        <v>0</v>
      </c>
      <c r="V34" s="98">
        <f t="shared" si="51"/>
        <v>203000</v>
      </c>
      <c r="W34" s="100">
        <f t="shared" si="51"/>
        <v>300500</v>
      </c>
      <c r="X34" s="101">
        <f t="shared" si="51"/>
        <v>0</v>
      </c>
      <c r="Y34" s="1"/>
      <c r="Z34" s="1"/>
      <c r="AA34" s="1"/>
      <c r="AB34" s="1"/>
      <c r="AC34" s="95" t="s">
        <v>31</v>
      </c>
      <c r="AD34" s="96">
        <v>330000</v>
      </c>
      <c r="AE34" s="97" t="s">
        <v>31</v>
      </c>
      <c r="AF34" s="96">
        <v>380000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" customHeight="1">
      <c r="A35" s="102" t="s">
        <v>47</v>
      </c>
      <c r="B35" s="58" t="str">
        <f t="shared" ref="B35:S35" si="52">IF(B13="所得割非課税","所得割非課税",IF(B12&gt;(B11-B34),"調整あり","調整なし"))</f>
        <v>調整なし</v>
      </c>
      <c r="C35" s="58" t="str">
        <f t="shared" si="52"/>
        <v>調整なし</v>
      </c>
      <c r="D35" s="103" t="str">
        <f t="shared" si="52"/>
        <v>所得割非課税</v>
      </c>
      <c r="E35" s="104" t="str">
        <f t="shared" si="52"/>
        <v>調整なし</v>
      </c>
      <c r="F35" s="103" t="str">
        <f t="shared" si="52"/>
        <v>調整なし</v>
      </c>
      <c r="G35" s="103" t="str">
        <f t="shared" si="52"/>
        <v>調整なし</v>
      </c>
      <c r="H35" s="103" t="str">
        <f t="shared" si="52"/>
        <v>調整なし</v>
      </c>
      <c r="I35" s="103" t="str">
        <f t="shared" si="52"/>
        <v>調整なし</v>
      </c>
      <c r="J35" s="103" t="str">
        <f t="shared" si="52"/>
        <v>調整なし</v>
      </c>
      <c r="K35" s="103" t="str">
        <f t="shared" si="52"/>
        <v>調整なし</v>
      </c>
      <c r="L35" s="103" t="str">
        <f t="shared" si="52"/>
        <v>調整なし</v>
      </c>
      <c r="M35" s="103" t="str">
        <f t="shared" si="52"/>
        <v>調整なし</v>
      </c>
      <c r="N35" s="103" t="str">
        <f t="shared" si="52"/>
        <v>調整なし</v>
      </c>
      <c r="O35" s="103" t="str">
        <f t="shared" si="52"/>
        <v>調整なし</v>
      </c>
      <c r="P35" s="103" t="str">
        <f t="shared" si="52"/>
        <v>調整なし</v>
      </c>
      <c r="Q35" s="103" t="str">
        <f t="shared" si="52"/>
        <v>調整なし</v>
      </c>
      <c r="R35" s="103" t="str">
        <f t="shared" si="52"/>
        <v>調整なし</v>
      </c>
      <c r="S35" s="103" t="str">
        <f t="shared" si="52"/>
        <v>調整なし</v>
      </c>
      <c r="T35" s="103"/>
      <c r="U35" s="103" t="str">
        <f t="shared" ref="U35:X35" si="53">IF(U13="所得割非課税","所得割非課税",IF(U12&gt;(U11-U34),"調整あり","調整なし"))</f>
        <v>所得割非課税</v>
      </c>
      <c r="V35" s="103" t="str">
        <f t="shared" si="53"/>
        <v>調整なし</v>
      </c>
      <c r="W35" s="105" t="str">
        <f t="shared" si="53"/>
        <v>調整なし</v>
      </c>
      <c r="X35" s="106" t="str">
        <f t="shared" si="53"/>
        <v>所得割非課税</v>
      </c>
      <c r="Y35" s="1" t="s">
        <v>48</v>
      </c>
      <c r="Z35" s="1"/>
      <c r="AA35" s="1"/>
      <c r="AB35" s="1"/>
      <c r="AC35" s="95" t="s">
        <v>49</v>
      </c>
      <c r="AD35" s="96">
        <v>330000</v>
      </c>
      <c r="AE35" s="97" t="s">
        <v>49</v>
      </c>
      <c r="AF35" s="96">
        <v>380000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5" customHeight="1">
      <c r="A36" s="102" t="s">
        <v>50</v>
      </c>
      <c r="B36" s="107">
        <f t="shared" ref="B36:S36" si="54">IF(B35="所得割非課税",0,IF(B35="調整なし",0,(B12-(B11-B34)*B32/B34)))</f>
        <v>0</v>
      </c>
      <c r="C36" s="107">
        <f t="shared" si="54"/>
        <v>0</v>
      </c>
      <c r="D36" s="108">
        <f t="shared" si="54"/>
        <v>0</v>
      </c>
      <c r="E36" s="109">
        <f t="shared" si="54"/>
        <v>0</v>
      </c>
      <c r="F36" s="108">
        <f t="shared" si="54"/>
        <v>0</v>
      </c>
      <c r="G36" s="108">
        <f t="shared" si="54"/>
        <v>0</v>
      </c>
      <c r="H36" s="108">
        <f t="shared" si="54"/>
        <v>0</v>
      </c>
      <c r="I36" s="108">
        <f t="shared" si="54"/>
        <v>0</v>
      </c>
      <c r="J36" s="108">
        <f t="shared" si="54"/>
        <v>0</v>
      </c>
      <c r="K36" s="108">
        <f t="shared" si="54"/>
        <v>0</v>
      </c>
      <c r="L36" s="108">
        <f t="shared" si="54"/>
        <v>0</v>
      </c>
      <c r="M36" s="108">
        <f t="shared" si="54"/>
        <v>0</v>
      </c>
      <c r="N36" s="108">
        <f t="shared" si="54"/>
        <v>0</v>
      </c>
      <c r="O36" s="108">
        <f t="shared" si="54"/>
        <v>0</v>
      </c>
      <c r="P36" s="108">
        <f t="shared" si="54"/>
        <v>0</v>
      </c>
      <c r="Q36" s="108">
        <f t="shared" si="54"/>
        <v>0</v>
      </c>
      <c r="R36" s="108">
        <f t="shared" si="54"/>
        <v>0</v>
      </c>
      <c r="S36" s="108">
        <f t="shared" si="54"/>
        <v>0</v>
      </c>
      <c r="T36" s="108"/>
      <c r="U36" s="108">
        <f t="shared" ref="U36:X36" si="55">IF(U35="所得割非課税",0,IF(U35="調整なし",0,(U12-(U11-U34)*U32/U34)))</f>
        <v>0</v>
      </c>
      <c r="V36" s="108">
        <f t="shared" si="55"/>
        <v>0</v>
      </c>
      <c r="W36" s="110">
        <f t="shared" si="55"/>
        <v>0</v>
      </c>
      <c r="X36" s="111">
        <f t="shared" si="55"/>
        <v>0</v>
      </c>
      <c r="Y36" s="1"/>
      <c r="Z36" s="1"/>
      <c r="AA36" s="1"/>
      <c r="AB36" s="1"/>
      <c r="AC36" s="95" t="s">
        <v>33</v>
      </c>
      <c r="AD36" s="96">
        <v>330000</v>
      </c>
      <c r="AE36" s="97" t="s">
        <v>33</v>
      </c>
      <c r="AF36" s="96">
        <v>380000</v>
      </c>
      <c r="AG36" s="1"/>
      <c r="AH36" s="85"/>
      <c r="AI36" s="112"/>
      <c r="AJ36" s="1"/>
      <c r="AK36" s="1"/>
      <c r="AL36" s="1"/>
      <c r="AM36" s="1"/>
      <c r="AN36" s="1"/>
      <c r="AO36" s="1"/>
      <c r="AP36" s="1"/>
      <c r="AQ36" s="1"/>
    </row>
    <row r="37" spans="1:43" ht="15" customHeight="1">
      <c r="A37" s="102" t="s">
        <v>51</v>
      </c>
      <c r="B37" s="107">
        <f t="shared" ref="B37:S37" si="56">IF(B35="所得割非課税",0,IF(B35="調整なし",0,(B12-(B11-B34)*B33/B34)))</f>
        <v>0</v>
      </c>
      <c r="C37" s="107">
        <f t="shared" si="56"/>
        <v>0</v>
      </c>
      <c r="D37" s="108">
        <f t="shared" si="56"/>
        <v>0</v>
      </c>
      <c r="E37" s="109">
        <f t="shared" si="56"/>
        <v>0</v>
      </c>
      <c r="F37" s="108">
        <f t="shared" si="56"/>
        <v>0</v>
      </c>
      <c r="G37" s="108">
        <f t="shared" si="56"/>
        <v>0</v>
      </c>
      <c r="H37" s="108">
        <f t="shared" si="56"/>
        <v>0</v>
      </c>
      <c r="I37" s="108">
        <f t="shared" si="56"/>
        <v>0</v>
      </c>
      <c r="J37" s="108">
        <f t="shared" si="56"/>
        <v>0</v>
      </c>
      <c r="K37" s="108">
        <f t="shared" si="56"/>
        <v>0</v>
      </c>
      <c r="L37" s="108">
        <f t="shared" si="56"/>
        <v>0</v>
      </c>
      <c r="M37" s="108">
        <f t="shared" si="56"/>
        <v>0</v>
      </c>
      <c r="N37" s="108">
        <f t="shared" si="56"/>
        <v>0</v>
      </c>
      <c r="O37" s="108">
        <f t="shared" si="56"/>
        <v>0</v>
      </c>
      <c r="P37" s="108">
        <f t="shared" si="56"/>
        <v>0</v>
      </c>
      <c r="Q37" s="108">
        <f t="shared" si="56"/>
        <v>0</v>
      </c>
      <c r="R37" s="108">
        <f t="shared" si="56"/>
        <v>0</v>
      </c>
      <c r="S37" s="108">
        <f t="shared" si="56"/>
        <v>0</v>
      </c>
      <c r="T37" s="108"/>
      <c r="U37" s="108">
        <f t="shared" ref="U37:X37" si="57">IF(U35="所得割非課税",0,IF(U35="調整なし",0,(U12-(U11-U34)*U33/U34)))</f>
        <v>0</v>
      </c>
      <c r="V37" s="108">
        <f t="shared" si="57"/>
        <v>0</v>
      </c>
      <c r="W37" s="110">
        <f t="shared" si="57"/>
        <v>0</v>
      </c>
      <c r="X37" s="111">
        <f t="shared" si="57"/>
        <v>0</v>
      </c>
      <c r="Y37" s="1"/>
      <c r="Z37" s="1"/>
      <c r="AA37" s="1"/>
      <c r="AB37" s="1"/>
      <c r="AC37" s="95" t="s">
        <v>52</v>
      </c>
      <c r="AD37" s="96">
        <v>450000</v>
      </c>
      <c r="AE37" s="97" t="s">
        <v>52</v>
      </c>
      <c r="AF37" s="96">
        <v>630000</v>
      </c>
      <c r="AG37" s="1"/>
      <c r="AH37" s="85"/>
      <c r="AI37" s="85"/>
      <c r="AJ37" s="1"/>
      <c r="AK37" s="1"/>
      <c r="AL37" s="1"/>
      <c r="AM37" s="1"/>
      <c r="AN37" s="1"/>
      <c r="AO37" s="1"/>
      <c r="AP37" s="1"/>
      <c r="AQ37" s="1"/>
    </row>
    <row r="38" spans="1:43" ht="15" customHeight="1">
      <c r="A38" s="42" t="s">
        <v>53</v>
      </c>
      <c r="B38" s="43">
        <f t="shared" ref="B38:S38" si="58">IF(B32-B36&gt;0,B32-B36,0)</f>
        <v>221700</v>
      </c>
      <c r="C38" s="43">
        <f t="shared" si="58"/>
        <v>221700</v>
      </c>
      <c r="D38" s="85">
        <f t="shared" si="58"/>
        <v>0</v>
      </c>
      <c r="E38" s="86">
        <f t="shared" si="58"/>
        <v>431100</v>
      </c>
      <c r="F38" s="85">
        <f t="shared" si="58"/>
        <v>489300</v>
      </c>
      <c r="G38" s="85">
        <f t="shared" si="58"/>
        <v>547500</v>
      </c>
      <c r="H38" s="85">
        <f t="shared" si="58"/>
        <v>605700</v>
      </c>
      <c r="I38" s="85">
        <f t="shared" si="58"/>
        <v>663900</v>
      </c>
      <c r="J38" s="85">
        <f t="shared" si="58"/>
        <v>722100</v>
      </c>
      <c r="K38" s="85">
        <f t="shared" si="58"/>
        <v>780300</v>
      </c>
      <c r="L38" s="85">
        <f t="shared" si="58"/>
        <v>838500</v>
      </c>
      <c r="M38" s="85">
        <f t="shared" si="58"/>
        <v>898500</v>
      </c>
      <c r="N38" s="85">
        <f t="shared" si="58"/>
        <v>958500</v>
      </c>
      <c r="O38" s="85">
        <f t="shared" si="58"/>
        <v>1018500</v>
      </c>
      <c r="P38" s="85">
        <f t="shared" si="58"/>
        <v>1078500</v>
      </c>
      <c r="Q38" s="85">
        <f t="shared" si="58"/>
        <v>1138500</v>
      </c>
      <c r="R38" s="85">
        <f t="shared" si="58"/>
        <v>1198500</v>
      </c>
      <c r="S38" s="85">
        <f t="shared" si="58"/>
        <v>1258500</v>
      </c>
      <c r="T38" s="85"/>
      <c r="U38" s="85">
        <f t="shared" ref="U38:X38" si="59">IF(U32-U36&gt;0,U32-U36,0)</f>
        <v>0</v>
      </c>
      <c r="V38" s="85">
        <f t="shared" si="59"/>
        <v>121800</v>
      </c>
      <c r="W38" s="87">
        <f t="shared" si="59"/>
        <v>180300</v>
      </c>
      <c r="X38" s="88">
        <f t="shared" si="59"/>
        <v>0</v>
      </c>
      <c r="Y38" s="1"/>
      <c r="Z38" s="1"/>
      <c r="AA38" s="287" t="s">
        <v>54</v>
      </c>
      <c r="AB38" s="288"/>
      <c r="AC38" s="289" t="s">
        <v>55</v>
      </c>
      <c r="AD38" s="288"/>
      <c r="AE38" s="113"/>
      <c r="AF38" s="114"/>
      <c r="AG38" s="1"/>
      <c r="AH38" s="85"/>
      <c r="AI38" s="115"/>
      <c r="AJ38" s="1"/>
      <c r="AK38" s="1"/>
      <c r="AL38" s="1"/>
      <c r="AM38" s="1"/>
      <c r="AN38" s="1"/>
      <c r="AO38" s="1"/>
      <c r="AP38" s="1"/>
      <c r="AQ38" s="1"/>
    </row>
    <row r="39" spans="1:43" ht="15" customHeight="1">
      <c r="A39" s="42" t="s">
        <v>56</v>
      </c>
      <c r="B39" s="116">
        <f t="shared" ref="B39:S39" si="60">IF(B33-B37&gt;0,B33-B37,0)</f>
        <v>147800</v>
      </c>
      <c r="C39" s="43">
        <f t="shared" si="60"/>
        <v>147800</v>
      </c>
      <c r="D39" s="85">
        <f t="shared" si="60"/>
        <v>0</v>
      </c>
      <c r="E39" s="86">
        <f t="shared" si="60"/>
        <v>287400</v>
      </c>
      <c r="F39" s="85">
        <f t="shared" si="60"/>
        <v>326200</v>
      </c>
      <c r="G39" s="85">
        <f t="shared" si="60"/>
        <v>365000</v>
      </c>
      <c r="H39" s="85">
        <f t="shared" si="60"/>
        <v>403800</v>
      </c>
      <c r="I39" s="85">
        <f t="shared" si="60"/>
        <v>442600</v>
      </c>
      <c r="J39" s="85">
        <f t="shared" si="60"/>
        <v>481400</v>
      </c>
      <c r="K39" s="85">
        <f t="shared" si="60"/>
        <v>520200</v>
      </c>
      <c r="L39" s="85">
        <f t="shared" si="60"/>
        <v>559000</v>
      </c>
      <c r="M39" s="85">
        <f t="shared" si="60"/>
        <v>599000</v>
      </c>
      <c r="N39" s="85">
        <f t="shared" si="60"/>
        <v>639000</v>
      </c>
      <c r="O39" s="85">
        <f t="shared" si="60"/>
        <v>679000</v>
      </c>
      <c r="P39" s="85">
        <f t="shared" si="60"/>
        <v>719000</v>
      </c>
      <c r="Q39" s="85">
        <f t="shared" si="60"/>
        <v>759000</v>
      </c>
      <c r="R39" s="85">
        <f t="shared" si="60"/>
        <v>799000</v>
      </c>
      <c r="S39" s="85">
        <f t="shared" si="60"/>
        <v>839000</v>
      </c>
      <c r="T39" s="85"/>
      <c r="U39" s="85">
        <f t="shared" ref="U39:X39" si="61">IF(U33-U37&gt;0,U33-U37,0)</f>
        <v>0</v>
      </c>
      <c r="V39" s="85">
        <f t="shared" si="61"/>
        <v>81200</v>
      </c>
      <c r="W39" s="87">
        <f t="shared" si="61"/>
        <v>120200</v>
      </c>
      <c r="X39" s="88">
        <f t="shared" si="61"/>
        <v>0</v>
      </c>
      <c r="Y39" s="1"/>
      <c r="Z39" s="1"/>
      <c r="AA39" s="21" t="s">
        <v>57</v>
      </c>
      <c r="AB39" s="66"/>
      <c r="AC39" s="21" t="s">
        <v>57</v>
      </c>
      <c r="AD39" s="66"/>
      <c r="AE39" s="21" t="s">
        <v>57</v>
      </c>
      <c r="AF39" s="66"/>
      <c r="AG39" s="1"/>
      <c r="AH39" s="85"/>
      <c r="AI39" s="115"/>
      <c r="AJ39" s="1"/>
      <c r="AK39" s="1"/>
      <c r="AL39" s="1"/>
      <c r="AM39" s="1"/>
      <c r="AN39" s="1"/>
      <c r="AO39" s="1"/>
      <c r="AP39" s="1"/>
      <c r="AQ39" s="1"/>
    </row>
    <row r="40" spans="1:43" ht="15" customHeight="1">
      <c r="A40" s="117" t="s">
        <v>58</v>
      </c>
      <c r="B40" s="118">
        <f t="shared" ref="B40:S40" si="62">SUM(B38:B39)</f>
        <v>369500</v>
      </c>
      <c r="C40" s="119">
        <f t="shared" si="62"/>
        <v>369500</v>
      </c>
      <c r="D40" s="120">
        <f t="shared" si="62"/>
        <v>0</v>
      </c>
      <c r="E40" s="121">
        <f t="shared" si="62"/>
        <v>718500</v>
      </c>
      <c r="F40" s="120">
        <f t="shared" si="62"/>
        <v>815500</v>
      </c>
      <c r="G40" s="120">
        <f t="shared" si="62"/>
        <v>912500</v>
      </c>
      <c r="H40" s="120">
        <f t="shared" si="62"/>
        <v>1009500</v>
      </c>
      <c r="I40" s="120">
        <f t="shared" si="62"/>
        <v>1106500</v>
      </c>
      <c r="J40" s="120">
        <f t="shared" si="62"/>
        <v>1203500</v>
      </c>
      <c r="K40" s="120">
        <f t="shared" si="62"/>
        <v>1300500</v>
      </c>
      <c r="L40" s="120">
        <f t="shared" si="62"/>
        <v>1397500</v>
      </c>
      <c r="M40" s="120">
        <f t="shared" si="62"/>
        <v>1497500</v>
      </c>
      <c r="N40" s="120">
        <f t="shared" si="62"/>
        <v>1597500</v>
      </c>
      <c r="O40" s="120">
        <f t="shared" si="62"/>
        <v>1697500</v>
      </c>
      <c r="P40" s="120">
        <f t="shared" si="62"/>
        <v>1797500</v>
      </c>
      <c r="Q40" s="120">
        <f t="shared" si="62"/>
        <v>1897500</v>
      </c>
      <c r="R40" s="120">
        <f t="shared" si="62"/>
        <v>1997500</v>
      </c>
      <c r="S40" s="120">
        <f t="shared" si="62"/>
        <v>2097500</v>
      </c>
      <c r="T40" s="120"/>
      <c r="U40" s="120">
        <f t="shared" ref="U40:X40" si="63">SUM(U38:U39)</f>
        <v>0</v>
      </c>
      <c r="V40" s="120">
        <f t="shared" si="63"/>
        <v>203000</v>
      </c>
      <c r="W40" s="122">
        <f t="shared" si="63"/>
        <v>300500</v>
      </c>
      <c r="X40" s="123">
        <f t="shared" si="63"/>
        <v>0</v>
      </c>
      <c r="Y40" s="1"/>
      <c r="Z40" s="1"/>
      <c r="AA40" s="21">
        <v>-2000000</v>
      </c>
      <c r="AB40" s="26">
        <v>0</v>
      </c>
      <c r="AC40" s="21">
        <v>-2000000</v>
      </c>
      <c r="AD40" s="26">
        <v>0</v>
      </c>
      <c r="AE40" s="21">
        <v>-2000000</v>
      </c>
      <c r="AF40" s="124">
        <v>0</v>
      </c>
      <c r="AG40" s="1"/>
      <c r="AH40" s="85"/>
      <c r="AI40" s="115"/>
      <c r="AJ40" s="1"/>
      <c r="AK40" s="1"/>
      <c r="AL40" s="1"/>
      <c r="AM40" s="1"/>
      <c r="AN40" s="1"/>
      <c r="AO40" s="1"/>
      <c r="AP40" s="1"/>
      <c r="AQ40" s="1"/>
    </row>
    <row r="41" spans="1:43" ht="15" customHeight="1">
      <c r="A41" s="125" t="s">
        <v>59</v>
      </c>
      <c r="B41" s="126"/>
      <c r="C41" s="126"/>
      <c r="D41" s="126"/>
      <c r="E41" s="127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9">
        <f>入力欄!D21</f>
        <v>80000</v>
      </c>
      <c r="X41" s="130">
        <v>80000</v>
      </c>
      <c r="Y41" s="1"/>
      <c r="Z41" s="1"/>
      <c r="AA41" s="21">
        <v>1</v>
      </c>
      <c r="AB41" s="26">
        <v>0.06</v>
      </c>
      <c r="AC41" s="21">
        <v>1</v>
      </c>
      <c r="AD41" s="26">
        <v>0.04</v>
      </c>
      <c r="AE41" s="21">
        <v>1</v>
      </c>
      <c r="AF41" s="124">
        <v>5.1049999999999998E-2</v>
      </c>
      <c r="AG41" s="1"/>
      <c r="AH41" s="85"/>
      <c r="AI41" s="115"/>
      <c r="AJ41" s="1"/>
      <c r="AK41" s="1"/>
      <c r="AL41" s="1"/>
      <c r="AM41" s="1"/>
      <c r="AN41" s="1"/>
      <c r="AO41" s="1"/>
      <c r="AP41" s="1"/>
      <c r="AQ41" s="1"/>
    </row>
    <row r="42" spans="1:43" ht="15" customHeight="1">
      <c r="A42" s="42" t="s">
        <v>60</v>
      </c>
      <c r="B42" s="85">
        <f t="shared" ref="B42:S42" si="64">B69</f>
        <v>0</v>
      </c>
      <c r="C42" s="85">
        <f t="shared" si="64"/>
        <v>0</v>
      </c>
      <c r="D42" s="85">
        <f t="shared" si="64"/>
        <v>0</v>
      </c>
      <c r="E42" s="86">
        <f t="shared" si="64"/>
        <v>0</v>
      </c>
      <c r="F42" s="85">
        <f t="shared" si="64"/>
        <v>0</v>
      </c>
      <c r="G42" s="85">
        <f t="shared" si="64"/>
        <v>0</v>
      </c>
      <c r="H42" s="85">
        <f t="shared" si="64"/>
        <v>0</v>
      </c>
      <c r="I42" s="85">
        <f t="shared" si="64"/>
        <v>0</v>
      </c>
      <c r="J42" s="85">
        <f t="shared" si="64"/>
        <v>0</v>
      </c>
      <c r="K42" s="85">
        <f t="shared" si="64"/>
        <v>0</v>
      </c>
      <c r="L42" s="85">
        <f t="shared" si="64"/>
        <v>0</v>
      </c>
      <c r="M42" s="85">
        <f t="shared" si="64"/>
        <v>0</v>
      </c>
      <c r="N42" s="85">
        <f t="shared" si="64"/>
        <v>0</v>
      </c>
      <c r="O42" s="85">
        <f t="shared" si="64"/>
        <v>0</v>
      </c>
      <c r="P42" s="85">
        <f t="shared" si="64"/>
        <v>0</v>
      </c>
      <c r="Q42" s="85">
        <f t="shared" si="64"/>
        <v>0</v>
      </c>
      <c r="R42" s="85">
        <f t="shared" si="64"/>
        <v>0</v>
      </c>
      <c r="S42" s="85">
        <f t="shared" si="64"/>
        <v>0</v>
      </c>
      <c r="T42" s="85"/>
      <c r="U42" s="85">
        <f t="shared" ref="U42:X42" si="65">U69</f>
        <v>0</v>
      </c>
      <c r="V42" s="85">
        <f t="shared" si="65"/>
        <v>0</v>
      </c>
      <c r="W42" s="131">
        <f t="shared" si="65"/>
        <v>7963.7999999999993</v>
      </c>
      <c r="X42" s="132">
        <f t="shared" si="65"/>
        <v>0</v>
      </c>
      <c r="Y42" s="133">
        <v>0.2</v>
      </c>
      <c r="Z42" s="1"/>
      <c r="AA42" s="21"/>
      <c r="AB42" s="26"/>
      <c r="AC42" s="21"/>
      <c r="AD42" s="26"/>
      <c r="AE42" s="21">
        <v>1950001</v>
      </c>
      <c r="AF42" s="124">
        <v>0.1021</v>
      </c>
      <c r="AG42" s="1"/>
      <c r="AH42" s="85"/>
      <c r="AI42" s="115"/>
      <c r="AJ42" s="1"/>
      <c r="AK42" s="1"/>
      <c r="AL42" s="1"/>
      <c r="AM42" s="1"/>
      <c r="AN42" s="1"/>
      <c r="AO42" s="1"/>
      <c r="AP42" s="1"/>
      <c r="AQ42" s="1"/>
    </row>
    <row r="43" spans="1:43" ht="15" customHeight="1">
      <c r="A43" s="42" t="s">
        <v>61</v>
      </c>
      <c r="B43" s="85"/>
      <c r="C43" s="85"/>
      <c r="D43" s="85"/>
      <c r="E43" s="86">
        <f t="shared" ref="E43:S43" si="66">IF(E41&lt;=2000,0,IF(E11*30%&gt;E41,(E41-2000)*0.1,(E11*30%-2000)*0.1))</f>
        <v>0</v>
      </c>
      <c r="F43" s="85">
        <f t="shared" si="66"/>
        <v>0</v>
      </c>
      <c r="G43" s="85">
        <f t="shared" si="66"/>
        <v>0</v>
      </c>
      <c r="H43" s="85">
        <f t="shared" si="66"/>
        <v>0</v>
      </c>
      <c r="I43" s="85">
        <f t="shared" si="66"/>
        <v>0</v>
      </c>
      <c r="J43" s="85">
        <f t="shared" si="66"/>
        <v>0</v>
      </c>
      <c r="K43" s="85">
        <f t="shared" si="66"/>
        <v>0</v>
      </c>
      <c r="L43" s="85">
        <f t="shared" si="66"/>
        <v>0</v>
      </c>
      <c r="M43" s="85">
        <f t="shared" si="66"/>
        <v>0</v>
      </c>
      <c r="N43" s="85">
        <f t="shared" si="66"/>
        <v>0</v>
      </c>
      <c r="O43" s="85">
        <f t="shared" si="66"/>
        <v>0</v>
      </c>
      <c r="P43" s="85">
        <f t="shared" si="66"/>
        <v>0</v>
      </c>
      <c r="Q43" s="85">
        <f t="shared" si="66"/>
        <v>0</v>
      </c>
      <c r="R43" s="85">
        <f t="shared" si="66"/>
        <v>0</v>
      </c>
      <c r="S43" s="85">
        <f t="shared" si="66"/>
        <v>0</v>
      </c>
      <c r="T43" s="85"/>
      <c r="U43" s="85">
        <f t="shared" ref="U43:W43" si="67">IF(U41&lt;=2000,0,IF(U11*30%&gt;U41,(U41-2000)*0.1,(U11*30%-2000)*0.1))</f>
        <v>0</v>
      </c>
      <c r="V43" s="85">
        <f t="shared" si="67"/>
        <v>0</v>
      </c>
      <c r="W43" s="131">
        <f t="shared" si="67"/>
        <v>7800</v>
      </c>
      <c r="X43" s="132">
        <f>(X41-2000)*0.1</f>
        <v>7800</v>
      </c>
      <c r="Y43" s="1"/>
      <c r="Z43" s="1"/>
      <c r="AA43" s="21"/>
      <c r="AB43" s="26"/>
      <c r="AC43" s="21"/>
      <c r="AD43" s="26"/>
      <c r="AE43" s="21">
        <v>3300001</v>
      </c>
      <c r="AF43" s="124">
        <v>0.20419999999999999</v>
      </c>
      <c r="AG43" s="1"/>
      <c r="AH43" s="85"/>
      <c r="AI43" s="115"/>
      <c r="AJ43" s="1"/>
      <c r="AK43" s="1"/>
      <c r="AL43" s="1"/>
      <c r="AM43" s="1"/>
      <c r="AN43" s="1"/>
      <c r="AO43" s="1"/>
      <c r="AP43" s="1"/>
      <c r="AQ43" s="1"/>
    </row>
    <row r="44" spans="1:43" ht="15" customHeight="1">
      <c r="A44" s="134" t="s">
        <v>62</v>
      </c>
      <c r="B44" s="85"/>
      <c r="C44" s="85"/>
      <c r="D44" s="85"/>
      <c r="E44" s="135">
        <f t="shared" ref="E44:S44" si="68">IF(E43=0,0,IF((E41-2000)*(0.9-VLOOKUP(E71,$AE$40:$AF$47,2))&gt;E40*$Y$42,E40*$Y$42,(E41-2000)*(0.9-VLOOKUP(E71,$AE$40:$AF$47,2))))</f>
        <v>0</v>
      </c>
      <c r="F44" s="136">
        <f t="shared" si="68"/>
        <v>0</v>
      </c>
      <c r="G44" s="136">
        <f t="shared" si="68"/>
        <v>0</v>
      </c>
      <c r="H44" s="136">
        <f t="shared" si="68"/>
        <v>0</v>
      </c>
      <c r="I44" s="136">
        <f t="shared" si="68"/>
        <v>0</v>
      </c>
      <c r="J44" s="136">
        <f t="shared" si="68"/>
        <v>0</v>
      </c>
      <c r="K44" s="136">
        <f t="shared" si="68"/>
        <v>0</v>
      </c>
      <c r="L44" s="136">
        <f t="shared" si="68"/>
        <v>0</v>
      </c>
      <c r="M44" s="136">
        <f t="shared" si="68"/>
        <v>0</v>
      </c>
      <c r="N44" s="136">
        <f t="shared" si="68"/>
        <v>0</v>
      </c>
      <c r="O44" s="136">
        <f t="shared" si="68"/>
        <v>0</v>
      </c>
      <c r="P44" s="136">
        <f t="shared" si="68"/>
        <v>0</v>
      </c>
      <c r="Q44" s="136">
        <f t="shared" si="68"/>
        <v>0</v>
      </c>
      <c r="R44" s="136">
        <f t="shared" si="68"/>
        <v>0</v>
      </c>
      <c r="S44" s="136">
        <f t="shared" si="68"/>
        <v>0</v>
      </c>
      <c r="T44" s="136"/>
      <c r="U44" s="136">
        <f t="shared" ref="U44:W44" si="69">IF(U43=0,0,IF((U41-2000)*(0.9-VLOOKUP(U71,$AE$40:$AF$47,2))&gt;U40*$Y$42,U40*$Y$42,(U41-2000)*(0.9-VLOOKUP(U71,$AE$40:$AF$47,2))))</f>
        <v>0</v>
      </c>
      <c r="V44" s="136">
        <f t="shared" si="69"/>
        <v>0</v>
      </c>
      <c r="W44" s="131">
        <f t="shared" si="69"/>
        <v>60100</v>
      </c>
      <c r="X44" s="132">
        <f>IF(X43=0,0,IF((X41-2000)*(0.9-VLOOKUP(X71,$AE$40:$AF$46,2))&gt;X40*$Y$42,X40*$Y$42,(X41-2000)*(0.9-VLOOKUP(X71,$AE$40:$AF$46,2))))</f>
        <v>0</v>
      </c>
      <c r="Y44" s="1"/>
      <c r="Z44" s="1"/>
      <c r="AA44" s="21"/>
      <c r="AB44" s="26"/>
      <c r="AC44" s="21"/>
      <c r="AD44" s="26"/>
      <c r="AE44" s="21">
        <v>6950001</v>
      </c>
      <c r="AF44" s="124">
        <v>0.23483000000000001</v>
      </c>
      <c r="AG44" s="1"/>
      <c r="AH44" s="85"/>
      <c r="AI44" s="115"/>
      <c r="AJ44" s="1"/>
      <c r="AK44" s="1"/>
      <c r="AL44" s="1"/>
      <c r="AM44" s="1"/>
      <c r="AN44" s="1"/>
      <c r="AO44" s="1"/>
      <c r="AP44" s="1"/>
      <c r="AQ44" s="1"/>
    </row>
    <row r="45" spans="1:43" ht="15" customHeight="1">
      <c r="A45" s="137" t="s">
        <v>63</v>
      </c>
      <c r="B45" s="138"/>
      <c r="C45" s="138"/>
      <c r="D45" s="138"/>
      <c r="E45" s="139">
        <f t="shared" ref="E45:S45" si="70">SUM(E43:E44)</f>
        <v>0</v>
      </c>
      <c r="F45" s="138">
        <f t="shared" si="70"/>
        <v>0</v>
      </c>
      <c r="G45" s="138">
        <f t="shared" si="70"/>
        <v>0</v>
      </c>
      <c r="H45" s="138">
        <f t="shared" si="70"/>
        <v>0</v>
      </c>
      <c r="I45" s="138">
        <f t="shared" si="70"/>
        <v>0</v>
      </c>
      <c r="J45" s="138">
        <f t="shared" si="70"/>
        <v>0</v>
      </c>
      <c r="K45" s="138">
        <f t="shared" si="70"/>
        <v>0</v>
      </c>
      <c r="L45" s="138">
        <f t="shared" si="70"/>
        <v>0</v>
      </c>
      <c r="M45" s="138">
        <f t="shared" si="70"/>
        <v>0</v>
      </c>
      <c r="N45" s="138">
        <f t="shared" si="70"/>
        <v>0</v>
      </c>
      <c r="O45" s="138">
        <f t="shared" si="70"/>
        <v>0</v>
      </c>
      <c r="P45" s="138">
        <f t="shared" si="70"/>
        <v>0</v>
      </c>
      <c r="Q45" s="138">
        <f t="shared" si="70"/>
        <v>0</v>
      </c>
      <c r="R45" s="138">
        <f t="shared" si="70"/>
        <v>0</v>
      </c>
      <c r="S45" s="138">
        <f t="shared" si="70"/>
        <v>0</v>
      </c>
      <c r="T45" s="138"/>
      <c r="U45" s="138">
        <f t="shared" ref="U45:W45" si="71">SUM(U43:U44)</f>
        <v>0</v>
      </c>
      <c r="V45" s="138">
        <f t="shared" si="71"/>
        <v>0</v>
      </c>
      <c r="W45" s="140">
        <f t="shared" si="71"/>
        <v>67900</v>
      </c>
      <c r="X45" s="141">
        <f>SUM(X41:X43)</f>
        <v>87800</v>
      </c>
      <c r="Y45" s="1"/>
      <c r="Z45" s="1"/>
      <c r="AA45" s="21"/>
      <c r="AB45" s="26"/>
      <c r="AC45" s="21"/>
      <c r="AD45" s="26"/>
      <c r="AE45" s="21">
        <v>9000001</v>
      </c>
      <c r="AF45" s="124">
        <v>0.33693000000000001</v>
      </c>
      <c r="AG45" s="1"/>
      <c r="AH45" s="85"/>
      <c r="AI45" s="115"/>
      <c r="AJ45" s="1"/>
      <c r="AK45" s="1"/>
      <c r="AL45" s="1"/>
      <c r="AM45" s="1"/>
      <c r="AN45" s="1"/>
      <c r="AO45" s="1"/>
      <c r="AP45" s="1"/>
      <c r="AQ45" s="1"/>
    </row>
    <row r="46" spans="1:43" ht="15" customHeight="1">
      <c r="A46" s="137" t="s">
        <v>64</v>
      </c>
      <c r="B46" s="138"/>
      <c r="C46" s="138"/>
      <c r="D46" s="138"/>
      <c r="E46" s="139">
        <f t="shared" ref="E46:S46" si="72">SUM(E42:E44)</f>
        <v>0</v>
      </c>
      <c r="F46" s="138">
        <f t="shared" si="72"/>
        <v>0</v>
      </c>
      <c r="G46" s="138">
        <f t="shared" si="72"/>
        <v>0</v>
      </c>
      <c r="H46" s="138">
        <f t="shared" si="72"/>
        <v>0</v>
      </c>
      <c r="I46" s="138">
        <f t="shared" si="72"/>
        <v>0</v>
      </c>
      <c r="J46" s="138">
        <f t="shared" si="72"/>
        <v>0</v>
      </c>
      <c r="K46" s="138">
        <f t="shared" si="72"/>
        <v>0</v>
      </c>
      <c r="L46" s="138">
        <f t="shared" si="72"/>
        <v>0</v>
      </c>
      <c r="M46" s="138">
        <f t="shared" si="72"/>
        <v>0</v>
      </c>
      <c r="N46" s="138">
        <f t="shared" si="72"/>
        <v>0</v>
      </c>
      <c r="O46" s="138">
        <f t="shared" si="72"/>
        <v>0</v>
      </c>
      <c r="P46" s="138">
        <f t="shared" si="72"/>
        <v>0</v>
      </c>
      <c r="Q46" s="138">
        <f t="shared" si="72"/>
        <v>0</v>
      </c>
      <c r="R46" s="138">
        <f t="shared" si="72"/>
        <v>0</v>
      </c>
      <c r="S46" s="138">
        <f t="shared" si="72"/>
        <v>0</v>
      </c>
      <c r="T46" s="138"/>
      <c r="U46" s="138">
        <f t="shared" ref="U46:X46" si="73">SUM(U42:U44)</f>
        <v>0</v>
      </c>
      <c r="V46" s="138">
        <f t="shared" si="73"/>
        <v>0</v>
      </c>
      <c r="W46" s="142">
        <f t="shared" si="73"/>
        <v>75863.8</v>
      </c>
      <c r="X46" s="141">
        <f t="shared" si="73"/>
        <v>7800</v>
      </c>
      <c r="Y46" s="1"/>
      <c r="Z46" s="1"/>
      <c r="AA46" s="21"/>
      <c r="AB46" s="66"/>
      <c r="AC46" s="21"/>
      <c r="AD46" s="66"/>
      <c r="AE46" s="21">
        <v>18000001</v>
      </c>
      <c r="AF46" s="124">
        <v>0.40839999999999999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" customHeight="1">
      <c r="A47" s="143" t="s">
        <v>65</v>
      </c>
      <c r="B47" s="43">
        <f t="shared" ref="B47:D47" si="74">ROUNDUP(B34*0.1,-2)</f>
        <v>37000</v>
      </c>
      <c r="C47" s="43">
        <f t="shared" si="74"/>
        <v>37000</v>
      </c>
      <c r="D47" s="144">
        <f t="shared" si="74"/>
        <v>0</v>
      </c>
      <c r="E47" s="145">
        <f t="shared" ref="E47:S47" si="75">ROUND(E34*$Y$42,0)</f>
        <v>143700</v>
      </c>
      <c r="F47" s="144">
        <f t="shared" si="75"/>
        <v>163100</v>
      </c>
      <c r="G47" s="144">
        <f t="shared" si="75"/>
        <v>182500</v>
      </c>
      <c r="H47" s="144">
        <f t="shared" si="75"/>
        <v>201900</v>
      </c>
      <c r="I47" s="144">
        <f t="shared" si="75"/>
        <v>221300</v>
      </c>
      <c r="J47" s="144">
        <f t="shared" si="75"/>
        <v>240700</v>
      </c>
      <c r="K47" s="144">
        <f t="shared" si="75"/>
        <v>260100</v>
      </c>
      <c r="L47" s="144">
        <f t="shared" si="75"/>
        <v>279500</v>
      </c>
      <c r="M47" s="144">
        <f t="shared" si="75"/>
        <v>299500</v>
      </c>
      <c r="N47" s="144">
        <f t="shared" si="75"/>
        <v>319500</v>
      </c>
      <c r="O47" s="144">
        <f t="shared" si="75"/>
        <v>339500</v>
      </c>
      <c r="P47" s="144">
        <f t="shared" si="75"/>
        <v>359500</v>
      </c>
      <c r="Q47" s="144">
        <f t="shared" si="75"/>
        <v>379500</v>
      </c>
      <c r="R47" s="144">
        <f t="shared" si="75"/>
        <v>399500</v>
      </c>
      <c r="S47" s="144">
        <f t="shared" si="75"/>
        <v>419500</v>
      </c>
      <c r="T47" s="144"/>
      <c r="U47" s="144">
        <f t="shared" ref="U47:W47" si="76">ROUND(U34*$Y$42,0)</f>
        <v>0</v>
      </c>
      <c r="V47" s="144">
        <f t="shared" si="76"/>
        <v>40600</v>
      </c>
      <c r="W47" s="146">
        <f t="shared" si="76"/>
        <v>60100</v>
      </c>
      <c r="X47" s="147">
        <f>ROUNDUP(X34*0.1,-2)</f>
        <v>0</v>
      </c>
      <c r="Y47" s="1"/>
      <c r="Z47" s="148"/>
      <c r="AA47" s="149"/>
      <c r="AB47" s="75"/>
      <c r="AC47" s="21"/>
      <c r="AD47" s="66"/>
      <c r="AE47" s="150">
        <v>40000001</v>
      </c>
      <c r="AF47" s="151">
        <v>0.45945000000000003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5" customHeight="1">
      <c r="A48" s="143" t="s">
        <v>66</v>
      </c>
      <c r="B48" s="152">
        <f t="shared" ref="B48:D48" si="77">0.9-VLOOKUP(B71,$AE$40:$AF$46,2)</f>
        <v>0.69579999999999997</v>
      </c>
      <c r="C48" s="152">
        <f t="shared" si="77"/>
        <v>0.69579999999999997</v>
      </c>
      <c r="D48" s="153">
        <f t="shared" si="77"/>
        <v>0.9</v>
      </c>
      <c r="E48" s="154">
        <f t="shared" ref="E48:S48" si="78">0.9-VLOOKUP(E71,$AE$40:$AF$47,2)</f>
        <v>0.66517000000000004</v>
      </c>
      <c r="F48" s="155">
        <f t="shared" si="78"/>
        <v>0.66517000000000004</v>
      </c>
      <c r="G48" s="155">
        <f t="shared" si="78"/>
        <v>0.56306999999999996</v>
      </c>
      <c r="H48" s="155">
        <f t="shared" si="78"/>
        <v>0.56306999999999996</v>
      </c>
      <c r="I48" s="155">
        <f t="shared" si="78"/>
        <v>0.56306999999999996</v>
      </c>
      <c r="J48" s="155">
        <f t="shared" si="78"/>
        <v>0.56306999999999996</v>
      </c>
      <c r="K48" s="155">
        <f t="shared" si="78"/>
        <v>0.56306999999999996</v>
      </c>
      <c r="L48" s="155">
        <f t="shared" si="78"/>
        <v>0.56306999999999996</v>
      </c>
      <c r="M48" s="155">
        <f t="shared" si="78"/>
        <v>0.56306999999999996</v>
      </c>
      <c r="N48" s="155">
        <f t="shared" si="78"/>
        <v>0.56306999999999996</v>
      </c>
      <c r="O48" s="155">
        <f t="shared" si="78"/>
        <v>0.56306999999999996</v>
      </c>
      <c r="P48" s="155">
        <f t="shared" si="78"/>
        <v>0.56306999999999996</v>
      </c>
      <c r="Q48" s="155">
        <f t="shared" si="78"/>
        <v>0.49160000000000004</v>
      </c>
      <c r="R48" s="155">
        <f t="shared" si="78"/>
        <v>0.49160000000000004</v>
      </c>
      <c r="S48" s="155">
        <f t="shared" si="78"/>
        <v>0.49160000000000004</v>
      </c>
      <c r="T48" s="155"/>
      <c r="U48" s="155">
        <f t="shared" ref="U48:W48" si="79">0.9-VLOOKUP(U71,$AE$40:$AF$47,2)</f>
        <v>0.9</v>
      </c>
      <c r="V48" s="155">
        <f t="shared" si="79"/>
        <v>0.79790000000000005</v>
      </c>
      <c r="W48" s="156">
        <f t="shared" si="79"/>
        <v>0.79790000000000005</v>
      </c>
      <c r="X48" s="157">
        <f>0.9-VLOOKUP(X71,$AE$40:$AF$46,2)</f>
        <v>0.9</v>
      </c>
      <c r="Y48" s="1"/>
      <c r="Z48" s="1"/>
      <c r="AA48" s="1"/>
      <c r="AB48" s="1"/>
      <c r="AC48" s="113"/>
      <c r="AD48" s="158"/>
      <c r="AE48" s="113"/>
      <c r="AF48" s="15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" customHeight="1">
      <c r="A49" s="143" t="s">
        <v>67</v>
      </c>
      <c r="B49" s="43">
        <f t="shared" ref="B49:S49" si="80">B47/B48+2000</f>
        <v>55176.200057487789</v>
      </c>
      <c r="C49" s="43">
        <f t="shared" si="80"/>
        <v>55176.200057487789</v>
      </c>
      <c r="D49" s="144">
        <f t="shared" si="80"/>
        <v>2000</v>
      </c>
      <c r="E49" s="145">
        <f t="shared" si="80"/>
        <v>218034.99857179367</v>
      </c>
      <c r="F49" s="144">
        <f t="shared" si="80"/>
        <v>247200.47506652432</v>
      </c>
      <c r="G49" s="144">
        <f t="shared" si="80"/>
        <v>326116.00689079514</v>
      </c>
      <c r="H49" s="144">
        <f t="shared" si="80"/>
        <v>360569.98241781665</v>
      </c>
      <c r="I49" s="144">
        <f t="shared" si="80"/>
        <v>395023.95794483816</v>
      </c>
      <c r="J49" s="144">
        <f t="shared" si="80"/>
        <v>429477.93347185967</v>
      </c>
      <c r="K49" s="144">
        <f t="shared" si="80"/>
        <v>463931.90899888118</v>
      </c>
      <c r="L49" s="144">
        <f t="shared" si="80"/>
        <v>498385.88452590269</v>
      </c>
      <c r="M49" s="144">
        <f t="shared" si="80"/>
        <v>533905.44692489388</v>
      </c>
      <c r="N49" s="144">
        <f t="shared" si="80"/>
        <v>569425.0093238852</v>
      </c>
      <c r="O49" s="144">
        <f t="shared" si="80"/>
        <v>604944.5717228764</v>
      </c>
      <c r="P49" s="144">
        <f t="shared" si="80"/>
        <v>640464.13412186771</v>
      </c>
      <c r="Q49" s="144">
        <f t="shared" si="80"/>
        <v>773969.08055329532</v>
      </c>
      <c r="R49" s="144">
        <f t="shared" si="80"/>
        <v>814652.56305939786</v>
      </c>
      <c r="S49" s="144">
        <f t="shared" si="80"/>
        <v>855336.04556550039</v>
      </c>
      <c r="T49" s="144"/>
      <c r="U49" s="144">
        <f t="shared" ref="U49:X49" si="81">U47/U48+2000</f>
        <v>2000</v>
      </c>
      <c r="V49" s="144">
        <f t="shared" si="81"/>
        <v>52883.569369595185</v>
      </c>
      <c r="W49" s="159">
        <f t="shared" si="81"/>
        <v>77322.722145632273</v>
      </c>
      <c r="X49" s="147">
        <f t="shared" si="81"/>
        <v>2000</v>
      </c>
      <c r="Y49" s="1"/>
      <c r="Z49" s="1"/>
      <c r="AA49" s="1"/>
      <c r="AB49" s="1"/>
      <c r="AC49" s="21" t="s">
        <v>68</v>
      </c>
      <c r="AD49" s="66"/>
      <c r="AE49" s="21" t="s">
        <v>68</v>
      </c>
      <c r="AF49" s="66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" customHeight="1">
      <c r="A50" s="160" t="s">
        <v>69</v>
      </c>
      <c r="B50" s="161">
        <f t="shared" ref="B50:S50" si="82">ROUNDDOWN(B38-B45*6/10,-2)</f>
        <v>221700</v>
      </c>
      <c r="C50" s="161">
        <f t="shared" si="82"/>
        <v>221700</v>
      </c>
      <c r="D50" s="161">
        <f t="shared" si="82"/>
        <v>0</v>
      </c>
      <c r="E50" s="161">
        <f t="shared" si="82"/>
        <v>431100</v>
      </c>
      <c r="F50" s="161">
        <f t="shared" si="82"/>
        <v>489300</v>
      </c>
      <c r="G50" s="161">
        <f t="shared" si="82"/>
        <v>547500</v>
      </c>
      <c r="H50" s="161">
        <f t="shared" si="82"/>
        <v>605700</v>
      </c>
      <c r="I50" s="161">
        <f t="shared" si="82"/>
        <v>663900</v>
      </c>
      <c r="J50" s="161">
        <f t="shared" si="82"/>
        <v>722100</v>
      </c>
      <c r="K50" s="161">
        <f t="shared" si="82"/>
        <v>780300</v>
      </c>
      <c r="L50" s="161">
        <f t="shared" si="82"/>
        <v>838500</v>
      </c>
      <c r="M50" s="161">
        <f t="shared" si="82"/>
        <v>898500</v>
      </c>
      <c r="N50" s="161">
        <f t="shared" si="82"/>
        <v>958500</v>
      </c>
      <c r="O50" s="161">
        <f t="shared" si="82"/>
        <v>1018500</v>
      </c>
      <c r="P50" s="161">
        <f t="shared" si="82"/>
        <v>1078500</v>
      </c>
      <c r="Q50" s="161">
        <f t="shared" si="82"/>
        <v>1138500</v>
      </c>
      <c r="R50" s="161">
        <f t="shared" si="82"/>
        <v>1198500</v>
      </c>
      <c r="S50" s="161">
        <f t="shared" si="82"/>
        <v>1258500</v>
      </c>
      <c r="T50" s="161"/>
      <c r="U50" s="161">
        <f t="shared" ref="U50:X50" si="83">ROUNDDOWN(U38-U45*6/10,-2)</f>
        <v>0</v>
      </c>
      <c r="V50" s="161">
        <f t="shared" si="83"/>
        <v>121800</v>
      </c>
      <c r="W50" s="162">
        <f t="shared" si="83"/>
        <v>139500</v>
      </c>
      <c r="X50" s="163">
        <f t="shared" si="83"/>
        <v>-52600</v>
      </c>
      <c r="Y50" s="1"/>
      <c r="Z50" s="1"/>
      <c r="AA50" s="1"/>
      <c r="AB50" s="1"/>
      <c r="AC50" s="21">
        <v>-2000000</v>
      </c>
      <c r="AD50" s="66">
        <v>0</v>
      </c>
      <c r="AE50" s="21">
        <v>-2000000</v>
      </c>
      <c r="AF50" s="164"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5" customHeight="1">
      <c r="A51" s="165" t="s">
        <v>70</v>
      </c>
      <c r="B51" s="149">
        <f t="shared" ref="B51:S51" si="84">ROUNDDOWN(B39-B45*4/10,-2)</f>
        <v>147800</v>
      </c>
      <c r="C51" s="149">
        <f t="shared" si="84"/>
        <v>147800</v>
      </c>
      <c r="D51" s="149">
        <f t="shared" si="84"/>
        <v>0</v>
      </c>
      <c r="E51" s="149">
        <f t="shared" si="84"/>
        <v>287400</v>
      </c>
      <c r="F51" s="149">
        <f t="shared" si="84"/>
        <v>326200</v>
      </c>
      <c r="G51" s="149">
        <f t="shared" si="84"/>
        <v>365000</v>
      </c>
      <c r="H51" s="149">
        <f t="shared" si="84"/>
        <v>403800</v>
      </c>
      <c r="I51" s="149">
        <f t="shared" si="84"/>
        <v>442600</v>
      </c>
      <c r="J51" s="149">
        <f t="shared" si="84"/>
        <v>481400</v>
      </c>
      <c r="K51" s="149">
        <f t="shared" si="84"/>
        <v>520200</v>
      </c>
      <c r="L51" s="149">
        <f t="shared" si="84"/>
        <v>559000</v>
      </c>
      <c r="M51" s="149">
        <f t="shared" si="84"/>
        <v>599000</v>
      </c>
      <c r="N51" s="149">
        <f t="shared" si="84"/>
        <v>639000</v>
      </c>
      <c r="O51" s="149">
        <f t="shared" si="84"/>
        <v>679000</v>
      </c>
      <c r="P51" s="149">
        <f t="shared" si="84"/>
        <v>719000</v>
      </c>
      <c r="Q51" s="149">
        <f t="shared" si="84"/>
        <v>759000</v>
      </c>
      <c r="R51" s="149">
        <f t="shared" si="84"/>
        <v>799000</v>
      </c>
      <c r="S51" s="149">
        <f t="shared" si="84"/>
        <v>839000</v>
      </c>
      <c r="T51" s="149"/>
      <c r="U51" s="149">
        <f t="shared" ref="U51:X51" si="85">ROUNDDOWN(U39-U45*4/10,-2)</f>
        <v>0</v>
      </c>
      <c r="V51" s="149">
        <f t="shared" si="85"/>
        <v>81200</v>
      </c>
      <c r="W51" s="166">
        <f t="shared" si="85"/>
        <v>93000</v>
      </c>
      <c r="X51" s="167">
        <f t="shared" si="85"/>
        <v>-35100</v>
      </c>
      <c r="Y51" s="1"/>
      <c r="Z51" s="1"/>
      <c r="AA51" s="1"/>
      <c r="AB51" s="1"/>
      <c r="AC51" s="21">
        <v>1</v>
      </c>
      <c r="AD51" s="66">
        <v>0</v>
      </c>
      <c r="AE51" s="21">
        <v>1</v>
      </c>
      <c r="AF51" s="164"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5" customHeight="1">
      <c r="A52" s="168" t="s">
        <v>71</v>
      </c>
      <c r="B52" s="169">
        <v>3000</v>
      </c>
      <c r="C52" s="169">
        <v>3000</v>
      </c>
      <c r="D52" s="170">
        <v>3000</v>
      </c>
      <c r="E52" s="171">
        <v>3500</v>
      </c>
      <c r="F52" s="170">
        <v>3500</v>
      </c>
      <c r="G52" s="170">
        <v>3500</v>
      </c>
      <c r="H52" s="170">
        <v>3500</v>
      </c>
      <c r="I52" s="170">
        <v>3500</v>
      </c>
      <c r="J52" s="170">
        <v>3500</v>
      </c>
      <c r="K52" s="170">
        <v>3500</v>
      </c>
      <c r="L52" s="170">
        <v>3500</v>
      </c>
      <c r="M52" s="170">
        <v>3500</v>
      </c>
      <c r="N52" s="170">
        <v>3500</v>
      </c>
      <c r="O52" s="170">
        <v>3500</v>
      </c>
      <c r="P52" s="170">
        <v>3500</v>
      </c>
      <c r="Q52" s="170">
        <v>3500</v>
      </c>
      <c r="R52" s="170">
        <v>3500</v>
      </c>
      <c r="S52" s="170">
        <v>3500</v>
      </c>
      <c r="T52" s="170"/>
      <c r="U52" s="170">
        <v>3500</v>
      </c>
      <c r="V52" s="170">
        <v>3500</v>
      </c>
      <c r="W52" s="172">
        <v>3500</v>
      </c>
      <c r="X52" s="173">
        <v>3000</v>
      </c>
      <c r="Y52" s="1"/>
      <c r="Z52" s="1"/>
      <c r="AA52" s="1"/>
      <c r="AB52" s="1"/>
      <c r="AC52" s="21"/>
      <c r="AD52" s="66"/>
      <c r="AE52" s="21">
        <v>1950001</v>
      </c>
      <c r="AF52" s="164">
        <v>99547.5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5" customHeight="1">
      <c r="A53" s="174" t="s">
        <v>72</v>
      </c>
      <c r="B53" s="43">
        <v>1000</v>
      </c>
      <c r="C53" s="43">
        <v>1000</v>
      </c>
      <c r="D53" s="175">
        <v>1000</v>
      </c>
      <c r="E53" s="176">
        <v>1500</v>
      </c>
      <c r="F53" s="175">
        <v>1500</v>
      </c>
      <c r="G53" s="175">
        <v>1500</v>
      </c>
      <c r="H53" s="175">
        <v>1500</v>
      </c>
      <c r="I53" s="175">
        <v>1500</v>
      </c>
      <c r="J53" s="175">
        <v>1500</v>
      </c>
      <c r="K53" s="175">
        <v>1500</v>
      </c>
      <c r="L53" s="175">
        <v>1500</v>
      </c>
      <c r="M53" s="175">
        <v>1500</v>
      </c>
      <c r="N53" s="175">
        <v>1500</v>
      </c>
      <c r="O53" s="175">
        <v>1500</v>
      </c>
      <c r="P53" s="175">
        <v>1500</v>
      </c>
      <c r="Q53" s="175">
        <v>1500</v>
      </c>
      <c r="R53" s="175">
        <v>1500</v>
      </c>
      <c r="S53" s="175">
        <v>1500</v>
      </c>
      <c r="T53" s="175"/>
      <c r="U53" s="175">
        <v>1500</v>
      </c>
      <c r="V53" s="175">
        <v>1500</v>
      </c>
      <c r="W53" s="177">
        <v>1500</v>
      </c>
      <c r="X53" s="178">
        <v>1000</v>
      </c>
      <c r="Y53" s="1"/>
      <c r="Z53" s="1"/>
      <c r="AA53" s="1"/>
      <c r="AB53" s="1"/>
      <c r="AC53" s="21"/>
      <c r="AD53" s="66"/>
      <c r="AE53" s="21">
        <v>3300001</v>
      </c>
      <c r="AF53" s="164">
        <v>436477.5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5" customHeight="1">
      <c r="A54" s="179" t="s">
        <v>73</v>
      </c>
      <c r="B54" s="180">
        <f t="shared" ref="B54:S54" si="86">B50+B52</f>
        <v>224700</v>
      </c>
      <c r="C54" s="180">
        <f t="shared" si="86"/>
        <v>224700</v>
      </c>
      <c r="D54" s="180">
        <f t="shared" si="86"/>
        <v>3000</v>
      </c>
      <c r="E54" s="180">
        <f t="shared" si="86"/>
        <v>434600</v>
      </c>
      <c r="F54" s="180">
        <f t="shared" si="86"/>
        <v>492800</v>
      </c>
      <c r="G54" s="180">
        <f t="shared" si="86"/>
        <v>551000</v>
      </c>
      <c r="H54" s="180">
        <f t="shared" si="86"/>
        <v>609200</v>
      </c>
      <c r="I54" s="180">
        <f t="shared" si="86"/>
        <v>667400</v>
      </c>
      <c r="J54" s="180">
        <f t="shared" si="86"/>
        <v>725600</v>
      </c>
      <c r="K54" s="180">
        <f t="shared" si="86"/>
        <v>783800</v>
      </c>
      <c r="L54" s="180">
        <f t="shared" si="86"/>
        <v>842000</v>
      </c>
      <c r="M54" s="180">
        <f t="shared" si="86"/>
        <v>902000</v>
      </c>
      <c r="N54" s="180">
        <f t="shared" si="86"/>
        <v>962000</v>
      </c>
      <c r="O54" s="180">
        <f t="shared" si="86"/>
        <v>1022000</v>
      </c>
      <c r="P54" s="180">
        <f t="shared" si="86"/>
        <v>1082000</v>
      </c>
      <c r="Q54" s="180">
        <f t="shared" si="86"/>
        <v>1142000</v>
      </c>
      <c r="R54" s="180">
        <f t="shared" si="86"/>
        <v>1202000</v>
      </c>
      <c r="S54" s="180">
        <f t="shared" si="86"/>
        <v>1262000</v>
      </c>
      <c r="T54" s="180"/>
      <c r="U54" s="180">
        <f t="shared" ref="U54:X54" si="87">U50+U52</f>
        <v>3500</v>
      </c>
      <c r="V54" s="180">
        <f t="shared" si="87"/>
        <v>125300</v>
      </c>
      <c r="W54" s="181">
        <f t="shared" si="87"/>
        <v>143000</v>
      </c>
      <c r="X54" s="182">
        <f t="shared" si="87"/>
        <v>-49600</v>
      </c>
      <c r="Y54" s="1"/>
      <c r="Z54" s="1"/>
      <c r="AA54" s="1"/>
      <c r="AB54" s="1"/>
      <c r="AC54" s="21"/>
      <c r="AD54" s="66"/>
      <c r="AE54" s="21">
        <v>6950001</v>
      </c>
      <c r="AF54" s="164">
        <v>649356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" customHeight="1">
      <c r="A55" s="183" t="s">
        <v>74</v>
      </c>
      <c r="B55" s="1">
        <f t="shared" ref="B55:S55" si="88">B51+B53</f>
        <v>148800</v>
      </c>
      <c r="C55" s="1">
        <f t="shared" si="88"/>
        <v>148800</v>
      </c>
      <c r="D55" s="1">
        <f t="shared" si="88"/>
        <v>1000</v>
      </c>
      <c r="E55" s="1">
        <f t="shared" si="88"/>
        <v>288900</v>
      </c>
      <c r="F55" s="1">
        <f t="shared" si="88"/>
        <v>327700</v>
      </c>
      <c r="G55" s="1">
        <f t="shared" si="88"/>
        <v>366500</v>
      </c>
      <c r="H55" s="1">
        <f t="shared" si="88"/>
        <v>405300</v>
      </c>
      <c r="I55" s="1">
        <f t="shared" si="88"/>
        <v>444100</v>
      </c>
      <c r="J55" s="1">
        <f t="shared" si="88"/>
        <v>482900</v>
      </c>
      <c r="K55" s="1">
        <f t="shared" si="88"/>
        <v>521700</v>
      </c>
      <c r="L55" s="1">
        <f t="shared" si="88"/>
        <v>560500</v>
      </c>
      <c r="M55" s="1">
        <f t="shared" si="88"/>
        <v>600500</v>
      </c>
      <c r="N55" s="1">
        <f t="shared" si="88"/>
        <v>640500</v>
      </c>
      <c r="O55" s="1">
        <f t="shared" si="88"/>
        <v>680500</v>
      </c>
      <c r="P55" s="1">
        <f t="shared" si="88"/>
        <v>720500</v>
      </c>
      <c r="Q55" s="1">
        <f t="shared" si="88"/>
        <v>760500</v>
      </c>
      <c r="R55" s="1">
        <f t="shared" si="88"/>
        <v>800500</v>
      </c>
      <c r="S55" s="1">
        <f t="shared" si="88"/>
        <v>840500</v>
      </c>
      <c r="T55" s="1"/>
      <c r="U55" s="1">
        <f t="shared" ref="U55:X55" si="89">U51+U53</f>
        <v>1500</v>
      </c>
      <c r="V55" s="1">
        <f t="shared" si="89"/>
        <v>82700</v>
      </c>
      <c r="W55" s="47">
        <f t="shared" si="89"/>
        <v>94500</v>
      </c>
      <c r="X55" s="44">
        <f t="shared" si="89"/>
        <v>-34100</v>
      </c>
      <c r="Y55" s="1"/>
      <c r="Z55" s="1"/>
      <c r="AA55" s="1"/>
      <c r="AB55" s="1"/>
      <c r="AC55" s="21"/>
      <c r="AD55" s="66"/>
      <c r="AE55" s="21">
        <v>9000001</v>
      </c>
      <c r="AF55" s="164">
        <v>1568256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" customHeight="1">
      <c r="A56" s="184" t="s">
        <v>75</v>
      </c>
      <c r="B56" s="2">
        <f t="shared" ref="B56:S56" si="90">SUM(B54:B55)</f>
        <v>373500</v>
      </c>
      <c r="C56" s="2">
        <f t="shared" si="90"/>
        <v>373500</v>
      </c>
      <c r="D56" s="2">
        <f t="shared" si="90"/>
        <v>4000</v>
      </c>
      <c r="E56" s="185">
        <f t="shared" si="90"/>
        <v>723500</v>
      </c>
      <c r="F56" s="2">
        <f t="shared" si="90"/>
        <v>820500</v>
      </c>
      <c r="G56" s="2">
        <f t="shared" si="90"/>
        <v>917500</v>
      </c>
      <c r="H56" s="2">
        <f t="shared" si="90"/>
        <v>1014500</v>
      </c>
      <c r="I56" s="2">
        <f t="shared" si="90"/>
        <v>1111500</v>
      </c>
      <c r="J56" s="2">
        <f t="shared" si="90"/>
        <v>1208500</v>
      </c>
      <c r="K56" s="2">
        <f t="shared" si="90"/>
        <v>1305500</v>
      </c>
      <c r="L56" s="2">
        <f t="shared" si="90"/>
        <v>1402500</v>
      </c>
      <c r="M56" s="2">
        <f t="shared" si="90"/>
        <v>1502500</v>
      </c>
      <c r="N56" s="2">
        <f t="shared" si="90"/>
        <v>1602500</v>
      </c>
      <c r="O56" s="2">
        <f t="shared" si="90"/>
        <v>1702500</v>
      </c>
      <c r="P56" s="2">
        <f t="shared" si="90"/>
        <v>1802500</v>
      </c>
      <c r="Q56" s="2">
        <f t="shared" si="90"/>
        <v>1902500</v>
      </c>
      <c r="R56" s="2">
        <f t="shared" si="90"/>
        <v>2002500</v>
      </c>
      <c r="S56" s="2">
        <f t="shared" si="90"/>
        <v>2102500</v>
      </c>
      <c r="T56" s="2"/>
      <c r="U56" s="2">
        <f t="shared" ref="U56:X56" si="91">SUM(U54:U55)</f>
        <v>5000</v>
      </c>
      <c r="V56" s="2">
        <f t="shared" si="91"/>
        <v>208000</v>
      </c>
      <c r="W56" s="186">
        <f t="shared" si="91"/>
        <v>237500</v>
      </c>
      <c r="X56" s="187">
        <f t="shared" si="91"/>
        <v>-83700</v>
      </c>
      <c r="Y56" s="1"/>
      <c r="Z56" s="1"/>
      <c r="AA56" s="1"/>
      <c r="AB56" s="1"/>
      <c r="AC56" s="21"/>
      <c r="AD56" s="66"/>
      <c r="AE56" s="21">
        <v>18000001</v>
      </c>
      <c r="AF56" s="164">
        <v>2854716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5" customHeight="1">
      <c r="A57" s="188" t="s">
        <v>76</v>
      </c>
      <c r="B57" s="45"/>
      <c r="C57" s="45"/>
      <c r="D57" s="189"/>
      <c r="E57" s="190">
        <f t="shared" ref="E57:S57" si="92">E45/E40</f>
        <v>0</v>
      </c>
      <c r="F57" s="191">
        <f t="shared" si="92"/>
        <v>0</v>
      </c>
      <c r="G57" s="191">
        <f t="shared" si="92"/>
        <v>0</v>
      </c>
      <c r="H57" s="191">
        <f t="shared" si="92"/>
        <v>0</v>
      </c>
      <c r="I57" s="191">
        <f t="shared" si="92"/>
        <v>0</v>
      </c>
      <c r="J57" s="191">
        <f t="shared" si="92"/>
        <v>0</v>
      </c>
      <c r="K57" s="191">
        <f t="shared" si="92"/>
        <v>0</v>
      </c>
      <c r="L57" s="191">
        <f t="shared" si="92"/>
        <v>0</v>
      </c>
      <c r="M57" s="191">
        <f t="shared" si="92"/>
        <v>0</v>
      </c>
      <c r="N57" s="191">
        <f t="shared" si="92"/>
        <v>0</v>
      </c>
      <c r="O57" s="191">
        <f t="shared" si="92"/>
        <v>0</v>
      </c>
      <c r="P57" s="191">
        <f t="shared" si="92"/>
        <v>0</v>
      </c>
      <c r="Q57" s="191">
        <f t="shared" si="92"/>
        <v>0</v>
      </c>
      <c r="R57" s="191">
        <f t="shared" si="92"/>
        <v>0</v>
      </c>
      <c r="S57" s="191">
        <f t="shared" si="92"/>
        <v>0</v>
      </c>
      <c r="T57" s="191"/>
      <c r="U57" s="191" t="e">
        <f t="shared" ref="U57:W57" si="93">U45/U40</f>
        <v>#DIV/0!</v>
      </c>
      <c r="V57" s="191">
        <f t="shared" si="93"/>
        <v>0</v>
      </c>
      <c r="W57" s="192">
        <f t="shared" si="93"/>
        <v>0.2259567387687188</v>
      </c>
      <c r="X57" s="193"/>
      <c r="Y57" s="1"/>
      <c r="Z57" s="1"/>
      <c r="AA57" s="1"/>
      <c r="AB57" s="1"/>
      <c r="AC57" s="21"/>
      <c r="AD57" s="66"/>
      <c r="AE57" s="150">
        <v>40000001</v>
      </c>
      <c r="AF57" s="194">
        <v>4896716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5" customHeight="1">
      <c r="A58" s="47" t="s">
        <v>77</v>
      </c>
      <c r="B58" s="45"/>
      <c r="C58" s="45"/>
      <c r="D58" s="1"/>
      <c r="E58" s="4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86"/>
      <c r="X58" s="44"/>
      <c r="Y58" s="1"/>
      <c r="Z58" s="1"/>
      <c r="AA58" s="1"/>
      <c r="AB58" s="1"/>
      <c r="AC58" s="290" t="s">
        <v>78</v>
      </c>
      <c r="AD58" s="282"/>
      <c r="AE58" s="290" t="s">
        <v>79</v>
      </c>
      <c r="AF58" s="28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5" customHeight="1">
      <c r="A59" s="160" t="s">
        <v>21</v>
      </c>
      <c r="B59" s="169">
        <f t="shared" ref="B59:S59" si="94">B9</f>
        <v>7000000</v>
      </c>
      <c r="C59" s="195">
        <f t="shared" si="94"/>
        <v>7000000</v>
      </c>
      <c r="D59" s="180">
        <f t="shared" si="94"/>
        <v>0</v>
      </c>
      <c r="E59" s="196">
        <f t="shared" si="94"/>
        <v>11000000</v>
      </c>
      <c r="F59" s="180">
        <f t="shared" si="94"/>
        <v>12000000</v>
      </c>
      <c r="G59" s="180">
        <f t="shared" si="94"/>
        <v>13000000</v>
      </c>
      <c r="H59" s="180">
        <f t="shared" si="94"/>
        <v>14000000</v>
      </c>
      <c r="I59" s="180">
        <f t="shared" si="94"/>
        <v>15000000</v>
      </c>
      <c r="J59" s="180">
        <f t="shared" si="94"/>
        <v>16000000</v>
      </c>
      <c r="K59" s="180">
        <f t="shared" si="94"/>
        <v>17000000</v>
      </c>
      <c r="L59" s="180">
        <f t="shared" si="94"/>
        <v>18000000</v>
      </c>
      <c r="M59" s="180">
        <f t="shared" si="94"/>
        <v>19000000</v>
      </c>
      <c r="N59" s="180">
        <f t="shared" si="94"/>
        <v>20000000</v>
      </c>
      <c r="O59" s="180">
        <f t="shared" si="94"/>
        <v>21000000</v>
      </c>
      <c r="P59" s="180">
        <f t="shared" si="94"/>
        <v>22000000</v>
      </c>
      <c r="Q59" s="180">
        <f t="shared" si="94"/>
        <v>23000000</v>
      </c>
      <c r="R59" s="180">
        <f t="shared" si="94"/>
        <v>24000000</v>
      </c>
      <c r="S59" s="180">
        <f t="shared" si="94"/>
        <v>25000000</v>
      </c>
      <c r="T59" s="180"/>
      <c r="U59" s="180">
        <f t="shared" ref="U59:X59" si="95">U9</f>
        <v>0</v>
      </c>
      <c r="V59" s="180">
        <f t="shared" si="95"/>
        <v>4500000</v>
      </c>
      <c r="W59" s="181">
        <f t="shared" si="95"/>
        <v>6000000</v>
      </c>
      <c r="X59" s="182">
        <f t="shared" si="95"/>
        <v>0</v>
      </c>
      <c r="Y59" s="1"/>
      <c r="Z59" s="1"/>
      <c r="AA59" s="1"/>
      <c r="AB59" s="1"/>
      <c r="AC59" s="197" t="s">
        <v>34</v>
      </c>
      <c r="AD59" s="198">
        <f>IF(AND($W$11&gt;24000000,$W$11&lt;=24500000),290000,IF(AND($W$11&gt;24500000,$W$11&lt;=25000000),150000,IF($W$11&lt;=24000000,$AD$33,0)))</f>
        <v>430000</v>
      </c>
      <c r="AE59" s="199" t="s">
        <v>34</v>
      </c>
      <c r="AF59" s="198">
        <f>IF(AND(W61&gt;24000000,W61&lt;=24500000),320000,IF(AND(W61&gt;24500000,W61&lt;=25000000),160000,IF(W61&lt;=24000000,$AF$33,0)))</f>
        <v>480000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5" customHeight="1">
      <c r="A60" s="134" t="s">
        <v>13</v>
      </c>
      <c r="B60" s="43">
        <f t="shared" ref="B60:D60" si="96">B59*VLOOKUP(B59,$AE$6:$AF$11,2)+VLOOKUP(B59,$AE$14:$AF$21,2)</f>
        <v>1800000</v>
      </c>
      <c r="C60" s="45">
        <f t="shared" si="96"/>
        <v>1800000</v>
      </c>
      <c r="D60" s="1">
        <f t="shared" si="96"/>
        <v>550000</v>
      </c>
      <c r="E60" s="46">
        <f t="shared" ref="E60:S60" si="97">E59*VLOOKUP(E59,$AE$6:$AF$12,2)+VLOOKUP(E59,$AE$14:$AF$22,2)</f>
        <v>1950000</v>
      </c>
      <c r="F60" s="1">
        <f t="shared" si="97"/>
        <v>1950000</v>
      </c>
      <c r="G60" s="1">
        <f t="shared" si="97"/>
        <v>1950000</v>
      </c>
      <c r="H60" s="1">
        <f t="shared" si="97"/>
        <v>1950000</v>
      </c>
      <c r="I60" s="1">
        <f t="shared" si="97"/>
        <v>1950000</v>
      </c>
      <c r="J60" s="1">
        <f t="shared" si="97"/>
        <v>1950000</v>
      </c>
      <c r="K60" s="1">
        <f t="shared" si="97"/>
        <v>1950000</v>
      </c>
      <c r="L60" s="1">
        <f t="shared" si="97"/>
        <v>1950000</v>
      </c>
      <c r="M60" s="1">
        <f t="shared" si="97"/>
        <v>1950000</v>
      </c>
      <c r="N60" s="1">
        <f t="shared" si="97"/>
        <v>1950000</v>
      </c>
      <c r="O60" s="1">
        <f t="shared" si="97"/>
        <v>1950000</v>
      </c>
      <c r="P60" s="1">
        <f t="shared" si="97"/>
        <v>1950000</v>
      </c>
      <c r="Q60" s="1">
        <f t="shared" si="97"/>
        <v>1950000</v>
      </c>
      <c r="R60" s="1">
        <f t="shared" si="97"/>
        <v>1950000</v>
      </c>
      <c r="S60" s="1">
        <f t="shared" si="97"/>
        <v>1950000</v>
      </c>
      <c r="T60" s="1"/>
      <c r="U60" s="1">
        <f t="shared" ref="U60:X60" si="98">U59*VLOOKUP(U59,$AE$6:$AF$12,2)+VLOOKUP(U59,$AE$14:$AF$22,2)</f>
        <v>550000</v>
      </c>
      <c r="V60" s="1">
        <f t="shared" si="98"/>
        <v>1340000</v>
      </c>
      <c r="W60" s="47">
        <f t="shared" si="98"/>
        <v>1640000</v>
      </c>
      <c r="X60" s="48">
        <f t="shared" si="98"/>
        <v>550000</v>
      </c>
      <c r="Y60" s="1"/>
      <c r="Z60" s="1"/>
      <c r="AA60" s="1"/>
      <c r="AB60" s="1"/>
      <c r="AC60" s="197" t="s">
        <v>31</v>
      </c>
      <c r="AD60" s="198">
        <v>330000</v>
      </c>
      <c r="AE60" s="199" t="s">
        <v>31</v>
      </c>
      <c r="AF60" s="198">
        <v>380000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5" customHeight="1">
      <c r="A61" s="134" t="s">
        <v>22</v>
      </c>
      <c r="B61" s="43">
        <f t="shared" ref="B61:S61" si="99">B59-B60</f>
        <v>5200000</v>
      </c>
      <c r="C61" s="45">
        <f t="shared" si="99"/>
        <v>5200000</v>
      </c>
      <c r="D61" s="1">
        <f t="shared" si="99"/>
        <v>-550000</v>
      </c>
      <c r="E61" s="46">
        <f t="shared" si="99"/>
        <v>9050000</v>
      </c>
      <c r="F61" s="1">
        <f t="shared" si="99"/>
        <v>10050000</v>
      </c>
      <c r="G61" s="1">
        <f t="shared" si="99"/>
        <v>11050000</v>
      </c>
      <c r="H61" s="1">
        <f t="shared" si="99"/>
        <v>12050000</v>
      </c>
      <c r="I61" s="1">
        <f t="shared" si="99"/>
        <v>13050000</v>
      </c>
      <c r="J61" s="1">
        <f t="shared" si="99"/>
        <v>14050000</v>
      </c>
      <c r="K61" s="1">
        <f t="shared" si="99"/>
        <v>15050000</v>
      </c>
      <c r="L61" s="1">
        <f t="shared" si="99"/>
        <v>16050000</v>
      </c>
      <c r="M61" s="1">
        <f t="shared" si="99"/>
        <v>17050000</v>
      </c>
      <c r="N61" s="1">
        <f t="shared" si="99"/>
        <v>18050000</v>
      </c>
      <c r="O61" s="1">
        <f t="shared" si="99"/>
        <v>19050000</v>
      </c>
      <c r="P61" s="1">
        <f t="shared" si="99"/>
        <v>20050000</v>
      </c>
      <c r="Q61" s="1">
        <f t="shared" si="99"/>
        <v>21050000</v>
      </c>
      <c r="R61" s="1">
        <f t="shared" si="99"/>
        <v>22050000</v>
      </c>
      <c r="S61" s="1">
        <f t="shared" si="99"/>
        <v>23050000</v>
      </c>
      <c r="T61" s="1"/>
      <c r="U61" s="1">
        <f t="shared" ref="U61:X61" si="100">U59-U60</f>
        <v>-550000</v>
      </c>
      <c r="V61" s="1">
        <f t="shared" si="100"/>
        <v>3160000</v>
      </c>
      <c r="W61" s="47">
        <f t="shared" si="100"/>
        <v>4360000</v>
      </c>
      <c r="X61" s="48">
        <f t="shared" si="100"/>
        <v>-550000</v>
      </c>
      <c r="Y61" s="1"/>
      <c r="Z61" s="1"/>
      <c r="AA61" s="1"/>
      <c r="AB61" s="1"/>
      <c r="AC61" s="197" t="s">
        <v>49</v>
      </c>
      <c r="AD61" s="198">
        <v>0</v>
      </c>
      <c r="AE61" s="199" t="s">
        <v>49</v>
      </c>
      <c r="AF61" s="198"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5" customHeight="1">
      <c r="A62" s="134"/>
      <c r="B62" s="43"/>
      <c r="C62" s="45"/>
      <c r="D62" s="1"/>
      <c r="E62" s="4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7"/>
      <c r="X62" s="48"/>
      <c r="Y62" s="1"/>
      <c r="Z62" s="1"/>
      <c r="AA62" s="1"/>
      <c r="AB62" s="1"/>
      <c r="AC62" s="197" t="s">
        <v>33</v>
      </c>
      <c r="AD62" s="198">
        <v>330000</v>
      </c>
      <c r="AE62" s="199" t="s">
        <v>33</v>
      </c>
      <c r="AF62" s="198">
        <v>380000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5" customHeight="1">
      <c r="A63" s="134" t="s">
        <v>30</v>
      </c>
      <c r="B63" s="43">
        <f t="shared" ref="B63:S63" si="101">B59*VLOOKUP(B59,$AE$25:$AF$27,2)+VLOOKUP(B59,$AE$29:$AF$31,2)</f>
        <v>1050000</v>
      </c>
      <c r="C63" s="45">
        <f t="shared" si="101"/>
        <v>1050000</v>
      </c>
      <c r="D63" s="1">
        <f t="shared" si="101"/>
        <v>0</v>
      </c>
      <c r="E63" s="46">
        <f t="shared" si="101"/>
        <v>1410000</v>
      </c>
      <c r="F63" s="1">
        <f t="shared" si="101"/>
        <v>1440000</v>
      </c>
      <c r="G63" s="1">
        <f t="shared" si="101"/>
        <v>1470000</v>
      </c>
      <c r="H63" s="1">
        <f t="shared" si="101"/>
        <v>1500000</v>
      </c>
      <c r="I63" s="1">
        <f t="shared" si="101"/>
        <v>1530000</v>
      </c>
      <c r="J63" s="1">
        <f t="shared" si="101"/>
        <v>1560000</v>
      </c>
      <c r="K63" s="1">
        <f t="shared" si="101"/>
        <v>1590000</v>
      </c>
      <c r="L63" s="1">
        <f t="shared" si="101"/>
        <v>1620000</v>
      </c>
      <c r="M63" s="1">
        <f t="shared" si="101"/>
        <v>1620000</v>
      </c>
      <c r="N63" s="1">
        <f t="shared" si="101"/>
        <v>1620000</v>
      </c>
      <c r="O63" s="1">
        <f t="shared" si="101"/>
        <v>1620000</v>
      </c>
      <c r="P63" s="1">
        <f t="shared" si="101"/>
        <v>1620000</v>
      </c>
      <c r="Q63" s="1">
        <f t="shared" si="101"/>
        <v>1620000</v>
      </c>
      <c r="R63" s="1">
        <f t="shared" si="101"/>
        <v>1620000</v>
      </c>
      <c r="S63" s="1">
        <f t="shared" si="101"/>
        <v>1620000</v>
      </c>
      <c r="T63" s="1"/>
      <c r="U63" s="1">
        <f t="shared" ref="U63:X63" si="102">U59*VLOOKUP(U59,$AE$25:$AF$27,2)+VLOOKUP(U59,$AE$29:$AF$31,2)</f>
        <v>0</v>
      </c>
      <c r="V63" s="1">
        <f t="shared" si="102"/>
        <v>675000</v>
      </c>
      <c r="W63" s="47">
        <f t="shared" si="102"/>
        <v>900000</v>
      </c>
      <c r="X63" s="48">
        <f t="shared" si="102"/>
        <v>0</v>
      </c>
      <c r="Y63" s="1"/>
      <c r="Z63" s="1"/>
      <c r="AA63" s="1"/>
      <c r="AB63" s="1"/>
      <c r="AC63" s="200" t="s">
        <v>52</v>
      </c>
      <c r="AD63" s="201">
        <v>450000</v>
      </c>
      <c r="AE63" s="202" t="s">
        <v>52</v>
      </c>
      <c r="AF63" s="201">
        <v>630000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5" customHeight="1">
      <c r="A64" s="203" t="s">
        <v>31</v>
      </c>
      <c r="B64" s="72">
        <f t="shared" ref="B64:S64" si="103">IF($Y$2=1,IF($B$3&gt;=31,IF(AND($Y$2=1),IF($B$3&gt;=31,IF(B61&gt;9000000,IF(B61&gt;9500000,IF(B61&gt;10000000,0,ROUNDUP($AF$34*1/3,-4)),ROUNDUP($AF$34*2/3,-4)),$AF$34),$R$34),0),$AF$34),0)</f>
        <v>0</v>
      </c>
      <c r="C64" s="72">
        <f t="shared" si="103"/>
        <v>0</v>
      </c>
      <c r="D64" s="72">
        <f t="shared" si="103"/>
        <v>0</v>
      </c>
      <c r="E64" s="72">
        <f t="shared" si="103"/>
        <v>0</v>
      </c>
      <c r="F64" s="72">
        <f t="shared" si="103"/>
        <v>0</v>
      </c>
      <c r="G64" s="72">
        <f t="shared" si="103"/>
        <v>0</v>
      </c>
      <c r="H64" s="72">
        <f t="shared" si="103"/>
        <v>0</v>
      </c>
      <c r="I64" s="72">
        <f t="shared" si="103"/>
        <v>0</v>
      </c>
      <c r="J64" s="72">
        <f t="shared" si="103"/>
        <v>0</v>
      </c>
      <c r="K64" s="72">
        <f t="shared" si="103"/>
        <v>0</v>
      </c>
      <c r="L64" s="72">
        <f t="shared" si="103"/>
        <v>0</v>
      </c>
      <c r="M64" s="72">
        <f t="shared" si="103"/>
        <v>0</v>
      </c>
      <c r="N64" s="72">
        <f t="shared" si="103"/>
        <v>0</v>
      </c>
      <c r="O64" s="72">
        <f t="shared" si="103"/>
        <v>0</v>
      </c>
      <c r="P64" s="72">
        <f t="shared" si="103"/>
        <v>0</v>
      </c>
      <c r="Q64" s="72">
        <f t="shared" si="103"/>
        <v>0</v>
      </c>
      <c r="R64" s="72">
        <f t="shared" si="103"/>
        <v>0</v>
      </c>
      <c r="S64" s="72">
        <f t="shared" si="103"/>
        <v>0</v>
      </c>
      <c r="T64" s="1"/>
      <c r="U64" s="72">
        <f t="shared" ref="U64:X64" si="104">IF($Y$2=1,IF($B$3&gt;=31,IF(AND($Y$2=1),IF($B$3&gt;=31,IF(U61&gt;9000000,IF(U61&gt;9500000,IF(U61&gt;10000000,0,ROUNDUP($AF$34*1/3,-4)),ROUNDUP($AF$34*2/3,-4)),$AF$34),$R$34),0),$AF$34),0)</f>
        <v>0</v>
      </c>
      <c r="V64" s="72">
        <f t="shared" si="104"/>
        <v>0</v>
      </c>
      <c r="W64" s="73">
        <f t="shared" si="104"/>
        <v>0</v>
      </c>
      <c r="X64" s="204">
        <f t="shared" si="104"/>
        <v>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5" customHeight="1">
      <c r="A65" s="134" t="s">
        <v>32</v>
      </c>
      <c r="B65" s="43">
        <f t="shared" ref="B65:S65" si="105">IF(B61&lt;10000000,IF($Y$2=1,$AF$35,0),0)</f>
        <v>0</v>
      </c>
      <c r="C65" s="45">
        <f t="shared" si="105"/>
        <v>0</v>
      </c>
      <c r="D65" s="1">
        <f t="shared" si="105"/>
        <v>0</v>
      </c>
      <c r="E65" s="46">
        <f t="shared" si="105"/>
        <v>0</v>
      </c>
      <c r="F65" s="1">
        <f t="shared" si="105"/>
        <v>0</v>
      </c>
      <c r="G65" s="1">
        <f t="shared" si="105"/>
        <v>0</v>
      </c>
      <c r="H65" s="1">
        <f t="shared" si="105"/>
        <v>0</v>
      </c>
      <c r="I65" s="1">
        <f t="shared" si="105"/>
        <v>0</v>
      </c>
      <c r="J65" s="1">
        <f t="shared" si="105"/>
        <v>0</v>
      </c>
      <c r="K65" s="1">
        <f t="shared" si="105"/>
        <v>0</v>
      </c>
      <c r="L65" s="1">
        <f t="shared" si="105"/>
        <v>0</v>
      </c>
      <c r="M65" s="1">
        <f t="shared" si="105"/>
        <v>0</v>
      </c>
      <c r="N65" s="1">
        <f t="shared" si="105"/>
        <v>0</v>
      </c>
      <c r="O65" s="1">
        <f t="shared" si="105"/>
        <v>0</v>
      </c>
      <c r="P65" s="1">
        <f t="shared" si="105"/>
        <v>0</v>
      </c>
      <c r="Q65" s="1">
        <f t="shared" si="105"/>
        <v>0</v>
      </c>
      <c r="R65" s="1">
        <f t="shared" si="105"/>
        <v>0</v>
      </c>
      <c r="S65" s="1">
        <f t="shared" si="105"/>
        <v>0</v>
      </c>
      <c r="T65" s="1"/>
      <c r="U65" s="1">
        <f t="shared" ref="U65:V65" si="106">IF(U61&lt;10000000,IF($Y$2=1,$AF$35,0),0)</f>
        <v>0</v>
      </c>
      <c r="V65" s="1">
        <f t="shared" si="106"/>
        <v>0</v>
      </c>
      <c r="W65" s="47">
        <f>IF(W61&lt;10000000,IF($Y$2=1,$AF$61,0),0)</f>
        <v>0</v>
      </c>
      <c r="X65" s="48">
        <f>IF(X61&lt;10000000,IF($Y$2=1,$AF$35,0),0)</f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5" customHeight="1">
      <c r="A66" s="134" t="s">
        <v>33</v>
      </c>
      <c r="B66" s="43">
        <f t="shared" ref="B66:S66" si="107">IF($Y$5&gt;0,$Y$5*$AF$36,0)+IF($Y$6&gt;0,$Y$6*$AF$37)+IF($Y$7&gt;0,$Y$7*$AF$36,0)</f>
        <v>0</v>
      </c>
      <c r="C66" s="45">
        <f t="shared" si="107"/>
        <v>0</v>
      </c>
      <c r="D66" s="1">
        <f t="shared" si="107"/>
        <v>0</v>
      </c>
      <c r="E66" s="46">
        <f t="shared" si="107"/>
        <v>0</v>
      </c>
      <c r="F66" s="1">
        <f t="shared" si="107"/>
        <v>0</v>
      </c>
      <c r="G66" s="1">
        <f t="shared" si="107"/>
        <v>0</v>
      </c>
      <c r="H66" s="1">
        <f t="shared" si="107"/>
        <v>0</v>
      </c>
      <c r="I66" s="1">
        <f t="shared" si="107"/>
        <v>0</v>
      </c>
      <c r="J66" s="1">
        <f t="shared" si="107"/>
        <v>0</v>
      </c>
      <c r="K66" s="1">
        <f t="shared" si="107"/>
        <v>0</v>
      </c>
      <c r="L66" s="1">
        <f t="shared" si="107"/>
        <v>0</v>
      </c>
      <c r="M66" s="1">
        <f t="shared" si="107"/>
        <v>0</v>
      </c>
      <c r="N66" s="1">
        <f t="shared" si="107"/>
        <v>0</v>
      </c>
      <c r="O66" s="1">
        <f t="shared" si="107"/>
        <v>0</v>
      </c>
      <c r="P66" s="1">
        <f t="shared" si="107"/>
        <v>0</v>
      </c>
      <c r="Q66" s="1">
        <f t="shared" si="107"/>
        <v>0</v>
      </c>
      <c r="R66" s="1">
        <f t="shared" si="107"/>
        <v>0</v>
      </c>
      <c r="S66" s="1">
        <f t="shared" si="107"/>
        <v>0</v>
      </c>
      <c r="T66" s="1"/>
      <c r="U66" s="1">
        <f t="shared" ref="U66:X66" si="108">IF($Y$5&gt;0,$Y$5*$AF$36,0)+IF($Y$6&gt;0,$Y$6*$AF$37)+IF($Y$7&gt;0,$Y$7*$AF$36,0)</f>
        <v>0</v>
      </c>
      <c r="V66" s="1">
        <f t="shared" si="108"/>
        <v>0</v>
      </c>
      <c r="W66" s="47">
        <f t="shared" si="108"/>
        <v>0</v>
      </c>
      <c r="X66" s="48">
        <f t="shared" si="108"/>
        <v>0</v>
      </c>
      <c r="Y66" s="1"/>
      <c r="Z66" s="1"/>
      <c r="AA66" s="1"/>
      <c r="AB66" s="1"/>
      <c r="AC66" s="2" t="s">
        <v>32</v>
      </c>
      <c r="AD66" s="2"/>
      <c r="AE66" s="2"/>
      <c r="AF66" s="2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5" customHeight="1">
      <c r="A67" s="134" t="s">
        <v>34</v>
      </c>
      <c r="B67" s="43">
        <f t="shared" ref="B67:S67" si="109">$AF$33</f>
        <v>480000</v>
      </c>
      <c r="C67" s="45">
        <f t="shared" si="109"/>
        <v>480000</v>
      </c>
      <c r="D67" s="1">
        <f t="shared" si="109"/>
        <v>480000</v>
      </c>
      <c r="E67" s="46">
        <f t="shared" si="109"/>
        <v>480000</v>
      </c>
      <c r="F67" s="1">
        <f t="shared" si="109"/>
        <v>480000</v>
      </c>
      <c r="G67" s="1">
        <f t="shared" si="109"/>
        <v>480000</v>
      </c>
      <c r="H67" s="1">
        <f t="shared" si="109"/>
        <v>480000</v>
      </c>
      <c r="I67" s="1">
        <f t="shared" si="109"/>
        <v>480000</v>
      </c>
      <c r="J67" s="1">
        <f t="shared" si="109"/>
        <v>480000</v>
      </c>
      <c r="K67" s="1">
        <f t="shared" si="109"/>
        <v>480000</v>
      </c>
      <c r="L67" s="1">
        <f t="shared" si="109"/>
        <v>480000</v>
      </c>
      <c r="M67" s="1">
        <f t="shared" si="109"/>
        <v>480000</v>
      </c>
      <c r="N67" s="1">
        <f t="shared" si="109"/>
        <v>480000</v>
      </c>
      <c r="O67" s="1">
        <f t="shared" si="109"/>
        <v>480000</v>
      </c>
      <c r="P67" s="1">
        <f t="shared" si="109"/>
        <v>480000</v>
      </c>
      <c r="Q67" s="1">
        <f t="shared" si="109"/>
        <v>480000</v>
      </c>
      <c r="R67" s="1">
        <f t="shared" si="109"/>
        <v>480000</v>
      </c>
      <c r="S67" s="1">
        <f t="shared" si="109"/>
        <v>480000</v>
      </c>
      <c r="T67" s="1"/>
      <c r="U67" s="1">
        <f t="shared" ref="U67:V67" si="110">$AF$33</f>
        <v>480000</v>
      </c>
      <c r="V67" s="1">
        <f t="shared" si="110"/>
        <v>480000</v>
      </c>
      <c r="W67" s="47">
        <f>$AF$59</f>
        <v>480000</v>
      </c>
      <c r="X67" s="48">
        <f>$AF$33</f>
        <v>480000</v>
      </c>
      <c r="Y67" s="1"/>
      <c r="Z67" s="1"/>
      <c r="AA67" s="1"/>
      <c r="AB67" s="1"/>
      <c r="AC67" s="280" t="s">
        <v>9</v>
      </c>
      <c r="AD67" s="281"/>
      <c r="AE67" s="280" t="s">
        <v>10</v>
      </c>
      <c r="AF67" s="282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5" customHeight="1">
      <c r="A68" s="134" t="s">
        <v>36</v>
      </c>
      <c r="B68" s="43">
        <f>SUM(B62:B67)</f>
        <v>1530000</v>
      </c>
      <c r="C68" s="45">
        <f>SUM(C62:C67)+D93</f>
        <v>1530000</v>
      </c>
      <c r="D68" s="1">
        <f t="shared" ref="D68:S68" si="111">SUM(D62:D67)</f>
        <v>480000</v>
      </c>
      <c r="E68" s="46">
        <f t="shared" si="111"/>
        <v>1890000</v>
      </c>
      <c r="F68" s="1">
        <f t="shared" si="111"/>
        <v>1920000</v>
      </c>
      <c r="G68" s="1">
        <f t="shared" si="111"/>
        <v>1950000</v>
      </c>
      <c r="H68" s="1">
        <f t="shared" si="111"/>
        <v>1980000</v>
      </c>
      <c r="I68" s="1">
        <f t="shared" si="111"/>
        <v>2010000</v>
      </c>
      <c r="J68" s="1">
        <f t="shared" si="111"/>
        <v>2040000</v>
      </c>
      <c r="K68" s="1">
        <f t="shared" si="111"/>
        <v>2070000</v>
      </c>
      <c r="L68" s="1">
        <f t="shared" si="111"/>
        <v>2100000</v>
      </c>
      <c r="M68" s="1">
        <f t="shared" si="111"/>
        <v>2100000</v>
      </c>
      <c r="N68" s="1">
        <f t="shared" si="111"/>
        <v>2100000</v>
      </c>
      <c r="O68" s="1">
        <f t="shared" si="111"/>
        <v>2100000</v>
      </c>
      <c r="P68" s="1">
        <f t="shared" si="111"/>
        <v>2100000</v>
      </c>
      <c r="Q68" s="1">
        <f t="shared" si="111"/>
        <v>2100000</v>
      </c>
      <c r="R68" s="1">
        <f t="shared" si="111"/>
        <v>2100000</v>
      </c>
      <c r="S68" s="1">
        <f t="shared" si="111"/>
        <v>2100000</v>
      </c>
      <c r="T68" s="1"/>
      <c r="U68" s="1">
        <f t="shared" ref="U68:X68" si="112">SUM(U62:U67)</f>
        <v>480000</v>
      </c>
      <c r="V68" s="1">
        <f t="shared" si="112"/>
        <v>1155000</v>
      </c>
      <c r="W68" s="47">
        <f t="shared" si="112"/>
        <v>1380000</v>
      </c>
      <c r="X68" s="48">
        <f t="shared" si="112"/>
        <v>480000</v>
      </c>
      <c r="Y68" s="1"/>
      <c r="Z68" s="1"/>
      <c r="AA68" s="1"/>
      <c r="AB68" s="1"/>
      <c r="AC68" s="283" t="s">
        <v>2</v>
      </c>
      <c r="AD68" s="284"/>
      <c r="AE68" s="283" t="s">
        <v>2</v>
      </c>
      <c r="AF68" s="285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5" customHeight="1">
      <c r="A69" s="205" t="s">
        <v>80</v>
      </c>
      <c r="B69" s="206">
        <f t="shared" ref="B69:D69" si="113">IF(B41&lt;=2000,0,IF(B41&gt;B61*40%,(B61*40%-2000)*VLOOKUP(B71,$AE$40:$AF$46,2),(B41-2000)*VLOOKUP(B71,$AE$40:$AF$46,2)))</f>
        <v>0</v>
      </c>
      <c r="C69" s="207">
        <f t="shared" si="113"/>
        <v>0</v>
      </c>
      <c r="D69" s="207">
        <f t="shared" si="113"/>
        <v>0</v>
      </c>
      <c r="E69" s="208">
        <f t="shared" ref="E69:S69" si="114">IF(E41&lt;=2000,0,IF(E41&gt;E61*40%,(E61*40%-2000)*VLOOKUP(E71,$AE$40:$AF$47,2),(E41-2000)*VLOOKUP(E71,$AE$40:$AF$47,2)))</f>
        <v>0</v>
      </c>
      <c r="F69" s="209">
        <f t="shared" si="114"/>
        <v>0</v>
      </c>
      <c r="G69" s="209">
        <f t="shared" si="114"/>
        <v>0</v>
      </c>
      <c r="H69" s="209">
        <f t="shared" si="114"/>
        <v>0</v>
      </c>
      <c r="I69" s="209">
        <f t="shared" si="114"/>
        <v>0</v>
      </c>
      <c r="J69" s="209">
        <f t="shared" si="114"/>
        <v>0</v>
      </c>
      <c r="K69" s="209">
        <f t="shared" si="114"/>
        <v>0</v>
      </c>
      <c r="L69" s="209">
        <f t="shared" si="114"/>
        <v>0</v>
      </c>
      <c r="M69" s="209">
        <f t="shared" si="114"/>
        <v>0</v>
      </c>
      <c r="N69" s="209">
        <f t="shared" si="114"/>
        <v>0</v>
      </c>
      <c r="O69" s="209">
        <f t="shared" si="114"/>
        <v>0</v>
      </c>
      <c r="P69" s="209">
        <f t="shared" si="114"/>
        <v>0</v>
      </c>
      <c r="Q69" s="209">
        <f t="shared" si="114"/>
        <v>0</v>
      </c>
      <c r="R69" s="209">
        <f t="shared" si="114"/>
        <v>0</v>
      </c>
      <c r="S69" s="209">
        <f t="shared" si="114"/>
        <v>0</v>
      </c>
      <c r="T69" s="209"/>
      <c r="U69" s="209">
        <f t="shared" ref="U69:W69" si="115">IF(U41&lt;=2000,0,IF(U41&gt;U61*40%,(U61*40%-2000)*VLOOKUP(U71,$AE$40:$AF$47,2),(U41-2000)*VLOOKUP(U71,$AE$40:$AF$47,2)))</f>
        <v>0</v>
      </c>
      <c r="V69" s="209">
        <f t="shared" si="115"/>
        <v>0</v>
      </c>
      <c r="W69" s="210">
        <f t="shared" si="115"/>
        <v>7963.7999999999993</v>
      </c>
      <c r="X69" s="211"/>
      <c r="Y69" s="1"/>
      <c r="Z69" s="1"/>
      <c r="AA69" s="1"/>
      <c r="AB69" s="1"/>
      <c r="AC69" s="9">
        <v>0</v>
      </c>
      <c r="AD69" s="17">
        <v>330000</v>
      </c>
      <c r="AE69" s="9">
        <v>0</v>
      </c>
      <c r="AF69" s="212">
        <v>380000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5" customHeight="1">
      <c r="A70" s="213" t="s">
        <v>81</v>
      </c>
      <c r="B70" s="214"/>
      <c r="C70" s="214"/>
      <c r="D70" s="214"/>
      <c r="E70" s="215">
        <f t="shared" ref="E70:S70" si="116">IF(E41="",0,IF(E41&lt;=E61*0.4,IF(E41-2000&gt;0,E41-2000,0),E61*0.4-2000))</f>
        <v>0</v>
      </c>
      <c r="F70" s="216">
        <f t="shared" si="116"/>
        <v>0</v>
      </c>
      <c r="G70" s="216">
        <f t="shared" si="116"/>
        <v>0</v>
      </c>
      <c r="H70" s="216">
        <f t="shared" si="116"/>
        <v>0</v>
      </c>
      <c r="I70" s="216">
        <f t="shared" si="116"/>
        <v>0</v>
      </c>
      <c r="J70" s="216">
        <f t="shared" si="116"/>
        <v>0</v>
      </c>
      <c r="K70" s="216">
        <f t="shared" si="116"/>
        <v>0</v>
      </c>
      <c r="L70" s="216">
        <f t="shared" si="116"/>
        <v>0</v>
      </c>
      <c r="M70" s="216">
        <f t="shared" si="116"/>
        <v>0</v>
      </c>
      <c r="N70" s="216">
        <f t="shared" si="116"/>
        <v>0</v>
      </c>
      <c r="O70" s="216">
        <f t="shared" si="116"/>
        <v>0</v>
      </c>
      <c r="P70" s="216">
        <f t="shared" si="116"/>
        <v>0</v>
      </c>
      <c r="Q70" s="216">
        <f t="shared" si="116"/>
        <v>0</v>
      </c>
      <c r="R70" s="216">
        <f t="shared" si="116"/>
        <v>0</v>
      </c>
      <c r="S70" s="216">
        <f t="shared" si="116"/>
        <v>0</v>
      </c>
      <c r="T70" s="216"/>
      <c r="U70" s="216">
        <f t="shared" ref="U70:W70" si="117">IF(U41="",0,IF(U41&lt;=U61*0.4,IF(U41-2000&gt;0,U41-2000,0),U61*0.4-2000))</f>
        <v>0</v>
      </c>
      <c r="V70" s="216">
        <f t="shared" si="117"/>
        <v>0</v>
      </c>
      <c r="W70" s="217">
        <f t="shared" si="117"/>
        <v>78000</v>
      </c>
      <c r="X70" s="218"/>
      <c r="Y70" s="219"/>
      <c r="Z70" s="1"/>
      <c r="AA70" s="1"/>
      <c r="AB70" s="1"/>
      <c r="AC70" s="9">
        <v>480001</v>
      </c>
      <c r="AD70" s="17">
        <v>330000</v>
      </c>
      <c r="AE70" s="9">
        <v>480001</v>
      </c>
      <c r="AF70" s="212">
        <v>380000</v>
      </c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</row>
    <row r="71" spans="1:43" ht="15" customHeight="1">
      <c r="A71" s="134" t="s">
        <v>37</v>
      </c>
      <c r="B71" s="43">
        <f t="shared" ref="B71:S71" si="118">ROUNDDOWN(IF(B61-B68&lt;0,0,B61-B68),-3)</f>
        <v>3670000</v>
      </c>
      <c r="C71" s="45">
        <f t="shared" si="118"/>
        <v>3670000</v>
      </c>
      <c r="D71" s="1">
        <f t="shared" si="118"/>
        <v>0</v>
      </c>
      <c r="E71" s="46">
        <f t="shared" si="118"/>
        <v>7160000</v>
      </c>
      <c r="F71" s="1">
        <f t="shared" si="118"/>
        <v>8130000</v>
      </c>
      <c r="G71" s="1">
        <f t="shared" si="118"/>
        <v>9100000</v>
      </c>
      <c r="H71" s="1">
        <f t="shared" si="118"/>
        <v>10070000</v>
      </c>
      <c r="I71" s="1">
        <f t="shared" si="118"/>
        <v>11040000</v>
      </c>
      <c r="J71" s="1">
        <f t="shared" si="118"/>
        <v>12010000</v>
      </c>
      <c r="K71" s="1">
        <f t="shared" si="118"/>
        <v>12980000</v>
      </c>
      <c r="L71" s="1">
        <f t="shared" si="118"/>
        <v>13950000</v>
      </c>
      <c r="M71" s="1">
        <f t="shared" si="118"/>
        <v>14950000</v>
      </c>
      <c r="N71" s="1">
        <f t="shared" si="118"/>
        <v>15950000</v>
      </c>
      <c r="O71" s="1">
        <f t="shared" si="118"/>
        <v>16950000</v>
      </c>
      <c r="P71" s="1">
        <f t="shared" si="118"/>
        <v>17950000</v>
      </c>
      <c r="Q71" s="1">
        <f t="shared" si="118"/>
        <v>18950000</v>
      </c>
      <c r="R71" s="1">
        <f t="shared" si="118"/>
        <v>19950000</v>
      </c>
      <c r="S71" s="1">
        <f t="shared" si="118"/>
        <v>20950000</v>
      </c>
      <c r="T71" s="1"/>
      <c r="U71" s="1">
        <f t="shared" ref="U71:X71" si="119">ROUNDDOWN(IF(U61-U68&lt;0,0,U61-U68),-3)</f>
        <v>0</v>
      </c>
      <c r="V71" s="1">
        <f t="shared" si="119"/>
        <v>2005000</v>
      </c>
      <c r="W71" s="47">
        <f t="shared" si="119"/>
        <v>2980000</v>
      </c>
      <c r="X71" s="48">
        <f t="shared" si="119"/>
        <v>0</v>
      </c>
      <c r="Y71" s="1"/>
      <c r="Z71" s="1"/>
      <c r="AA71" s="1"/>
      <c r="AB71" s="1"/>
      <c r="AC71" s="9">
        <v>1000001</v>
      </c>
      <c r="AD71" s="17">
        <v>310000</v>
      </c>
      <c r="AE71" s="9">
        <v>950001</v>
      </c>
      <c r="AF71" s="212">
        <v>360000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5" customHeight="1">
      <c r="A72" s="220" t="s">
        <v>82</v>
      </c>
      <c r="B72" s="221"/>
      <c r="C72" s="206"/>
      <c r="D72" s="206"/>
      <c r="E72" s="222">
        <f t="shared" ref="E72:S72" si="120">ROUNDDOWN(E71-E70,-3)</f>
        <v>7160000</v>
      </c>
      <c r="F72" s="223">
        <f t="shared" si="120"/>
        <v>8130000</v>
      </c>
      <c r="G72" s="223">
        <f t="shared" si="120"/>
        <v>9100000</v>
      </c>
      <c r="H72" s="223">
        <f t="shared" si="120"/>
        <v>10070000</v>
      </c>
      <c r="I72" s="223">
        <f t="shared" si="120"/>
        <v>11040000</v>
      </c>
      <c r="J72" s="223">
        <f t="shared" si="120"/>
        <v>12010000</v>
      </c>
      <c r="K72" s="223">
        <f t="shared" si="120"/>
        <v>12980000</v>
      </c>
      <c r="L72" s="223">
        <f t="shared" si="120"/>
        <v>13950000</v>
      </c>
      <c r="M72" s="223">
        <f t="shared" si="120"/>
        <v>14950000</v>
      </c>
      <c r="N72" s="223">
        <f t="shared" si="120"/>
        <v>15950000</v>
      </c>
      <c r="O72" s="223">
        <f t="shared" si="120"/>
        <v>16950000</v>
      </c>
      <c r="P72" s="223">
        <f t="shared" si="120"/>
        <v>17950000</v>
      </c>
      <c r="Q72" s="223">
        <f t="shared" si="120"/>
        <v>18950000</v>
      </c>
      <c r="R72" s="223">
        <f t="shared" si="120"/>
        <v>19950000</v>
      </c>
      <c r="S72" s="223">
        <f t="shared" si="120"/>
        <v>20950000</v>
      </c>
      <c r="T72" s="223"/>
      <c r="U72" s="223">
        <f t="shared" ref="U72:W72" si="121">ROUNDDOWN(U71-U70,-3)</f>
        <v>0</v>
      </c>
      <c r="V72" s="223">
        <f t="shared" si="121"/>
        <v>2005000</v>
      </c>
      <c r="W72" s="217">
        <f t="shared" si="121"/>
        <v>2902000</v>
      </c>
      <c r="X72" s="211"/>
      <c r="Y72" s="1"/>
      <c r="Z72" s="219"/>
      <c r="AA72" s="219"/>
      <c r="AB72" s="219"/>
      <c r="AC72" s="224">
        <v>1050001</v>
      </c>
      <c r="AD72" s="225">
        <v>260000</v>
      </c>
      <c r="AE72" s="224">
        <v>1000001</v>
      </c>
      <c r="AF72" s="226">
        <v>310000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" customHeight="1">
      <c r="A73" s="134" t="s">
        <v>83</v>
      </c>
      <c r="B73" s="43">
        <f t="shared" ref="B73:D73" si="122">ROUNDDOWN(B71*VLOOKUP(B71,$AE$40:$AF$46,2)-VLOOKUP(B71,$AE$50:$AF$56,2),-2)</f>
        <v>312900</v>
      </c>
      <c r="C73" s="43">
        <f t="shared" si="122"/>
        <v>312900</v>
      </c>
      <c r="D73" s="1">
        <f t="shared" si="122"/>
        <v>0</v>
      </c>
      <c r="E73" s="208">
        <f t="shared" ref="E73:S73" si="123">ROUNDDOWN(E71*VLOOKUP(E71,$AE$40:$AF$47,2)-VLOOKUP(E71,$AE$50:$AF$57,2),0)</f>
        <v>1032026</v>
      </c>
      <c r="F73" s="209">
        <f t="shared" si="123"/>
        <v>1259811</v>
      </c>
      <c r="G73" s="209">
        <f t="shared" si="123"/>
        <v>1497807</v>
      </c>
      <c r="H73" s="209">
        <f t="shared" si="123"/>
        <v>1824629</v>
      </c>
      <c r="I73" s="209">
        <f t="shared" si="123"/>
        <v>2151451</v>
      </c>
      <c r="J73" s="209">
        <f t="shared" si="123"/>
        <v>2478273</v>
      </c>
      <c r="K73" s="209">
        <f t="shared" si="123"/>
        <v>2805095</v>
      </c>
      <c r="L73" s="209">
        <f t="shared" si="123"/>
        <v>3131917</v>
      </c>
      <c r="M73" s="209">
        <f t="shared" si="123"/>
        <v>3468847</v>
      </c>
      <c r="N73" s="209">
        <f t="shared" si="123"/>
        <v>3805777</v>
      </c>
      <c r="O73" s="209">
        <f t="shared" si="123"/>
        <v>4142707</v>
      </c>
      <c r="P73" s="209">
        <f t="shared" si="123"/>
        <v>4479637</v>
      </c>
      <c r="Q73" s="209">
        <f t="shared" si="123"/>
        <v>4884464</v>
      </c>
      <c r="R73" s="209">
        <f t="shared" si="123"/>
        <v>5292864</v>
      </c>
      <c r="S73" s="209">
        <f t="shared" si="123"/>
        <v>5701264</v>
      </c>
      <c r="T73" s="209"/>
      <c r="U73" s="209">
        <f t="shared" ref="U73:W73" si="124">ROUNDDOWN(U71*VLOOKUP(U71,$AE$40:$AF$47,2)-VLOOKUP(U71,$AE$50:$AF$57,2),0)</f>
        <v>0</v>
      </c>
      <c r="V73" s="209">
        <f t="shared" si="124"/>
        <v>105163</v>
      </c>
      <c r="W73" s="210">
        <f t="shared" si="124"/>
        <v>204710</v>
      </c>
      <c r="X73" s="48">
        <f>ROUNDDOWN(X71*VLOOKUP(X71,$AE$40:$AF$46,2)-VLOOKUP(X71,$AE$50:$AF$56,2),-2)</f>
        <v>0</v>
      </c>
      <c r="Y73" s="1"/>
      <c r="Z73" s="1"/>
      <c r="AA73" s="1"/>
      <c r="AB73" s="1"/>
      <c r="AC73" s="9">
        <v>1100001</v>
      </c>
      <c r="AD73" s="17">
        <v>210000</v>
      </c>
      <c r="AE73" s="9">
        <v>1050001</v>
      </c>
      <c r="AF73" s="212">
        <v>260000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5" customHeight="1">
      <c r="A74" s="134"/>
      <c r="B74" s="43"/>
      <c r="C74" s="45"/>
      <c r="D74" s="1"/>
      <c r="E74" s="4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7"/>
      <c r="X74" s="48"/>
      <c r="Y74" s="1"/>
      <c r="Z74" s="1"/>
      <c r="AA74" s="1"/>
      <c r="AB74" s="1"/>
      <c r="AC74" s="9">
        <v>1150001</v>
      </c>
      <c r="AD74" s="17">
        <v>160000</v>
      </c>
      <c r="AE74" s="9">
        <v>1100001</v>
      </c>
      <c r="AF74" s="212">
        <v>210000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5" customHeight="1">
      <c r="A75" s="134" t="s">
        <v>83</v>
      </c>
      <c r="B75" s="43">
        <f t="shared" ref="B75:S75" si="125">B73-B74</f>
        <v>312900</v>
      </c>
      <c r="C75" s="45">
        <f t="shared" si="125"/>
        <v>312900</v>
      </c>
      <c r="D75" s="1">
        <f t="shared" si="125"/>
        <v>0</v>
      </c>
      <c r="E75" s="46">
        <f t="shared" si="125"/>
        <v>1032026</v>
      </c>
      <c r="F75" s="1">
        <f t="shared" si="125"/>
        <v>1259811</v>
      </c>
      <c r="G75" s="1">
        <f t="shared" si="125"/>
        <v>1497807</v>
      </c>
      <c r="H75" s="1">
        <f t="shared" si="125"/>
        <v>1824629</v>
      </c>
      <c r="I75" s="1">
        <f t="shared" si="125"/>
        <v>2151451</v>
      </c>
      <c r="J75" s="1">
        <f t="shared" si="125"/>
        <v>2478273</v>
      </c>
      <c r="K75" s="1">
        <f t="shared" si="125"/>
        <v>2805095</v>
      </c>
      <c r="L75" s="1">
        <f t="shared" si="125"/>
        <v>3131917</v>
      </c>
      <c r="M75" s="1">
        <f t="shared" si="125"/>
        <v>3468847</v>
      </c>
      <c r="N75" s="1">
        <f t="shared" si="125"/>
        <v>3805777</v>
      </c>
      <c r="O75" s="1">
        <f t="shared" si="125"/>
        <v>4142707</v>
      </c>
      <c r="P75" s="1">
        <f t="shared" si="125"/>
        <v>4479637</v>
      </c>
      <c r="Q75" s="1">
        <f t="shared" si="125"/>
        <v>4884464</v>
      </c>
      <c r="R75" s="1">
        <f t="shared" si="125"/>
        <v>5292864</v>
      </c>
      <c r="S75" s="1">
        <f t="shared" si="125"/>
        <v>5701264</v>
      </c>
      <c r="T75" s="1"/>
      <c r="U75" s="1">
        <f t="shared" ref="U75:X75" si="126">U73-U74</f>
        <v>0</v>
      </c>
      <c r="V75" s="1">
        <f t="shared" si="126"/>
        <v>105163</v>
      </c>
      <c r="W75" s="47">
        <f t="shared" si="126"/>
        <v>204710</v>
      </c>
      <c r="X75" s="48">
        <f t="shared" si="126"/>
        <v>0</v>
      </c>
      <c r="Y75" s="1"/>
      <c r="Z75" s="1"/>
      <c r="AA75" s="1"/>
      <c r="AB75" s="1"/>
      <c r="AC75" s="9">
        <v>1200001</v>
      </c>
      <c r="AD75" s="17">
        <v>110000</v>
      </c>
      <c r="AE75" s="9">
        <v>1150001</v>
      </c>
      <c r="AF75" s="212">
        <v>160000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24" customHeight="1">
      <c r="A76" s="220" t="s">
        <v>84</v>
      </c>
      <c r="B76" s="221"/>
      <c r="C76" s="221"/>
      <c r="D76" s="206"/>
      <c r="E76" s="208">
        <f t="shared" ref="E76:S76" si="127">ROUNDDOWN(E72*VLOOKUP(E72,$AE$40:$AF$47,2)-VLOOKUP(E72,$AE$50:$AF$57,2),0)</f>
        <v>1032026</v>
      </c>
      <c r="F76" s="209">
        <f t="shared" si="127"/>
        <v>1259811</v>
      </c>
      <c r="G76" s="209">
        <f t="shared" si="127"/>
        <v>1497807</v>
      </c>
      <c r="H76" s="209">
        <f t="shared" si="127"/>
        <v>1824629</v>
      </c>
      <c r="I76" s="209">
        <f t="shared" si="127"/>
        <v>2151451</v>
      </c>
      <c r="J76" s="209">
        <f t="shared" si="127"/>
        <v>2478273</v>
      </c>
      <c r="K76" s="209">
        <f t="shared" si="127"/>
        <v>2805095</v>
      </c>
      <c r="L76" s="209">
        <f t="shared" si="127"/>
        <v>3131917</v>
      </c>
      <c r="M76" s="209">
        <f t="shared" si="127"/>
        <v>3468847</v>
      </c>
      <c r="N76" s="209">
        <f t="shared" si="127"/>
        <v>3805777</v>
      </c>
      <c r="O76" s="209">
        <f t="shared" si="127"/>
        <v>4142707</v>
      </c>
      <c r="P76" s="209">
        <f t="shared" si="127"/>
        <v>4479637</v>
      </c>
      <c r="Q76" s="209">
        <f t="shared" si="127"/>
        <v>4884464</v>
      </c>
      <c r="R76" s="209">
        <f t="shared" si="127"/>
        <v>5292864</v>
      </c>
      <c r="S76" s="209">
        <f t="shared" si="127"/>
        <v>5701264</v>
      </c>
      <c r="T76" s="209"/>
      <c r="U76" s="209">
        <f t="shared" ref="U76:W76" si="128">ROUNDDOWN(U72*VLOOKUP(U72,$AE$40:$AF$47,2)-VLOOKUP(U72,$AE$50:$AF$57,2),0)</f>
        <v>0</v>
      </c>
      <c r="V76" s="209">
        <f t="shared" si="128"/>
        <v>105163</v>
      </c>
      <c r="W76" s="210">
        <f t="shared" si="128"/>
        <v>196746</v>
      </c>
      <c r="X76" s="211"/>
      <c r="Y76" s="1"/>
      <c r="Z76" s="1"/>
      <c r="AA76" s="1"/>
      <c r="AB76" s="1"/>
      <c r="AC76" s="9">
        <v>1250001</v>
      </c>
      <c r="AD76" s="17">
        <v>60000</v>
      </c>
      <c r="AE76" s="9">
        <v>1200001</v>
      </c>
      <c r="AF76" s="212">
        <v>110000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24" customHeight="1">
      <c r="A77" s="42"/>
      <c r="B77" s="43"/>
      <c r="C77" s="45"/>
      <c r="D77" s="1"/>
      <c r="E77" s="4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86"/>
      <c r="X77" s="48"/>
      <c r="Y77" s="1"/>
      <c r="Z77" s="1"/>
      <c r="AA77" s="1"/>
      <c r="AB77" s="1"/>
      <c r="AC77" s="9">
        <v>1300001</v>
      </c>
      <c r="AD77" s="17">
        <v>30000</v>
      </c>
      <c r="AE77" s="9">
        <v>1250001</v>
      </c>
      <c r="AF77" s="212">
        <v>60000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24" customHeight="1">
      <c r="A78" s="227" t="s">
        <v>85</v>
      </c>
      <c r="B78" s="228">
        <f t="shared" ref="B78:C78" si="129">B75+B76</f>
        <v>312900</v>
      </c>
      <c r="C78" s="228">
        <f t="shared" si="129"/>
        <v>312900</v>
      </c>
      <c r="D78" s="229">
        <f t="shared" ref="D78:S78" si="130">D75</f>
        <v>0</v>
      </c>
      <c r="E78" s="230">
        <f t="shared" si="130"/>
        <v>1032026</v>
      </c>
      <c r="F78" s="229">
        <f t="shared" si="130"/>
        <v>1259811</v>
      </c>
      <c r="G78" s="229">
        <f t="shared" si="130"/>
        <v>1497807</v>
      </c>
      <c r="H78" s="229">
        <f t="shared" si="130"/>
        <v>1824629</v>
      </c>
      <c r="I78" s="229">
        <f t="shared" si="130"/>
        <v>2151451</v>
      </c>
      <c r="J78" s="229">
        <f t="shared" si="130"/>
        <v>2478273</v>
      </c>
      <c r="K78" s="229">
        <f t="shared" si="130"/>
        <v>2805095</v>
      </c>
      <c r="L78" s="229">
        <f t="shared" si="130"/>
        <v>3131917</v>
      </c>
      <c r="M78" s="229">
        <f t="shared" si="130"/>
        <v>3468847</v>
      </c>
      <c r="N78" s="229">
        <f t="shared" si="130"/>
        <v>3805777</v>
      </c>
      <c r="O78" s="229">
        <f t="shared" si="130"/>
        <v>4142707</v>
      </c>
      <c r="P78" s="229">
        <f t="shared" si="130"/>
        <v>4479637</v>
      </c>
      <c r="Q78" s="229">
        <f t="shared" si="130"/>
        <v>4884464</v>
      </c>
      <c r="R78" s="229">
        <f t="shared" si="130"/>
        <v>5292864</v>
      </c>
      <c r="S78" s="229">
        <f t="shared" si="130"/>
        <v>5701264</v>
      </c>
      <c r="T78" s="229"/>
      <c r="U78" s="229">
        <f t="shared" ref="U78:X78" si="131">U75</f>
        <v>0</v>
      </c>
      <c r="V78" s="229">
        <f t="shared" si="131"/>
        <v>105163</v>
      </c>
      <c r="W78" s="231">
        <f t="shared" si="131"/>
        <v>204710</v>
      </c>
      <c r="X78" s="232">
        <f t="shared" si="131"/>
        <v>0</v>
      </c>
      <c r="Y78" s="1"/>
      <c r="Z78" s="1"/>
      <c r="AA78" s="1"/>
      <c r="AB78" s="1"/>
      <c r="AC78" s="9">
        <v>1330001</v>
      </c>
      <c r="AD78" s="17">
        <v>0</v>
      </c>
      <c r="AE78" s="9">
        <v>1300001</v>
      </c>
      <c r="AF78" s="212">
        <v>30000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24" customHeight="1">
      <c r="A79" s="233" t="s">
        <v>86</v>
      </c>
      <c r="B79" s="221"/>
      <c r="C79" s="206"/>
      <c r="D79" s="206"/>
      <c r="E79" s="207">
        <f t="shared" ref="E79:S79" si="132">E76</f>
        <v>1032026</v>
      </c>
      <c r="F79" s="206">
        <f t="shared" si="132"/>
        <v>1259811</v>
      </c>
      <c r="G79" s="206">
        <f t="shared" si="132"/>
        <v>1497807</v>
      </c>
      <c r="H79" s="206">
        <f t="shared" si="132"/>
        <v>1824629</v>
      </c>
      <c r="I79" s="206">
        <f t="shared" si="132"/>
        <v>2151451</v>
      </c>
      <c r="J79" s="206">
        <f t="shared" si="132"/>
        <v>2478273</v>
      </c>
      <c r="K79" s="206">
        <f t="shared" si="132"/>
        <v>2805095</v>
      </c>
      <c r="L79" s="206">
        <f t="shared" si="132"/>
        <v>3131917</v>
      </c>
      <c r="M79" s="206">
        <f t="shared" si="132"/>
        <v>3468847</v>
      </c>
      <c r="N79" s="206">
        <f t="shared" si="132"/>
        <v>3805777</v>
      </c>
      <c r="O79" s="206">
        <f t="shared" si="132"/>
        <v>4142707</v>
      </c>
      <c r="P79" s="206">
        <f t="shared" si="132"/>
        <v>4479637</v>
      </c>
      <c r="Q79" s="206">
        <f t="shared" si="132"/>
        <v>4884464</v>
      </c>
      <c r="R79" s="206">
        <f t="shared" si="132"/>
        <v>5292864</v>
      </c>
      <c r="S79" s="206">
        <f t="shared" si="132"/>
        <v>5701264</v>
      </c>
      <c r="T79" s="206"/>
      <c r="U79" s="206">
        <f t="shared" ref="U79:W79" si="133">U76</f>
        <v>0</v>
      </c>
      <c r="V79" s="206">
        <f t="shared" si="133"/>
        <v>105163</v>
      </c>
      <c r="W79" s="234">
        <f t="shared" si="133"/>
        <v>196746</v>
      </c>
      <c r="X79" s="211"/>
      <c r="Y79" s="1"/>
      <c r="Z79" s="1"/>
      <c r="AA79" s="1"/>
      <c r="AB79" s="1"/>
      <c r="AC79" s="235"/>
      <c r="AD79" s="236">
        <v>0</v>
      </c>
      <c r="AE79" s="235">
        <v>1330001</v>
      </c>
      <c r="AF79" s="237"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24" customHeight="1">
      <c r="A80" s="238" t="s">
        <v>87</v>
      </c>
      <c r="B80" s="43"/>
      <c r="C80" s="45"/>
      <c r="D80" s="1"/>
      <c r="E80" s="4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7"/>
      <c r="X80" s="48"/>
      <c r="Y80" s="1"/>
      <c r="Z80" s="1"/>
      <c r="AA80" s="1"/>
      <c r="AB80" s="1"/>
      <c r="AC80" s="283" t="s">
        <v>88</v>
      </c>
      <c r="AD80" s="284"/>
      <c r="AE80" s="283" t="s">
        <v>88</v>
      </c>
      <c r="AF80" s="285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8" customHeight="1">
      <c r="A81" s="239" t="s">
        <v>89</v>
      </c>
      <c r="B81" s="240">
        <f>B78+B40</f>
        <v>682400</v>
      </c>
      <c r="C81" s="241">
        <f>C78+C57-C52-C53</f>
        <v>308900</v>
      </c>
      <c r="D81" s="242">
        <f t="shared" ref="D81:S81" si="134">D78+D40</f>
        <v>0</v>
      </c>
      <c r="E81" s="243">
        <f t="shared" si="134"/>
        <v>1750526</v>
      </c>
      <c r="F81" s="242">
        <f t="shared" si="134"/>
        <v>2075311</v>
      </c>
      <c r="G81" s="242">
        <f t="shared" si="134"/>
        <v>2410307</v>
      </c>
      <c r="H81" s="242">
        <f t="shared" si="134"/>
        <v>2834129</v>
      </c>
      <c r="I81" s="242">
        <f t="shared" si="134"/>
        <v>3257951</v>
      </c>
      <c r="J81" s="242">
        <f t="shared" si="134"/>
        <v>3681773</v>
      </c>
      <c r="K81" s="242">
        <f t="shared" si="134"/>
        <v>4105595</v>
      </c>
      <c r="L81" s="242">
        <f t="shared" si="134"/>
        <v>4529417</v>
      </c>
      <c r="M81" s="242">
        <f t="shared" si="134"/>
        <v>4966347</v>
      </c>
      <c r="N81" s="242">
        <f t="shared" si="134"/>
        <v>5403277</v>
      </c>
      <c r="O81" s="242">
        <f t="shared" si="134"/>
        <v>5840207</v>
      </c>
      <c r="P81" s="242">
        <f t="shared" si="134"/>
        <v>6277137</v>
      </c>
      <c r="Q81" s="242">
        <f t="shared" si="134"/>
        <v>6781964</v>
      </c>
      <c r="R81" s="242">
        <f t="shared" si="134"/>
        <v>7290364</v>
      </c>
      <c r="S81" s="242">
        <f t="shared" si="134"/>
        <v>7798764</v>
      </c>
      <c r="T81" s="242"/>
      <c r="U81" s="242">
        <f t="shared" ref="U81:X81" si="135">U78+U40</f>
        <v>0</v>
      </c>
      <c r="V81" s="242">
        <f t="shared" si="135"/>
        <v>308163</v>
      </c>
      <c r="W81" s="244">
        <f t="shared" si="135"/>
        <v>505210</v>
      </c>
      <c r="X81" s="245">
        <f t="shared" si="135"/>
        <v>0</v>
      </c>
      <c r="Y81" s="1"/>
      <c r="Z81" s="1"/>
      <c r="AA81" s="1"/>
      <c r="AB81" s="1"/>
      <c r="AC81" s="9">
        <v>0</v>
      </c>
      <c r="AD81" s="246">
        <v>1</v>
      </c>
      <c r="AE81" s="9">
        <v>0</v>
      </c>
      <c r="AF81" s="247">
        <v>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9.5" customHeight="1">
      <c r="A82" s="248" t="s">
        <v>90</v>
      </c>
      <c r="B82" s="118">
        <f>B78+B56</f>
        <v>686400</v>
      </c>
      <c r="C82" s="249">
        <f>C78+C57</f>
        <v>312900</v>
      </c>
      <c r="D82" s="250">
        <f t="shared" ref="D82:S82" si="136">D78+D56</f>
        <v>4000</v>
      </c>
      <c r="E82" s="251">
        <f t="shared" si="136"/>
        <v>1755526</v>
      </c>
      <c r="F82" s="250">
        <f t="shared" si="136"/>
        <v>2080311</v>
      </c>
      <c r="G82" s="250">
        <f t="shared" si="136"/>
        <v>2415307</v>
      </c>
      <c r="H82" s="250">
        <f t="shared" si="136"/>
        <v>2839129</v>
      </c>
      <c r="I82" s="250">
        <f t="shared" si="136"/>
        <v>3262951</v>
      </c>
      <c r="J82" s="250">
        <f t="shared" si="136"/>
        <v>3686773</v>
      </c>
      <c r="K82" s="250">
        <f t="shared" si="136"/>
        <v>4110595</v>
      </c>
      <c r="L82" s="250">
        <f t="shared" si="136"/>
        <v>4534417</v>
      </c>
      <c r="M82" s="250">
        <f t="shared" si="136"/>
        <v>4971347</v>
      </c>
      <c r="N82" s="250">
        <f t="shared" si="136"/>
        <v>5408277</v>
      </c>
      <c r="O82" s="250">
        <f t="shared" si="136"/>
        <v>5845207</v>
      </c>
      <c r="P82" s="250">
        <f t="shared" si="136"/>
        <v>6282137</v>
      </c>
      <c r="Q82" s="250">
        <f t="shared" si="136"/>
        <v>6786964</v>
      </c>
      <c r="R82" s="250">
        <f t="shared" si="136"/>
        <v>7295364</v>
      </c>
      <c r="S82" s="250">
        <f t="shared" si="136"/>
        <v>7803764</v>
      </c>
      <c r="T82" s="250"/>
      <c r="U82" s="250">
        <f t="shared" ref="U82:X82" si="137">U78+U56</f>
        <v>5000</v>
      </c>
      <c r="V82" s="250">
        <f t="shared" si="137"/>
        <v>313163</v>
      </c>
      <c r="W82" s="252">
        <f t="shared" si="137"/>
        <v>442210</v>
      </c>
      <c r="X82" s="253">
        <f t="shared" si="137"/>
        <v>-83700</v>
      </c>
      <c r="Y82" s="1"/>
      <c r="Z82" s="1"/>
      <c r="AA82" s="1"/>
      <c r="AB82" s="1"/>
      <c r="AC82" s="9">
        <v>9000001</v>
      </c>
      <c r="AD82" s="246">
        <v>0.66666666666666663</v>
      </c>
      <c r="AE82" s="9">
        <v>9000001</v>
      </c>
      <c r="AF82" s="247">
        <v>0.66666666666666663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9.5" customHeight="1">
      <c r="A83" s="1"/>
      <c r="B83" s="45"/>
      <c r="C83" s="45"/>
      <c r="D83" s="1"/>
      <c r="E83" s="4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7"/>
      <c r="X83" s="254"/>
      <c r="Y83" s="1"/>
      <c r="Z83" s="1"/>
      <c r="AA83" s="1"/>
      <c r="AB83" s="1"/>
      <c r="AC83" s="9">
        <v>9500001</v>
      </c>
      <c r="AD83" s="246">
        <v>0.33333333333333331</v>
      </c>
      <c r="AE83" s="9">
        <v>9500001</v>
      </c>
      <c r="AF83" s="247">
        <v>0.33333333333333331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9.5" customHeight="1">
      <c r="A84" s="1" t="s">
        <v>91</v>
      </c>
      <c r="B84" s="45">
        <f t="shared" ref="B84:E84" si="138">B9-B82</f>
        <v>6313600</v>
      </c>
      <c r="C84" s="45">
        <f t="shared" si="138"/>
        <v>6687100</v>
      </c>
      <c r="D84" s="1">
        <f t="shared" si="138"/>
        <v>-4000</v>
      </c>
      <c r="E84" s="46">
        <f t="shared" si="138"/>
        <v>9244474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f t="shared" ref="U84:X84" si="139">U9-U82</f>
        <v>-5000</v>
      </c>
      <c r="V84" s="1">
        <f t="shared" si="139"/>
        <v>4186837</v>
      </c>
      <c r="W84" s="47">
        <f t="shared" si="139"/>
        <v>5557790</v>
      </c>
      <c r="X84" s="254">
        <f t="shared" si="139"/>
        <v>83700</v>
      </c>
      <c r="Y84" s="1"/>
      <c r="Z84" s="1"/>
      <c r="AA84" s="1"/>
      <c r="AB84" s="1"/>
      <c r="AC84" s="255">
        <v>10000001</v>
      </c>
      <c r="AD84" s="256">
        <v>0</v>
      </c>
      <c r="AE84" s="255">
        <v>10000001</v>
      </c>
      <c r="AF84" s="257"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9.5" customHeight="1">
      <c r="A85" s="1" t="s">
        <v>92</v>
      </c>
      <c r="B85" s="45">
        <f t="shared" ref="B85:E85" si="140">B84-B19</f>
        <v>5263600</v>
      </c>
      <c r="C85" s="45">
        <f t="shared" si="140"/>
        <v>5637100</v>
      </c>
      <c r="D85" s="1">
        <f t="shared" si="140"/>
        <v>-4000</v>
      </c>
      <c r="E85" s="46">
        <f t="shared" si="140"/>
        <v>7834474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f t="shared" ref="U85:X85" si="141">U84-U19</f>
        <v>-5000</v>
      </c>
      <c r="V85" s="1">
        <f t="shared" si="141"/>
        <v>3511837</v>
      </c>
      <c r="W85" s="47">
        <f t="shared" si="141"/>
        <v>4657790</v>
      </c>
      <c r="X85" s="258">
        <f t="shared" si="141"/>
        <v>83700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254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5" customHeight="1">
      <c r="A87" s="1" t="s">
        <v>93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54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5" customHeight="1">
      <c r="A88" s="5" t="s">
        <v>59</v>
      </c>
      <c r="B88" s="5"/>
      <c r="C88" s="5"/>
      <c r="D88" s="5"/>
      <c r="E88" s="5">
        <f>E49</f>
        <v>218034.99857179367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>
        <f t="shared" ref="U88:W88" si="142">U49</f>
        <v>2000</v>
      </c>
      <c r="V88" s="5">
        <f t="shared" si="142"/>
        <v>52883.569369595185</v>
      </c>
      <c r="W88" s="5">
        <f t="shared" si="142"/>
        <v>77322.722145632273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5" customHeight="1">
      <c r="A89" s="5" t="s">
        <v>94</v>
      </c>
      <c r="B89" s="286"/>
      <c r="C89" s="279"/>
      <c r="D89" s="17"/>
      <c r="E89" s="5">
        <v>2000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2000</v>
      </c>
      <c r="V89" s="5">
        <v>2000</v>
      </c>
      <c r="W89" s="5">
        <v>2000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5" customHeight="1">
      <c r="A90" s="5" t="s">
        <v>95</v>
      </c>
      <c r="B90" s="13"/>
      <c r="C90" s="13"/>
      <c r="D90" s="5"/>
      <c r="E90" s="259">
        <f>(E88-E89)*VLOOKUP(E72,$AE$40:$AF$47,2)</f>
        <v>50731.49871461431</v>
      </c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>
        <f t="shared" ref="U90:W90" si="143">(U88-U89)*VLOOKUP(U72,$AE$40:$AF$47,2)</f>
        <v>0</v>
      </c>
      <c r="V90" s="259">
        <f t="shared" si="143"/>
        <v>5195.2124326356679</v>
      </c>
      <c r="W90" s="259">
        <f t="shared" si="143"/>
        <v>7690.4499310690544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5" customHeight="1">
      <c r="A91" s="5" t="s">
        <v>96</v>
      </c>
      <c r="B91" s="291"/>
      <c r="C91" s="13"/>
      <c r="D91" s="5"/>
      <c r="E91" s="5">
        <f>(E88-E89)*0.1</f>
        <v>21603.499857179369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f t="shared" ref="U91:W91" si="144">(U88-U89)*0.1</f>
        <v>0</v>
      </c>
      <c r="V91" s="5">
        <f t="shared" si="144"/>
        <v>5088.3569369595189</v>
      </c>
      <c r="W91" s="5">
        <f t="shared" si="144"/>
        <v>7532.2722145632279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5" customHeight="1">
      <c r="A92" s="5" t="s">
        <v>97</v>
      </c>
      <c r="B92" s="292"/>
      <c r="C92" s="13"/>
      <c r="D92" s="5"/>
      <c r="E92" s="5">
        <f>(E88-E89)*E48</f>
        <v>143700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>
        <f t="shared" ref="U92:W92" si="145">(U49-U89)*U48</f>
        <v>0</v>
      </c>
      <c r="V92" s="5">
        <f t="shared" si="145"/>
        <v>40600</v>
      </c>
      <c r="W92" s="5">
        <f t="shared" si="145"/>
        <v>60099.999999999993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5" customHeight="1">
      <c r="A93" s="5" t="s">
        <v>81</v>
      </c>
      <c r="B93" s="278"/>
      <c r="C93" s="279"/>
      <c r="D93" s="5"/>
      <c r="E93" s="5">
        <f>SUM(E89:E92)</f>
        <v>218034.99857179367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f t="shared" ref="U93:W93" si="146">SUM(U89:U92)</f>
        <v>2000</v>
      </c>
      <c r="V93" s="5">
        <f t="shared" si="146"/>
        <v>52883.569369595185</v>
      </c>
      <c r="W93" s="5">
        <f t="shared" si="146"/>
        <v>77322.722145632273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5" customHeight="1">
      <c r="A94" s="1"/>
      <c r="B94" s="1"/>
      <c r="C94" s="1"/>
      <c r="D94" s="1"/>
      <c r="E94" s="25" t="str">
        <f>IF(E93=E49,"ok","  ")</f>
        <v>ok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 t="str">
        <f t="shared" ref="U94:W94" si="147">IF(U93=U49,"ok","  ")</f>
        <v>ok</v>
      </c>
      <c r="V94" s="25" t="str">
        <f t="shared" si="147"/>
        <v>ok</v>
      </c>
      <c r="W94" s="25" t="str">
        <f t="shared" si="147"/>
        <v>ok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8">
    <mergeCell ref="AH4:AH5"/>
    <mergeCell ref="AI4:AI5"/>
    <mergeCell ref="AH6:AH7"/>
    <mergeCell ref="AI6:AI7"/>
    <mergeCell ref="A1:V2"/>
    <mergeCell ref="W2:X2"/>
    <mergeCell ref="AA2:AB2"/>
    <mergeCell ref="AN2:AO2"/>
    <mergeCell ref="AP2:AQ2"/>
    <mergeCell ref="AH2:AI3"/>
    <mergeCell ref="W3:X3"/>
    <mergeCell ref="W4:X4"/>
    <mergeCell ref="W5:X5"/>
    <mergeCell ref="W6:X6"/>
    <mergeCell ref="W7:X7"/>
    <mergeCell ref="AA38:AB38"/>
    <mergeCell ref="AC38:AD38"/>
    <mergeCell ref="AC58:AD58"/>
    <mergeCell ref="AE58:AF58"/>
    <mergeCell ref="B91:B92"/>
    <mergeCell ref="B93:C93"/>
    <mergeCell ref="AC67:AD67"/>
    <mergeCell ref="AE67:AF67"/>
    <mergeCell ref="AC68:AD68"/>
    <mergeCell ref="AE68:AF68"/>
    <mergeCell ref="AC80:AD80"/>
    <mergeCell ref="AE80:AF80"/>
    <mergeCell ref="B89:C89"/>
  </mergeCells>
  <phoneticPr fontId="24"/>
  <pageMargins left="0.59055118110236227" right="0.59055118110236227" top="0.39370078740157483" bottom="0.39370078740157483" header="0" footer="0"/>
  <pageSetup paperSize="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4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13" sqref="D13"/>
    </sheetView>
  </sheetViews>
  <sheetFormatPr baseColWidth="10" defaultColWidth="14.5" defaultRowHeight="15" customHeight="1"/>
  <cols>
    <col min="1" max="2" width="2.83203125" customWidth="1"/>
    <col min="3" max="3" width="25.5" customWidth="1"/>
    <col min="4" max="4" width="11.6640625" customWidth="1"/>
    <col min="5" max="5" width="4.5" customWidth="1"/>
    <col min="6" max="9" width="8.83203125" customWidth="1"/>
    <col min="10" max="10" width="1.5" customWidth="1"/>
    <col min="11" max="26" width="8.83203125" customWidth="1"/>
  </cols>
  <sheetData>
    <row r="1" spans="1:26" ht="12.75" customHeight="1">
      <c r="A1" s="260"/>
      <c r="B1" s="260"/>
      <c r="C1" s="260"/>
      <c r="D1" s="260"/>
      <c r="E1" s="260"/>
      <c r="F1" s="260"/>
      <c r="G1" s="260"/>
      <c r="H1" s="260"/>
      <c r="I1" s="26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260"/>
      <c r="B2" s="308" t="s">
        <v>98</v>
      </c>
      <c r="C2" s="284"/>
      <c r="D2" s="284"/>
      <c r="E2" s="284"/>
      <c r="F2" s="284"/>
      <c r="G2" s="284"/>
      <c r="H2" s="284"/>
      <c r="I2" s="27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.75" customHeight="1">
      <c r="A3" s="67"/>
      <c r="B3" s="67"/>
      <c r="C3" s="67"/>
      <c r="D3" s="67"/>
      <c r="E3" s="6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261" t="s">
        <v>99</v>
      </c>
      <c r="B4" s="67"/>
      <c r="C4" s="67"/>
      <c r="D4" s="67"/>
      <c r="E4" s="6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67"/>
      <c r="B5" s="67"/>
      <c r="C5" s="67"/>
      <c r="D5" s="67"/>
      <c r="E5" s="6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 t="s">
        <v>100</v>
      </c>
      <c r="B6" s="1"/>
      <c r="C6" s="1"/>
      <c r="D6" s="1"/>
      <c r="E6" s="26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04" t="s">
        <v>101</v>
      </c>
      <c r="C7" s="279"/>
      <c r="D7" s="263">
        <v>6000000</v>
      </c>
      <c r="E7" s="264" t="s">
        <v>102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265" t="s">
        <v>103</v>
      </c>
      <c r="C8" s="262"/>
      <c r="D8" s="1"/>
      <c r="E8" s="26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" customHeight="1">
      <c r="A9" s="1"/>
      <c r="B9" s="262"/>
      <c r="C9" s="262"/>
      <c r="D9" s="1"/>
      <c r="E9" s="26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 t="s">
        <v>104</v>
      </c>
      <c r="B10" s="1"/>
      <c r="C10" s="1"/>
      <c r="D10" s="1"/>
      <c r="E10" s="26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09" t="s">
        <v>2</v>
      </c>
      <c r="C11" s="310"/>
      <c r="D11" s="310"/>
      <c r="E11" s="3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12"/>
      <c r="C12" s="266" t="s">
        <v>105</v>
      </c>
      <c r="D12" s="267">
        <v>0</v>
      </c>
      <c r="E12" s="264" t="s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292"/>
      <c r="C13" s="268" t="s">
        <v>106</v>
      </c>
      <c r="D13" s="267">
        <v>0</v>
      </c>
      <c r="E13" s="264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09" t="s">
        <v>8</v>
      </c>
      <c r="C14" s="310"/>
      <c r="D14" s="310"/>
      <c r="E14" s="3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69"/>
      <c r="C15" s="5" t="s">
        <v>107</v>
      </c>
      <c r="D15" s="263">
        <v>0</v>
      </c>
      <c r="E15" s="264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69"/>
      <c r="C16" s="5" t="s">
        <v>108</v>
      </c>
      <c r="D16" s="263">
        <v>0</v>
      </c>
      <c r="E16" s="264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69"/>
      <c r="C17" s="5" t="s">
        <v>109</v>
      </c>
      <c r="D17" s="263">
        <v>0</v>
      </c>
      <c r="E17" s="264" t="s">
        <v>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70"/>
      <c r="C18" s="5" t="s">
        <v>110</v>
      </c>
      <c r="D18" s="263">
        <v>0</v>
      </c>
      <c r="E18" s="264" t="s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1"/>
      <c r="C19" s="1"/>
      <c r="D19" s="1"/>
      <c r="E19" s="26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 t="s">
        <v>111</v>
      </c>
      <c r="B20" s="1"/>
      <c r="C20" s="1"/>
      <c r="D20" s="1"/>
      <c r="E20" s="26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>
      <c r="A21" s="1"/>
      <c r="B21" s="304" t="s">
        <v>112</v>
      </c>
      <c r="C21" s="279"/>
      <c r="D21" s="271">
        <v>80000</v>
      </c>
      <c r="E21" s="264" t="s">
        <v>102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262"/>
      <c r="C22" s="262"/>
      <c r="D22" s="1"/>
      <c r="E22" s="26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75" customHeight="1">
      <c r="A23" s="1"/>
      <c r="B23" s="262"/>
      <c r="C23" s="262"/>
      <c r="D23" s="1"/>
      <c r="E23" s="26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262"/>
      <c r="C24" s="262"/>
      <c r="D24" s="1"/>
      <c r="E24" s="26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5" customHeight="1">
      <c r="A25" s="1"/>
      <c r="B25" s="305" t="s">
        <v>113</v>
      </c>
      <c r="C25" s="306"/>
      <c r="D25" s="272">
        <f>計算欄!W46</f>
        <v>75863.8</v>
      </c>
      <c r="E25" s="273" t="s">
        <v>102</v>
      </c>
      <c r="F25" s="27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8.25" customHeight="1">
      <c r="A26" s="1"/>
      <c r="B26" s="1"/>
      <c r="C26" s="1"/>
      <c r="D26" s="1"/>
      <c r="E26" s="26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>
      <c r="A27" s="1"/>
      <c r="B27" s="1"/>
      <c r="C27" s="275" t="s">
        <v>114</v>
      </c>
      <c r="D27" s="276">
        <f>D21-D25</f>
        <v>4136.1999999999971</v>
      </c>
      <c r="E27" s="277" t="s">
        <v>102</v>
      </c>
      <c r="F27" s="262" t="s">
        <v>115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>
      <c r="A28" s="1"/>
      <c r="B28" s="1"/>
      <c r="C28" s="25"/>
      <c r="D28" s="1"/>
      <c r="E28" s="26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>
      <c r="A29" s="307" t="s">
        <v>116</v>
      </c>
      <c r="B29" s="298"/>
      <c r="C29" s="298"/>
      <c r="D29" s="298"/>
      <c r="E29" s="298"/>
      <c r="F29" s="298"/>
      <c r="G29" s="298"/>
      <c r="H29" s="298"/>
      <c r="I29" s="298"/>
      <c r="J29" s="29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26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26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26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26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26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26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26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26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26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26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26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26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26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26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26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26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26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26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26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26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26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26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26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26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26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26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26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26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26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26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26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26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26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26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26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26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26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26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26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26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26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26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26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26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26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26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26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26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26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26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26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26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26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26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26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26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26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26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26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26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26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26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26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26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26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26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26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26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26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26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26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26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26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26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26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26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26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26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26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26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26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26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26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26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26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26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26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26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26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26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26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26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26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26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26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26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26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26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26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26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26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26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26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26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26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26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26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26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26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26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26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26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26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26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26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26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26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26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26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26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26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26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26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26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26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26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26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26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26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26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26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26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26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26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26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26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26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26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26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26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26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26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26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26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26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26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26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26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26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26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26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26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26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26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26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26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26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26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26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26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26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26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26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26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26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26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26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26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26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26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26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26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26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26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26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26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26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26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26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26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26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26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26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26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26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26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26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26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26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26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26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26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26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26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26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26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26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26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26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26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26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26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26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26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26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26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26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26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26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26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26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26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26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26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26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26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26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26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26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26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26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26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26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26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26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26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26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26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26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26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26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26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26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26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26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26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26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26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26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26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26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26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26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26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26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26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26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26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26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26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26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26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26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26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26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26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26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26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26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26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26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26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26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26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26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26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26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26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26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26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26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26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26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26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26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26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26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26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26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26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26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26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26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26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26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26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26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26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26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26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26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26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26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26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26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26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26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26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26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26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26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26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26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26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26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26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26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26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26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26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26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26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26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26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26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26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26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26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26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26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26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26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26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26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26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26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26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26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26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26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26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26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26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26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26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26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26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26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26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26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26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26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26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26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26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26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26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26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26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26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26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26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26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26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26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26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26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26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26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26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26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26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26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26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26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26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26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26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26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26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26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26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26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26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26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26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26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26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26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26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26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26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26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26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26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26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26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26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26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26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26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26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26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26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26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26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26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26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26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26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26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26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26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26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26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26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26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26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26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26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26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26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26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26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26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26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26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26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26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26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26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26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26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26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26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26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26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26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26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26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26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26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26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26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26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26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26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26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26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26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26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26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26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26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26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26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26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26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26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26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26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26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26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26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26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26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26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26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26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26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26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26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26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26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26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26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26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26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26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26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26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26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26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26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26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26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26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26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26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26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26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26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26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26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26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26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26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26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26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26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26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26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26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26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26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26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26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26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26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26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26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26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26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26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26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26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26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26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26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26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26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26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26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26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26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26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26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26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26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26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26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26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26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26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26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26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26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26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26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26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26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26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26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26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26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26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26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26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26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26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26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26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26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26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26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26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26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26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26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26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26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26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26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26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26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26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26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26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26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26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26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26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26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26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26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26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26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26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26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26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26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26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26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26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26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26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26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26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26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26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26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26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26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26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26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26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26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26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26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26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26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26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26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26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26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26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26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26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26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26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26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26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26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26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26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26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26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26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26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26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26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26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26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26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26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26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26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26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26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26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26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26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26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26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26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26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26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26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26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26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26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26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26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26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26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26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26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26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26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26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26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26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26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26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26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26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26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26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26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26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26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26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26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26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26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26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26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26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26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26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26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26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26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26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26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26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26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26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26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26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26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26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26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26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26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26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26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26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26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26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26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26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26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26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26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26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26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26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26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26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26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26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26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26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26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26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26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26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26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26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26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26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26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26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26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26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26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26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26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26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26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26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26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26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26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26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26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26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26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26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26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26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26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26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26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26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26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26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26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26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26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26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26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26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26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26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26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26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26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26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26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26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26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26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26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26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26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26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26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26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26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26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26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26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26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26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26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26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26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26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26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26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26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26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26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26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26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26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26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26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26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26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26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26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26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26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26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26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26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26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26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26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26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26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26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26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26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26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26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26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26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26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26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26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26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26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26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26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26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26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26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26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26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26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26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26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26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26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26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26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26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26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26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26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26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26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26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26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26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26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26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26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26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26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26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26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26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26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26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26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26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26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26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26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26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26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26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26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26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26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26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26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26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26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26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26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26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26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26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26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26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26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26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26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26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26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26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26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26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26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26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26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26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26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26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26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26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26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26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26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26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26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26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26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26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26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26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26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26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26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26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26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26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26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26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26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26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26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26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26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26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26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26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26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26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26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26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26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26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26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26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26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26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26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26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26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26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26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26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26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26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26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26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26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26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26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26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26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26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26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26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26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26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26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26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26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26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26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26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26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26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26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26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26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26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26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26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26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26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26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26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26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26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26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26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26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26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26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26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26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26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26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26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26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26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26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26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26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26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26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26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26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26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26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26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26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26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26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26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26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26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1:C21"/>
    <mergeCell ref="B25:C25"/>
    <mergeCell ref="A29:J29"/>
    <mergeCell ref="B2:I2"/>
    <mergeCell ref="B7:C7"/>
    <mergeCell ref="B11:E11"/>
    <mergeCell ref="B12:B13"/>
    <mergeCell ref="B14:E14"/>
  </mergeCells>
  <phoneticPr fontId="24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計算欄</vt:lpstr>
      <vt:lpstr>Sheet1</vt:lpstr>
      <vt:lpstr>入力欄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Passaglia</cp:lastModifiedBy>
  <dcterms:created xsi:type="dcterms:W3CDTF">2022-03-30T12:40:43Z</dcterms:created>
  <dcterms:modified xsi:type="dcterms:W3CDTF">2022-05-25T14:45:25Z</dcterms:modified>
</cp:coreProperties>
</file>