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ivotTables/pivotTable4.xml" ContentType="application/vnd.openxmlformats-officedocument.spreadsheetml.pivotTable+xml"/>
  <Override PartName="/xl/comments2.xml" ContentType="application/vnd.openxmlformats-officedocument.spreadsheetml.comments+xml"/>
  <Override PartName="/xl/threadedComments/threadedComment2.xml" ContentType="application/vnd.ms-excel.threadedcomments+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5.xml" ContentType="application/vnd.openxmlformats-officedocument.spreadsheetml.comments+xml"/>
  <Override PartName="/xl/threadedComments/threadedComment5.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10.xml" ContentType="application/vnd.openxmlformats-officedocument.spreadsheetml.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pivotTables/pivotTable46.xml" ContentType="application/vnd.openxmlformats-officedocument.spreadsheetml.pivotTable+xml"/>
  <Override PartName="/xl/pivotTables/pivotTable47.xml" ContentType="application/vnd.openxmlformats-officedocument.spreadsheetml.pivotTable+xml"/>
  <Override PartName="/xl/pivotTables/pivotTable48.xml" ContentType="application/vnd.openxmlformats-officedocument.spreadsheetml.pivotTable+xml"/>
  <Override PartName="/xl/pivotTables/pivotTable49.xml" ContentType="application/vnd.openxmlformats-officedocument.spreadsheetml.pivotTable+xml"/>
  <Override PartName="/xl/pivotTables/pivotTable50.xml" ContentType="application/vnd.openxmlformats-officedocument.spreadsheetml.pivotTable+xml"/>
  <Override PartName="/xl/pivotTables/pivotTable51.xml" ContentType="application/vnd.openxmlformats-officedocument.spreadsheetml.pivotTable+xml"/>
  <Override PartName="/xl/pivotTables/pivotTable52.xml" ContentType="application/vnd.openxmlformats-officedocument.spreadsheetml.pivotTable+xml"/>
  <Override PartName="/xl/pivotTables/pivotTable53.xml" ContentType="application/vnd.openxmlformats-officedocument.spreadsheetml.pivotTable+xml"/>
  <Override PartName="/xl/pivotTables/pivotTable54.xml" ContentType="application/vnd.openxmlformats-officedocument.spreadsheetml.pivotTable+xml"/>
  <Override PartName="/xl/pivotTables/pivotTable55.xml" ContentType="application/vnd.openxmlformats-officedocument.spreadsheetml.pivotTable+xml"/>
  <Override PartName="/xl/pivotTables/pivotTable56.xml" ContentType="application/vnd.openxmlformats-officedocument.spreadsheetml.pivotTable+xml"/>
  <Override PartName="/xl/tables/table11.xml" ContentType="application/vnd.openxmlformats-officedocument.spreadsheetml.table+xml"/>
  <Override PartName="/xl/pivotTables/pivotTable57.xml" ContentType="application/vnd.openxmlformats-officedocument.spreadsheetml.pivotTable+xml"/>
  <Override PartName="/xl/pivotTables/pivotTable58.xml" ContentType="application/vnd.openxmlformats-officedocument.spreadsheetml.pivotTable+xml"/>
  <Override PartName="/xl/pivotTables/pivotTable59.xml" ContentType="application/vnd.openxmlformats-officedocument.spreadsheetml.pivotTable+xml"/>
  <Override PartName="/xl/comments6.xml" ContentType="application/vnd.openxmlformats-officedocument.spreadsheetml.comments+xml"/>
  <Override PartName="/xl/threadedComments/threadedComment6.xml" ContentType="application/vnd.ms-excel.threadedcomments+xml"/>
  <Override PartName="/xl/pivotTables/pivotTable60.xml" ContentType="application/vnd.openxmlformats-officedocument.spreadsheetml.pivotTable+xml"/>
  <Override PartName="/xl/pivotTables/pivotTable61.xml" ContentType="application/vnd.openxmlformats-officedocument.spreadsheetml.pivotTable+xml"/>
  <Override PartName="/xl/pivotTables/pivotTable62.xml" ContentType="application/vnd.openxmlformats-officedocument.spreadsheetml.pivotTable+xml"/>
  <Override PartName="/xl/pivotTables/pivotTable63.xml" ContentType="application/vnd.openxmlformats-officedocument.spreadsheetml.pivotTable+xml"/>
  <Override PartName="/xl/pivotTables/pivotTable64.xml" ContentType="application/vnd.openxmlformats-officedocument.spreadsheetml.pivotTable+xml"/>
  <Override PartName="/xl/pivotTables/pivotTable65.xml" ContentType="application/vnd.openxmlformats-officedocument.spreadsheetml.pivotTable+xml"/>
  <Override PartName="/xl/comments7.xml" ContentType="application/vnd.openxmlformats-officedocument.spreadsheetml.comments+xml"/>
  <Override PartName="/xl/threadedComments/threadedComment7.xml" ContentType="application/vnd.ms-excel.threadedcomments+xml"/>
  <Override PartName="/xl/pivotTables/pivotTable66.xml" ContentType="application/vnd.openxmlformats-officedocument.spreadsheetml.pivotTable+xml"/>
  <Override PartName="/xl/pivotTables/pivotTable67.xml" ContentType="application/vnd.openxmlformats-officedocument.spreadsheetml.pivotTable+xml"/>
  <Override PartName="/xl/pivotTables/pivotTable68.xml" ContentType="application/vnd.openxmlformats-officedocument.spreadsheetml.pivotTable+xml"/>
  <Override PartName="/xl/drawings/drawing1.xml" ContentType="application/vnd.openxmlformats-officedocument.drawing+xml"/>
  <Override PartName="/xl/drawings/drawing2.xml" ContentType="application/vnd.openxmlformats-officedocument.drawing+xml"/>
  <Override PartName="/xl/comments8.xml" ContentType="application/vnd.openxmlformats-officedocument.spreadsheetml.comments+xml"/>
  <Override PartName="/xl/threadedComments/threadedComment8.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Proyectos\porfolioanalizer\"/>
    </mc:Choice>
  </mc:AlternateContent>
  <xr:revisionPtr revIDLastSave="0" documentId="13_ncr:1_{49516F5B-6F71-4704-A9DD-11303C89537D}" xr6:coauthVersionLast="47" xr6:coauthVersionMax="47" xr10:uidLastSave="{00000000-0000-0000-0000-000000000000}"/>
  <bookViews>
    <workbookView xWindow="-98" yWindow="-98" windowWidth="20715" windowHeight="13155" firstSheet="2" activeTab="2" xr2:uid="{00000000-000D-0000-FFFF-FFFF00000000}"/>
  </bookViews>
  <sheets>
    <sheet name="Hoja6" sheetId="70" r:id="rId1"/>
    <sheet name="Hoja2" sheetId="73" r:id="rId2"/>
    <sheet name="BASE" sheetId="1" r:id="rId3"/>
    <sheet name="Hoja7" sheetId="76" r:id="rId4"/>
    <sheet name="Hoja4" sheetId="75" r:id="rId5"/>
    <sheet name="Hoja3" sheetId="74" r:id="rId6"/>
    <sheet name="Hoja1" sheetId="72" r:id="rId7"/>
    <sheet name="OPER" sheetId="37" r:id="rId8"/>
    <sheet name="Contabilidad y SAP" sheetId="41" r:id="rId9"/>
    <sheet name="Resumen ABR" sheetId="65" r:id="rId10"/>
    <sheet name="Regional ABR" sheetId="60" r:id="rId11"/>
    <sheet name="Local ABR" sheetId="64" r:id="rId12"/>
    <sheet name="Sis. Internos" sheetId="30" r:id="rId13"/>
    <sheet name="Revisar" sheetId="55" r:id="rId14"/>
    <sheet name="Hoja5" sheetId="69" r:id="rId15"/>
    <sheet name="Resumen" sheetId="2" r:id="rId16"/>
    <sheet name="Plant" sheetId="36" r:id="rId17"/>
    <sheet name="Detalle2" sheetId="44" state="hidden" r:id="rId18"/>
    <sheet name="Detalle3" sheetId="45" state="hidden" r:id="rId19"/>
    <sheet name="Detalle4" sheetId="46" state="hidden" r:id="rId20"/>
    <sheet name="Detalle5" sheetId="47" state="hidden" r:id="rId21"/>
    <sheet name="Detalle6" sheetId="48" state="hidden" r:id="rId22"/>
    <sheet name="Detalle7" sheetId="49" state="hidden" r:id="rId23"/>
    <sheet name="Detalle8" sheetId="58" r:id="rId24"/>
    <sheet name="Canales" sheetId="14" r:id="rId25"/>
    <sheet name="Mxp" sheetId="19" r:id="rId26"/>
    <sheet name="Detalle9" sheetId="59" r:id="rId27"/>
    <sheet name="SIR" sheetId="21" r:id="rId28"/>
    <sheet name="VE" sheetId="34" r:id="rId29"/>
    <sheet name="ERP" sheetId="22" r:id="rId30"/>
    <sheet name="Detalle1" sheetId="42" state="hidden" r:id="rId31"/>
    <sheet name="CL" sheetId="25" r:id="rId32"/>
    <sheet name="AR" sheetId="32" r:id="rId33"/>
    <sheet name="ES" sheetId="35" r:id="rId34"/>
    <sheet name="BI" sheetId="28" r:id="rId35"/>
    <sheet name="CO" sheetId="33" r:id="rId36"/>
    <sheet name="A6 Contabilidad" sheetId="18" r:id="rId37"/>
    <sheet name="Nuevo A3" sheetId="29" r:id="rId38"/>
    <sheet name="A2 Operaciones MXP" sheetId="8" r:id="rId39"/>
    <sheet name="Gant TD" sheetId="15" r:id="rId40"/>
    <sheet name="A3 mto mxp" sheetId="10" r:id="rId41"/>
    <sheet name="A1 TD" sheetId="3" r:id="rId42"/>
    <sheet name="A5 Audit" sheetId="9" r:id="rId43"/>
    <sheet name="A4 operaciones sir" sheetId="11" r:id="rId44"/>
  </sheets>
  <definedNames>
    <definedName name="_xlnm._FilterDatabase" localSheetId="38" hidden="1">'A2 Operaciones MXP'!$B$7:$K$111</definedName>
    <definedName name="_xlnm._FilterDatabase" localSheetId="40" hidden="1">'A3 mto mxp'!#REF!</definedName>
    <definedName name="_xlnm._FilterDatabase" localSheetId="42" hidden="1">'A5 Audit'!$B$3:$L$23</definedName>
    <definedName name="_xlnm._FilterDatabase" localSheetId="36" hidden="1">'A6 Contabilidad'!$A$3:$D$38</definedName>
    <definedName name="_xlnm._FilterDatabase" localSheetId="2" hidden="1">BASE!$D$447:$D$447</definedName>
    <definedName name="_xlnm._FilterDatabase" localSheetId="34" hidden="1">BI!$D$1:$AE$1</definedName>
    <definedName name="_xlnm._FilterDatabase" localSheetId="39" hidden="1">'Gant TD'!$B$9:$AI$92</definedName>
    <definedName name="_xlnm._FilterDatabase" localSheetId="14" hidden="1">Hoja5!$A$1:$F$25</definedName>
    <definedName name="query__2" localSheetId="2" hidden="1">BASE!$A$1:$R$442</definedName>
  </definedNames>
  <calcPr calcId="191028"/>
  <pivotCaches>
    <pivotCache cacheId="0" r:id="rId45"/>
    <pivotCache cacheId="1" r:id="rId46"/>
    <pivotCache cacheId="2" r:id="rId47"/>
    <pivotCache cacheId="3" r:id="rId48"/>
    <pivotCache cacheId="4" r:id="rId49"/>
    <pivotCache cacheId="5" r:id="rId50"/>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9" i="1" l="1"/>
  <c r="AD114" i="1"/>
  <c r="Y114" i="1"/>
  <c r="AB122" i="1"/>
  <c r="AD122" i="1" s="1"/>
  <c r="AB123" i="1"/>
  <c r="AD123" i="1" s="1"/>
  <c r="AB124" i="1"/>
  <c r="AD124" i="1" s="1"/>
  <c r="AB125" i="1"/>
  <c r="AD125" i="1" s="1"/>
  <c r="AB126" i="1"/>
  <c r="AD126" i="1" s="1"/>
  <c r="AB121" i="1"/>
  <c r="AD121" i="1" s="1"/>
  <c r="AB116" i="1"/>
  <c r="AD116" i="1" s="1"/>
  <c r="AB117" i="1"/>
  <c r="AD117" i="1" s="1"/>
  <c r="AB118" i="1"/>
  <c r="AD118" i="1" s="1"/>
  <c r="AB119" i="1"/>
  <c r="AD119" i="1" s="1"/>
  <c r="AB120" i="1"/>
  <c r="AD120" i="1" s="1"/>
  <c r="AB115" i="1"/>
  <c r="AD115" i="1" s="1"/>
  <c r="Y235" i="1"/>
  <c r="Y38" i="1"/>
  <c r="Y29" i="1"/>
  <c r="Y39" i="1"/>
  <c r="Y352" i="1"/>
  <c r="Y231" i="1"/>
  <c r="Y353" i="1"/>
  <c r="Y40" i="1"/>
  <c r="Y41" i="1"/>
  <c r="Y131" i="1"/>
  <c r="Y236" i="1"/>
  <c r="Y130" i="1"/>
  <c r="Y149" i="1"/>
  <c r="Y252" i="1"/>
  <c r="Y237" i="1"/>
  <c r="Z237" i="1" s="1"/>
  <c r="Y42" i="1"/>
  <c r="Y43" i="1"/>
  <c r="Y44" i="1"/>
  <c r="Y45" i="1"/>
  <c r="Y46" i="1"/>
  <c r="Y340" i="1"/>
  <c r="Y18" i="1"/>
  <c r="Y30" i="1"/>
  <c r="Y173" i="1"/>
  <c r="Y238" i="1"/>
  <c r="Y239" i="1"/>
  <c r="Y341" i="1"/>
  <c r="Z341" i="1" s="1"/>
  <c r="Y150" i="1"/>
  <c r="Y37" i="1"/>
  <c r="Y25" i="1"/>
  <c r="Y19" i="1"/>
  <c r="Y240" i="1"/>
  <c r="Y26" i="1"/>
  <c r="Z26" i="1" s="1"/>
  <c r="Y31" i="1"/>
  <c r="Y47" i="1"/>
  <c r="Y48" i="1"/>
  <c r="Y49" i="1"/>
  <c r="Y50" i="1"/>
  <c r="Y300" i="1"/>
  <c r="Y301" i="1"/>
  <c r="Y302" i="1"/>
  <c r="Y303" i="1"/>
  <c r="Y304" i="1"/>
  <c r="Y32" i="1"/>
  <c r="Y349" i="1"/>
  <c r="Y426" i="1"/>
  <c r="Y151" i="1"/>
  <c r="Y391" i="1"/>
  <c r="Z391" i="1" s="1"/>
  <c r="Y51" i="1"/>
  <c r="Y27" i="1"/>
  <c r="Y52" i="1"/>
  <c r="Y53" i="1"/>
  <c r="Y346" i="1"/>
  <c r="Y347" i="1"/>
  <c r="Y296" i="1"/>
  <c r="Y348" i="1"/>
  <c r="Y54" i="1"/>
  <c r="Y55" i="1"/>
  <c r="Y56" i="1"/>
  <c r="Y57" i="1"/>
  <c r="Y58" i="1"/>
  <c r="Y59" i="1"/>
  <c r="Y60" i="1"/>
  <c r="Y61" i="1"/>
  <c r="Y62" i="1"/>
  <c r="Y63" i="1"/>
  <c r="Y176" i="1"/>
  <c r="Y64" i="1"/>
  <c r="Y28" i="1"/>
  <c r="Y132" i="1"/>
  <c r="Y20" i="1"/>
  <c r="Y241" i="1"/>
  <c r="Y175" i="1"/>
  <c r="Y242" i="1"/>
  <c r="Y210" i="1"/>
  <c r="Y243" i="1"/>
  <c r="Y233" i="1"/>
  <c r="Y174" i="1"/>
  <c r="Y295" i="1"/>
  <c r="Y34" i="1"/>
  <c r="Y65" i="1"/>
  <c r="Y177" i="1"/>
  <c r="Y399" i="1"/>
  <c r="Y66" i="1"/>
  <c r="Y67" i="1"/>
  <c r="Y68" i="1"/>
  <c r="Y69" i="1"/>
  <c r="Y70" i="1"/>
  <c r="Y71" i="1"/>
  <c r="Y72" i="1"/>
  <c r="Y73" i="1"/>
  <c r="Y74" i="1"/>
  <c r="Y305" i="1"/>
  <c r="Y306" i="1"/>
  <c r="Y75" i="1"/>
  <c r="Y76" i="1"/>
  <c r="Y77" i="1"/>
  <c r="Y78" i="1"/>
  <c r="Y79" i="1"/>
  <c r="Y80" i="1"/>
  <c r="Y81" i="1"/>
  <c r="Y82" i="1"/>
  <c r="Y83" i="1"/>
  <c r="Y84" i="1"/>
  <c r="Y85" i="1"/>
  <c r="Y86" i="1"/>
  <c r="Y87" i="1"/>
  <c r="Y88" i="1"/>
  <c r="Y89" i="1"/>
  <c r="Y90" i="1"/>
  <c r="Y91" i="1"/>
  <c r="Y92" i="1"/>
  <c r="Y253" i="1"/>
  <c r="Y15" i="1"/>
  <c r="Y21" i="1"/>
  <c r="Y307" i="1"/>
  <c r="Y308" i="1"/>
  <c r="Y153" i="1"/>
  <c r="Y179" i="1"/>
  <c r="Y244" i="1"/>
  <c r="Y93" i="1"/>
  <c r="Y94" i="1"/>
  <c r="Y95" i="1"/>
  <c r="Y96" i="1"/>
  <c r="Y97" i="1"/>
  <c r="Y245" i="1"/>
  <c r="Y230" i="1"/>
  <c r="Y400" i="1"/>
  <c r="Y98" i="1"/>
  <c r="Y246" i="1"/>
  <c r="Y247" i="1"/>
  <c r="Y22" i="1"/>
  <c r="Y133" i="1"/>
  <c r="Y134" i="1"/>
  <c r="Y232" i="1"/>
  <c r="Y309" i="1"/>
  <c r="Y310" i="1"/>
  <c r="Y311" i="1"/>
  <c r="Y312" i="1"/>
  <c r="Y313" i="1"/>
  <c r="Y297" i="1"/>
  <c r="Y392" i="1"/>
  <c r="Y99" i="1"/>
  <c r="Y314" i="1"/>
  <c r="Y100" i="1"/>
  <c r="Y138" i="1"/>
  <c r="Y101" i="1"/>
  <c r="Y102" i="1"/>
  <c r="Y342" i="1"/>
  <c r="Z342" i="1" s="1"/>
  <c r="Y180" i="1"/>
  <c r="Y234" i="1"/>
  <c r="Y23" i="1"/>
  <c r="Y248" i="1"/>
  <c r="Y24" i="1"/>
  <c r="Y343" i="1"/>
  <c r="Z343" i="1" s="1"/>
  <c r="Y135" i="1"/>
  <c r="Z135" i="1" s="1"/>
  <c r="Y229" i="1"/>
  <c r="Y136" i="1"/>
  <c r="Y103" i="1"/>
  <c r="Y293" i="1"/>
  <c r="Y294" i="1"/>
  <c r="Y104" i="1"/>
  <c r="Y105" i="1"/>
  <c r="Y106" i="1"/>
  <c r="Y107" i="1"/>
  <c r="Y108" i="1"/>
  <c r="Y109" i="1"/>
  <c r="Y110" i="1"/>
  <c r="Y111" i="1"/>
  <c r="Y112" i="1"/>
  <c r="Y249" i="1"/>
  <c r="Z249" i="1" s="1"/>
  <c r="Y250" i="1"/>
  <c r="Y217" i="1"/>
  <c r="Y218" i="1"/>
  <c r="Y219" i="1"/>
  <c r="Y220" i="1"/>
  <c r="Y2" i="1"/>
  <c r="Y363" i="1"/>
  <c r="Z363" i="1" s="1"/>
  <c r="Y221" i="1"/>
  <c r="Y222" i="1"/>
  <c r="Y427" i="1"/>
  <c r="Y223" i="1"/>
  <c r="Y364" i="1"/>
  <c r="Z364" i="1" s="1"/>
  <c r="Y224" i="1"/>
  <c r="Y154" i="1"/>
  <c r="Y3" i="1"/>
  <c r="Y159" i="1"/>
  <c r="Y258" i="1"/>
  <c r="Y155" i="1"/>
  <c r="Y4" i="1"/>
  <c r="Y5" i="1"/>
  <c r="Y6" i="1"/>
  <c r="Y251" i="1"/>
  <c r="Y127" i="1"/>
  <c r="Y172" i="1"/>
  <c r="Y16" i="1"/>
  <c r="Y395" i="1"/>
  <c r="Y225" i="1"/>
  <c r="Y171" i="1"/>
  <c r="Y365" i="1"/>
  <c r="Z365" i="1" s="1"/>
  <c r="Y366" i="1"/>
  <c r="Y280" i="1"/>
  <c r="Y316" i="1"/>
  <c r="Y259" i="1"/>
  <c r="Y160" i="1"/>
  <c r="Y7" i="1"/>
  <c r="Y260" i="1"/>
  <c r="Y367" i="1"/>
  <c r="Y424" i="1"/>
  <c r="Y350" i="1"/>
  <c r="Y8" i="1"/>
  <c r="Y9" i="1"/>
  <c r="Y261" i="1"/>
  <c r="Z261" i="1" s="1"/>
  <c r="Y128" i="1"/>
  <c r="Z128" i="1" s="1"/>
  <c r="Y161" i="1"/>
  <c r="Z161" i="1" s="1"/>
  <c r="Y10" i="1"/>
  <c r="Z10" i="1" s="1"/>
  <c r="Y428" i="1"/>
  <c r="Y429" i="1"/>
  <c r="Y226" i="1"/>
  <c r="Y166" i="1"/>
  <c r="Y368" i="1"/>
  <c r="Y281" i="1"/>
  <c r="Y425" i="1"/>
  <c r="Y317" i="1"/>
  <c r="Y170" i="1"/>
  <c r="Y351" i="1"/>
  <c r="Z351" i="1" s="1"/>
  <c r="Y369" i="1"/>
  <c r="Y430" i="1"/>
  <c r="Y431" i="1"/>
  <c r="Y318" i="1"/>
  <c r="Y262" i="1"/>
  <c r="Y384" i="1"/>
  <c r="Y282" i="1"/>
  <c r="Z282" i="1" s="1"/>
  <c r="Y162" i="1"/>
  <c r="Y319" i="1"/>
  <c r="Y156" i="1"/>
  <c r="Y11" i="1"/>
  <c r="Y387" i="1"/>
  <c r="Y370" i="1"/>
  <c r="Y129" i="1"/>
  <c r="Y371" i="1"/>
  <c r="Y17" i="1"/>
  <c r="Y263" i="1"/>
  <c r="Y254" i="1"/>
  <c r="Y163" i="1"/>
  <c r="Y35" i="1"/>
  <c r="Y157" i="1"/>
  <c r="Y164" i="1"/>
  <c r="Y12" i="1"/>
  <c r="Y13" i="1"/>
  <c r="Y14" i="1"/>
  <c r="Y320" i="1"/>
  <c r="Y372" i="1"/>
  <c r="Y283" i="1"/>
  <c r="Y227" i="1"/>
  <c r="Y167" i="1"/>
  <c r="Y158" i="1"/>
  <c r="Y388" i="1"/>
  <c r="Y389" i="1"/>
  <c r="Z389" i="1" s="1"/>
  <c r="Y390" i="1"/>
  <c r="Z390" i="1" s="1"/>
  <c r="Y228" i="1"/>
  <c r="Y168" i="1"/>
  <c r="Y264" i="1"/>
  <c r="Y265" i="1"/>
  <c r="Y196" i="1"/>
  <c r="Y401" i="1"/>
  <c r="Y197" i="1"/>
  <c r="Y198" i="1"/>
  <c r="Y169" i="1"/>
  <c r="Z169" i="1" s="1"/>
  <c r="Y402" i="1"/>
  <c r="Y403" i="1"/>
  <c r="Y182" i="1"/>
  <c r="Y398" i="1"/>
  <c r="Y183" i="1"/>
  <c r="Y184" i="1"/>
  <c r="Y185" i="1"/>
  <c r="Y186" i="1"/>
  <c r="Y187" i="1"/>
  <c r="Y165" i="1"/>
  <c r="Y188" i="1"/>
  <c r="Y178" i="1"/>
  <c r="Y404" i="1"/>
  <c r="Y199" i="1"/>
  <c r="Y405" i="1"/>
  <c r="Y211" i="1"/>
  <c r="Y212" i="1"/>
  <c r="Y200" i="1"/>
  <c r="Y201" i="1"/>
  <c r="Y189" i="1"/>
  <c r="Y190" i="1"/>
  <c r="Y432" i="1"/>
  <c r="Y412" i="1"/>
  <c r="Y413" i="1"/>
  <c r="Y414" i="1"/>
  <c r="Y415" i="1"/>
  <c r="Y416" i="1"/>
  <c r="Y417" i="1"/>
  <c r="Y418" i="1"/>
  <c r="Y419" i="1"/>
  <c r="Y420" i="1"/>
  <c r="Y421" i="1"/>
  <c r="Y422" i="1"/>
  <c r="Y406" i="1"/>
  <c r="Z406" i="1" s="1"/>
  <c r="Y393" i="1"/>
  <c r="Y299" i="1"/>
  <c r="Z299" i="1" s="1"/>
  <c r="Y202" i="1"/>
  <c r="Y152" i="1"/>
  <c r="Y203" i="1"/>
  <c r="Y204" i="1"/>
  <c r="Y255" i="1"/>
  <c r="Y213" i="1"/>
  <c r="Y214" i="1"/>
  <c r="Y205" i="1"/>
  <c r="Y206" i="1"/>
  <c r="Y207" i="1"/>
  <c r="Y208" i="1"/>
  <c r="Y256" i="1"/>
  <c r="Y407" i="1"/>
  <c r="Y191" i="1"/>
  <c r="Y209" i="1"/>
  <c r="Y192" i="1"/>
  <c r="Y181" i="1"/>
  <c r="Z181" i="1" s="1"/>
  <c r="Y215" i="1"/>
  <c r="Y193" i="1"/>
  <c r="Y194" i="1"/>
  <c r="Y257" i="1"/>
  <c r="Y411" i="1"/>
  <c r="Y408" i="1"/>
  <c r="Y195" i="1"/>
  <c r="Y409" i="1"/>
  <c r="Y410" i="1"/>
  <c r="Y139" i="1"/>
  <c r="Y344" i="1"/>
  <c r="Y137" i="1"/>
  <c r="Y423" i="1"/>
  <c r="Y140" i="1"/>
  <c r="Y141" i="1"/>
  <c r="Y142" i="1"/>
  <c r="Y143" i="1"/>
  <c r="Y144" i="1"/>
  <c r="Y216" i="1"/>
  <c r="Y145" i="1"/>
  <c r="Y345" i="1"/>
  <c r="Y146" i="1"/>
  <c r="Y147" i="1"/>
  <c r="Y148" i="1"/>
  <c r="Y373" i="1"/>
  <c r="Y266" i="1"/>
  <c r="Y394" i="1"/>
  <c r="Y321" i="1"/>
  <c r="Y284" i="1"/>
  <c r="Y267" i="1"/>
  <c r="Y322" i="1"/>
  <c r="Y323" i="1"/>
  <c r="Y268" i="1"/>
  <c r="Y285" i="1"/>
  <c r="Y269" i="1"/>
  <c r="Y315" i="1"/>
  <c r="Y270" i="1"/>
  <c r="Y374" i="1"/>
  <c r="Y354" i="1"/>
  <c r="Y292" i="1"/>
  <c r="Y324" i="1"/>
  <c r="Y325" i="1"/>
  <c r="Y326" i="1"/>
  <c r="Y375" i="1"/>
  <c r="Y286" i="1"/>
  <c r="Y327" i="1"/>
  <c r="Y271" i="1"/>
  <c r="Y355" i="1"/>
  <c r="Y376" i="1"/>
  <c r="Y377" i="1"/>
  <c r="Y328" i="1"/>
  <c r="Y329" i="1"/>
  <c r="Z329" i="1" s="1"/>
  <c r="Y272" i="1"/>
  <c r="Z272" i="1" s="1"/>
  <c r="Y273" i="1"/>
  <c r="Z273" i="1" s="1"/>
  <c r="Y274" i="1"/>
  <c r="Y275" i="1"/>
  <c r="Y276" i="1"/>
  <c r="Z276" i="1" s="1"/>
  <c r="Y356" i="1"/>
  <c r="Y357" i="1"/>
  <c r="Y358" i="1"/>
  <c r="Y359" i="1"/>
  <c r="Y360" i="1"/>
  <c r="Y361" i="1"/>
  <c r="Z361" i="1" s="1"/>
  <c r="Y378" i="1"/>
  <c r="Y287" i="1"/>
  <c r="Y288" i="1"/>
  <c r="Z288" i="1" s="1"/>
  <c r="Y379" i="1"/>
  <c r="Y380" i="1"/>
  <c r="Y381" i="1"/>
  <c r="Y382" i="1"/>
  <c r="Z382" i="1" s="1"/>
  <c r="Y385" i="1"/>
  <c r="Y386" i="1"/>
  <c r="Y330" i="1"/>
  <c r="Y289" i="1"/>
  <c r="Y290" i="1"/>
  <c r="Y277" i="1"/>
  <c r="Y339" i="1"/>
  <c r="Y362" i="1"/>
  <c r="Y278" i="1"/>
  <c r="Y331" i="1"/>
  <c r="Y332" i="1"/>
  <c r="Y279" i="1"/>
  <c r="Y383" i="1"/>
  <c r="Y396" i="1"/>
  <c r="Y298" i="1"/>
  <c r="Z298" i="1" s="1"/>
  <c r="Y433" i="1"/>
  <c r="Y434" i="1"/>
  <c r="Y333" i="1"/>
  <c r="Y334" i="1"/>
  <c r="Y335" i="1"/>
  <c r="Y336" i="1"/>
  <c r="Y337" i="1"/>
  <c r="Y291" i="1"/>
  <c r="Y338" i="1"/>
  <c r="Y113" i="1"/>
  <c r="Y397" i="1"/>
  <c r="Y435" i="1"/>
  <c r="Y33" i="1"/>
  <c r="Y436" i="1"/>
  <c r="Y437" i="1"/>
  <c r="Y438" i="1"/>
  <c r="Y439" i="1"/>
  <c r="Y440" i="1"/>
  <c r="Y441" i="1"/>
  <c r="Y115" i="1"/>
  <c r="Y116" i="1"/>
  <c r="Y117" i="1"/>
  <c r="Y118" i="1"/>
  <c r="Y120" i="1"/>
  <c r="Y121" i="1"/>
  <c r="Y122" i="1"/>
  <c r="Y123" i="1"/>
  <c r="Y124" i="1"/>
  <c r="Y125" i="1"/>
  <c r="Y126" i="1"/>
  <c r="Y36" i="1"/>
  <c r="AS442" i="1"/>
  <c r="AR442" i="1"/>
  <c r="AM442" i="1"/>
  <c r="AJ442" i="1"/>
  <c r="AD36" i="1"/>
  <c r="Z36" i="1" s="1"/>
  <c r="AB36" i="1"/>
  <c r="AJ36" i="1"/>
  <c r="AM36" i="1"/>
  <c r="AR36" i="1"/>
  <c r="AS36" i="1"/>
  <c r="AD215" i="1"/>
  <c r="AD209" i="1"/>
  <c r="Z209" i="1" s="1"/>
  <c r="AD213" i="1"/>
  <c r="AD214" i="1"/>
  <c r="AD205" i="1"/>
  <c r="AD206" i="1"/>
  <c r="AD207" i="1"/>
  <c r="AD208" i="1"/>
  <c r="AD202" i="1"/>
  <c r="AD152" i="1"/>
  <c r="AD203" i="1"/>
  <c r="Z203" i="1" s="1"/>
  <c r="AD204" i="1"/>
  <c r="AD432" i="1"/>
  <c r="AD211" i="1"/>
  <c r="AD212" i="1"/>
  <c r="AD200" i="1"/>
  <c r="AD201" i="1"/>
  <c r="AD199" i="1"/>
  <c r="AD178" i="1"/>
  <c r="AD165" i="1"/>
  <c r="AD398" i="1"/>
  <c r="AD197" i="1"/>
  <c r="AD198" i="1"/>
  <c r="AD196" i="1"/>
  <c r="AD168" i="1"/>
  <c r="AD167" i="1"/>
  <c r="AD384" i="1"/>
  <c r="AD166" i="1"/>
  <c r="AD428" i="1"/>
  <c r="AD429" i="1"/>
  <c r="AD171" i="1"/>
  <c r="AD250" i="1"/>
  <c r="AD248" i="1"/>
  <c r="AD246" i="1"/>
  <c r="AD247" i="1"/>
  <c r="AD15" i="1"/>
  <c r="AD241" i="1"/>
  <c r="AD175" i="1"/>
  <c r="AD242" i="1"/>
  <c r="AD210" i="1"/>
  <c r="AD243" i="1"/>
  <c r="AD238" i="1"/>
  <c r="AD252" i="1"/>
  <c r="AD236" i="1"/>
  <c r="AJ123" i="1"/>
  <c r="AJ124" i="1"/>
  <c r="AJ125" i="1"/>
  <c r="AJ126" i="1"/>
  <c r="AM123" i="1"/>
  <c r="AM124" i="1"/>
  <c r="AM125" i="1"/>
  <c r="AM126" i="1"/>
  <c r="AR123" i="1"/>
  <c r="AR124" i="1"/>
  <c r="AR125" i="1"/>
  <c r="AR126" i="1"/>
  <c r="AS123" i="1"/>
  <c r="AS124" i="1"/>
  <c r="AS125" i="1"/>
  <c r="AS126" i="1"/>
  <c r="AJ115" i="1"/>
  <c r="AM115" i="1"/>
  <c r="AR115" i="1"/>
  <c r="AS115" i="1"/>
  <c r="AJ116" i="1"/>
  <c r="AM116" i="1"/>
  <c r="AR116" i="1"/>
  <c r="AS116" i="1"/>
  <c r="AJ122" i="1"/>
  <c r="AM122" i="1"/>
  <c r="AR122" i="1"/>
  <c r="AS122" i="1"/>
  <c r="AJ121" i="1"/>
  <c r="AM121" i="1"/>
  <c r="AR121" i="1"/>
  <c r="AS121" i="1"/>
  <c r="AJ443" i="1"/>
  <c r="AM443" i="1"/>
  <c r="AR443" i="1"/>
  <c r="AS443" i="1"/>
  <c r="AJ120" i="1"/>
  <c r="AM120" i="1"/>
  <c r="AR120" i="1"/>
  <c r="AS120" i="1"/>
  <c r="AJ119" i="1"/>
  <c r="AM119" i="1"/>
  <c r="AR119" i="1"/>
  <c r="AS119" i="1"/>
  <c r="AJ118" i="1"/>
  <c r="AM118" i="1"/>
  <c r="AR118" i="1"/>
  <c r="AS118" i="1"/>
  <c r="AJ114" i="1"/>
  <c r="AM114" i="1"/>
  <c r="AR114" i="1"/>
  <c r="AS114" i="1"/>
  <c r="AQ52" i="1"/>
  <c r="AR349" i="1"/>
  <c r="AS349" i="1"/>
  <c r="AD43" i="1"/>
  <c r="AD69" i="1"/>
  <c r="AD105" i="1"/>
  <c r="AD106" i="1"/>
  <c r="Z106" i="1" s="1"/>
  <c r="AD107" i="1"/>
  <c r="Z107" i="1" s="1"/>
  <c r="AD104" i="1"/>
  <c r="AQ92" i="1"/>
  <c r="AQ91" i="1"/>
  <c r="AQ50" i="1"/>
  <c r="AD42" i="1"/>
  <c r="AD44" i="1"/>
  <c r="AD45" i="1"/>
  <c r="AD46" i="1"/>
  <c r="AD41" i="1"/>
  <c r="AQ45" i="1"/>
  <c r="AQ44" i="1"/>
  <c r="AQ43" i="1"/>
  <c r="AQ42" i="1"/>
  <c r="AM42" i="1"/>
  <c r="AR42" i="1"/>
  <c r="AS42" i="1"/>
  <c r="AM43" i="1"/>
  <c r="AR43" i="1"/>
  <c r="AS43" i="1"/>
  <c r="AM44" i="1"/>
  <c r="AR44" i="1"/>
  <c r="AS44" i="1"/>
  <c r="AM45" i="1"/>
  <c r="AR45" i="1"/>
  <c r="AS45" i="1"/>
  <c r="AS31" i="1"/>
  <c r="AD437" i="1"/>
  <c r="AD438" i="1"/>
  <c r="AD439" i="1"/>
  <c r="AD440" i="1"/>
  <c r="AD441" i="1"/>
  <c r="AJ437" i="1"/>
  <c r="AJ438" i="1"/>
  <c r="AJ439" i="1"/>
  <c r="AJ440" i="1"/>
  <c r="AJ441" i="1"/>
  <c r="AM437" i="1"/>
  <c r="AM438" i="1"/>
  <c r="AM439" i="1"/>
  <c r="AM440" i="1"/>
  <c r="AM441" i="1"/>
  <c r="AR437" i="1"/>
  <c r="AR438" i="1"/>
  <c r="AR439" i="1"/>
  <c r="AR440" i="1"/>
  <c r="AR441" i="1"/>
  <c r="AS437" i="1"/>
  <c r="AS438" i="1"/>
  <c r="AS439" i="1"/>
  <c r="AS440" i="1"/>
  <c r="AS441" i="1"/>
  <c r="AD436" i="1"/>
  <c r="AJ436" i="1"/>
  <c r="AM436" i="1"/>
  <c r="AR436" i="1"/>
  <c r="AS436" i="1"/>
  <c r="AD427" i="1"/>
  <c r="AJ427" i="1"/>
  <c r="AM427" i="1"/>
  <c r="AR427" i="1"/>
  <c r="AS427" i="1"/>
  <c r="AQ175" i="1"/>
  <c r="AR206" i="1"/>
  <c r="AD70" i="1"/>
  <c r="AD71" i="1"/>
  <c r="AD72" i="1"/>
  <c r="AD74" i="1"/>
  <c r="AD73" i="1"/>
  <c r="AJ74" i="1"/>
  <c r="AM74" i="1"/>
  <c r="AQ74" i="1"/>
  <c r="AR74" i="1"/>
  <c r="AS74" i="1"/>
  <c r="AJ73" i="1"/>
  <c r="AM73" i="1"/>
  <c r="AQ73" i="1"/>
  <c r="AR73" i="1"/>
  <c r="AS73" i="1"/>
  <c r="AJ72" i="1"/>
  <c r="AM72" i="1"/>
  <c r="AQ72" i="1"/>
  <c r="AR72" i="1"/>
  <c r="AS72" i="1"/>
  <c r="AJ71" i="1"/>
  <c r="AM71" i="1"/>
  <c r="AQ71" i="1"/>
  <c r="AR71" i="1"/>
  <c r="AS71" i="1"/>
  <c r="AJ70" i="1"/>
  <c r="AM70" i="1"/>
  <c r="AQ70" i="1"/>
  <c r="AR70" i="1"/>
  <c r="AS70" i="1"/>
  <c r="AD309" i="1"/>
  <c r="AD310" i="1"/>
  <c r="AD311" i="1"/>
  <c r="AD312" i="1"/>
  <c r="Z312" i="1" s="1"/>
  <c r="AD313" i="1"/>
  <c r="Z313" i="1" s="1"/>
  <c r="AS312" i="1"/>
  <c r="AR312" i="1"/>
  <c r="AQ312" i="1"/>
  <c r="AM312" i="1"/>
  <c r="AJ312" i="1"/>
  <c r="AS311" i="1"/>
  <c r="AR311" i="1"/>
  <c r="AQ311" i="1"/>
  <c r="AM311" i="1"/>
  <c r="AJ311" i="1"/>
  <c r="AS309" i="1"/>
  <c r="AR309" i="1"/>
  <c r="AQ309" i="1"/>
  <c r="AM309" i="1"/>
  <c r="AJ309" i="1"/>
  <c r="AS310" i="1"/>
  <c r="AR310" i="1"/>
  <c r="AQ310" i="1"/>
  <c r="AM310" i="1"/>
  <c r="AJ310" i="1"/>
  <c r="Z104" i="1" l="1"/>
  <c r="Z198" i="1"/>
  <c r="Z311" i="1"/>
  <c r="Z309" i="1"/>
  <c r="Z214" i="1"/>
  <c r="Z310" i="1"/>
  <c r="Z243" i="1"/>
  <c r="Z210" i="1"/>
  <c r="Z167" i="1"/>
  <c r="Z241" i="1"/>
  <c r="Z436" i="1"/>
  <c r="Z242" i="1"/>
  <c r="Z247" i="1"/>
  <c r="Z73" i="1"/>
  <c r="Z166" i="1"/>
  <c r="Z384" i="1"/>
  <c r="Z248" i="1"/>
  <c r="Z196" i="1"/>
  <c r="Z246" i="1"/>
  <c r="Z204" i="1"/>
  <c r="Z211" i="1"/>
  <c r="Z41" i="1"/>
  <c r="Z105" i="1"/>
  <c r="Z46" i="1"/>
  <c r="Z236" i="1"/>
  <c r="Z15" i="1"/>
  <c r="Z238" i="1"/>
  <c r="Z429" i="1"/>
  <c r="Z199" i="1"/>
  <c r="Z206" i="1"/>
  <c r="Z437" i="1"/>
  <c r="Z432" i="1"/>
  <c r="Z427" i="1"/>
  <c r="Z69" i="1"/>
  <c r="Z201" i="1"/>
  <c r="Z74" i="1"/>
  <c r="Z441" i="1"/>
  <c r="Z45" i="1"/>
  <c r="Z197" i="1"/>
  <c r="Z152" i="1"/>
  <c r="Z72" i="1"/>
  <c r="Z440" i="1"/>
  <c r="Z44" i="1"/>
  <c r="Z398" i="1"/>
  <c r="Z202" i="1"/>
  <c r="Z43" i="1"/>
  <c r="Z71" i="1"/>
  <c r="Z439" i="1"/>
  <c r="Z42" i="1"/>
  <c r="Z250" i="1"/>
  <c r="Z165" i="1"/>
  <c r="Z208" i="1"/>
  <c r="Z215" i="1"/>
  <c r="Z213" i="1"/>
  <c r="Z200" i="1"/>
  <c r="Z70" i="1"/>
  <c r="Z438" i="1"/>
  <c r="Z252" i="1"/>
  <c r="Z171" i="1"/>
  <c r="Z178" i="1"/>
  <c r="Z207" i="1"/>
  <c r="Z212" i="1"/>
  <c r="Z168" i="1"/>
  <c r="Z428" i="1"/>
  <c r="Z205" i="1"/>
  <c r="Z175" i="1"/>
  <c r="AD88" i="1"/>
  <c r="Z88" i="1" s="1"/>
  <c r="AD87" i="1"/>
  <c r="Z87" i="1" s="1"/>
  <c r="AD85" i="1"/>
  <c r="Z85" i="1" s="1"/>
  <c r="AD84" i="1"/>
  <c r="Z84" i="1" s="1"/>
  <c r="AD86" i="1"/>
  <c r="Z86" i="1" s="1"/>
  <c r="AS87" i="1"/>
  <c r="AR87" i="1"/>
  <c r="AQ87" i="1"/>
  <c r="AM87" i="1"/>
  <c r="AJ87" i="1"/>
  <c r="AS86" i="1"/>
  <c r="AR86" i="1"/>
  <c r="AQ86" i="1"/>
  <c r="AM86" i="1"/>
  <c r="AJ86" i="1"/>
  <c r="AS85" i="1"/>
  <c r="AR85" i="1"/>
  <c r="AQ85" i="1"/>
  <c r="AM85" i="1"/>
  <c r="AJ85" i="1"/>
  <c r="AS84" i="1"/>
  <c r="AR84" i="1"/>
  <c r="AQ84" i="1"/>
  <c r="AM84" i="1"/>
  <c r="AJ84" i="1"/>
  <c r="AS161" i="1"/>
  <c r="AR161" i="1"/>
  <c r="AQ161" i="1"/>
  <c r="AM161" i="1"/>
  <c r="AJ161" i="1"/>
  <c r="AS128" i="1"/>
  <c r="AR128" i="1"/>
  <c r="AQ128" i="1"/>
  <c r="AM128" i="1"/>
  <c r="AJ128" i="1"/>
  <c r="AS261" i="1"/>
  <c r="AR261" i="1"/>
  <c r="AQ261" i="1"/>
  <c r="AM261" i="1"/>
  <c r="AJ261" i="1"/>
  <c r="AS46" i="1"/>
  <c r="AR46" i="1"/>
  <c r="AQ46" i="1"/>
  <c r="AM46" i="1"/>
  <c r="AJ46" i="1"/>
  <c r="AD359" i="1"/>
  <c r="Z359" i="1" s="1"/>
  <c r="AJ359" i="1"/>
  <c r="AM359" i="1"/>
  <c r="AR359" i="1"/>
  <c r="AS359" i="1"/>
  <c r="AD360" i="1"/>
  <c r="Z360" i="1" s="1"/>
  <c r="AJ360" i="1"/>
  <c r="AM360" i="1"/>
  <c r="AR360" i="1"/>
  <c r="AS360" i="1"/>
  <c r="AD380" i="1"/>
  <c r="Z380" i="1" s="1"/>
  <c r="AJ380" i="1"/>
  <c r="AM380" i="1"/>
  <c r="AR380" i="1"/>
  <c r="AS380" i="1"/>
  <c r="AD381" i="1"/>
  <c r="Z381" i="1" s="1"/>
  <c r="AJ381" i="1"/>
  <c r="AM381" i="1"/>
  <c r="AR381" i="1"/>
  <c r="AS381" i="1"/>
  <c r="AD274" i="1"/>
  <c r="Z274" i="1" s="1"/>
  <c r="AJ274" i="1"/>
  <c r="AM274" i="1"/>
  <c r="AR274" i="1"/>
  <c r="AS274" i="1"/>
  <c r="AD275" i="1"/>
  <c r="Z275" i="1" s="1"/>
  <c r="AJ275" i="1"/>
  <c r="AM275" i="1"/>
  <c r="AR275" i="1"/>
  <c r="AS275" i="1"/>
  <c r="AJ276" i="1"/>
  <c r="AM276" i="1"/>
  <c r="AR276" i="1"/>
  <c r="AS276" i="1"/>
  <c r="AO5" i="1"/>
  <c r="AS282" i="1"/>
  <c r="AR282" i="1"/>
  <c r="AQ282" i="1"/>
  <c r="AM282" i="1"/>
  <c r="AJ282" i="1"/>
  <c r="AQ411" i="1"/>
  <c r="AQ408" i="1"/>
  <c r="AQ249" i="1"/>
  <c r="AQ195" i="1"/>
  <c r="AQ148" i="1"/>
  <c r="AQ409" i="1"/>
  <c r="AQ291" i="1"/>
  <c r="AQ338" i="1"/>
  <c r="AQ250" i="1"/>
  <c r="AQ410" i="1"/>
  <c r="AQ168" i="1"/>
  <c r="AQ337" i="1"/>
  <c r="AQ293" i="1"/>
  <c r="AQ279" i="1"/>
  <c r="AQ215" i="1"/>
  <c r="AQ193" i="1"/>
  <c r="AQ345" i="1"/>
  <c r="AQ180" i="1"/>
  <c r="AQ320" i="1"/>
  <c r="AQ372" i="1"/>
  <c r="AQ283" i="1"/>
  <c r="AQ227" i="1"/>
  <c r="AQ167" i="1"/>
  <c r="AQ234" i="1"/>
  <c r="AQ194" i="1"/>
  <c r="AQ23" i="1"/>
  <c r="AQ248" i="1"/>
  <c r="AQ383" i="1"/>
  <c r="AQ146" i="1"/>
  <c r="AQ396" i="1"/>
  <c r="AQ298" i="1"/>
  <c r="AQ24" i="1"/>
  <c r="AQ158" i="1"/>
  <c r="AQ433" i="1"/>
  <c r="AQ434" i="1"/>
  <c r="AQ388" i="1"/>
  <c r="AQ389" i="1"/>
  <c r="AQ390" i="1"/>
  <c r="AQ343" i="1"/>
  <c r="AQ135" i="1"/>
  <c r="AQ229" i="1"/>
  <c r="AQ333" i="1"/>
  <c r="AQ136" i="1"/>
  <c r="AQ147" i="1"/>
  <c r="AQ334" i="1"/>
  <c r="AQ335" i="1"/>
  <c r="AQ336" i="1"/>
  <c r="AQ228" i="1"/>
  <c r="AQ342" i="1"/>
  <c r="AQ145" i="1"/>
  <c r="AQ138" i="1"/>
  <c r="AQ144" i="1"/>
  <c r="AQ192" i="1"/>
  <c r="AQ331" i="1"/>
  <c r="AQ371" i="1"/>
  <c r="AQ216" i="1"/>
  <c r="AQ181" i="1"/>
  <c r="AQ17" i="1"/>
  <c r="AQ297" i="1"/>
  <c r="AQ392" i="1"/>
  <c r="AQ332" i="1"/>
  <c r="AQ407" i="1"/>
  <c r="AQ191" i="1"/>
  <c r="AQ209" i="1"/>
  <c r="AQ143" i="1"/>
  <c r="AQ134" i="1"/>
  <c r="AQ370" i="1"/>
  <c r="AQ142" i="1"/>
  <c r="AQ232" i="1"/>
  <c r="AQ246" i="1"/>
  <c r="AQ247" i="1"/>
  <c r="AQ205" i="1"/>
  <c r="AQ206" i="1"/>
  <c r="AQ362" i="1"/>
  <c r="AQ278" i="1"/>
  <c r="AQ387" i="1"/>
  <c r="AQ207" i="1"/>
  <c r="AQ208" i="1"/>
  <c r="AQ22" i="1"/>
  <c r="AQ133" i="1"/>
  <c r="AQ213" i="1"/>
  <c r="AQ214" i="1"/>
  <c r="AQ277" i="1"/>
  <c r="AQ339" i="1"/>
  <c r="AQ289" i="1"/>
  <c r="AQ290" i="1"/>
  <c r="AQ230" i="1"/>
  <c r="AQ400" i="1"/>
  <c r="AQ141" i="1"/>
  <c r="AQ384" i="1"/>
  <c r="AQ385" i="1"/>
  <c r="AQ386" i="1"/>
  <c r="AQ330" i="1"/>
  <c r="AQ379" i="1"/>
  <c r="AQ245" i="1"/>
  <c r="AQ369" i="1"/>
  <c r="AQ378" i="1"/>
  <c r="AQ287" i="1"/>
  <c r="AQ288" i="1"/>
  <c r="AQ430" i="1"/>
  <c r="AQ431" i="1"/>
  <c r="AQ153" i="1"/>
  <c r="AQ179" i="1"/>
  <c r="AQ244" i="1"/>
  <c r="AQ361" i="1"/>
  <c r="AQ140" i="1"/>
  <c r="AQ428" i="1"/>
  <c r="AQ429" i="1"/>
  <c r="AQ15" i="1"/>
  <c r="AQ226" i="1"/>
  <c r="AQ286" i="1"/>
  <c r="AQ327" i="1"/>
  <c r="AQ271" i="1"/>
  <c r="AQ355" i="1"/>
  <c r="AQ166" i="1"/>
  <c r="AQ368" i="1"/>
  <c r="AQ281" i="1"/>
  <c r="AQ406" i="1"/>
  <c r="AQ425" i="1"/>
  <c r="AQ376" i="1"/>
  <c r="AQ377" i="1"/>
  <c r="AQ317" i="1"/>
  <c r="AQ393" i="1"/>
  <c r="AQ328" i="1"/>
  <c r="AQ299" i="1"/>
  <c r="AQ170" i="1"/>
  <c r="AQ329" i="1"/>
  <c r="AQ272" i="1"/>
  <c r="AQ273" i="1"/>
  <c r="AQ202" i="1"/>
  <c r="AQ152" i="1"/>
  <c r="AQ203" i="1"/>
  <c r="AQ204" i="1"/>
  <c r="AQ21" i="1"/>
  <c r="AQ356" i="1"/>
  <c r="AQ357" i="1"/>
  <c r="AQ358" i="1"/>
  <c r="AQ422" i="1"/>
  <c r="AQ419" i="1"/>
  <c r="AQ420" i="1"/>
  <c r="AQ421" i="1"/>
  <c r="AQ417" i="1"/>
  <c r="AQ418" i="1"/>
  <c r="AQ415" i="1"/>
  <c r="AQ416" i="1"/>
  <c r="AQ412" i="1"/>
  <c r="AQ413" i="1"/>
  <c r="AQ414" i="1"/>
  <c r="AQ375" i="1"/>
  <c r="AQ324" i="1"/>
  <c r="AQ325" i="1"/>
  <c r="AQ326" i="1"/>
  <c r="AQ399" i="1"/>
  <c r="AQ423" i="1"/>
  <c r="AQ374" i="1"/>
  <c r="AQ354" i="1"/>
  <c r="AQ177" i="1"/>
  <c r="AQ270" i="1"/>
  <c r="AQ432" i="1"/>
  <c r="AQ365" i="1"/>
  <c r="AQ225" i="1"/>
  <c r="AQ242" i="1"/>
  <c r="AQ210" i="1"/>
  <c r="AQ243" i="1"/>
  <c r="AQ233" i="1"/>
  <c r="AQ174" i="1"/>
  <c r="AQ189" i="1"/>
  <c r="AQ137" i="1"/>
  <c r="AQ190" i="1"/>
  <c r="AQ295" i="1"/>
  <c r="AQ315" i="1"/>
  <c r="AQ171" i="1"/>
  <c r="AQ28" i="1"/>
  <c r="AQ132" i="1"/>
  <c r="AQ395" i="1"/>
  <c r="AQ20" i="1"/>
  <c r="AQ201" i="1"/>
  <c r="AQ241" i="1"/>
  <c r="AQ397" i="1"/>
  <c r="AQ435" i="1"/>
  <c r="AQ176" i="1"/>
  <c r="AQ199" i="1"/>
  <c r="AQ405" i="1"/>
  <c r="AQ211" i="1"/>
  <c r="AQ212" i="1"/>
  <c r="AQ200" i="1"/>
  <c r="AQ346" i="1"/>
  <c r="AQ347" i="1"/>
  <c r="AQ296" i="1"/>
  <c r="AQ348" i="1"/>
  <c r="AQ269" i="1"/>
  <c r="AQ404" i="1"/>
  <c r="AQ27" i="1"/>
  <c r="AQ16" i="1"/>
  <c r="AQ285" i="1"/>
  <c r="AQ172" i="1"/>
  <c r="AQ426" i="1"/>
  <c r="AQ323" i="1"/>
  <c r="AQ151" i="1"/>
  <c r="AQ187" i="1"/>
  <c r="AQ391" i="1"/>
  <c r="AQ165" i="1"/>
  <c r="AQ188" i="1"/>
  <c r="AQ268" i="1"/>
  <c r="AQ178" i="1"/>
  <c r="AQ186" i="1"/>
  <c r="AQ284" i="1"/>
  <c r="AQ251" i="1"/>
  <c r="AQ267" i="1"/>
  <c r="AQ322" i="1"/>
  <c r="AQ265" i="1"/>
  <c r="AQ185" i="1"/>
  <c r="AQ341" i="1"/>
  <c r="AQ150" i="1"/>
  <c r="AQ37" i="1"/>
  <c r="AQ25" i="1"/>
  <c r="AQ19" i="1"/>
  <c r="AQ240" i="1"/>
  <c r="AQ26" i="1"/>
  <c r="AQ173" i="1"/>
  <c r="AQ238" i="1"/>
  <c r="AQ239" i="1"/>
  <c r="AQ18" i="1"/>
  <c r="AQ183" i="1"/>
  <c r="AQ344" i="1"/>
  <c r="AQ184" i="1"/>
  <c r="AQ224" i="1"/>
  <c r="AQ266" i="1"/>
  <c r="AQ139" i="1"/>
  <c r="AQ221" i="1"/>
  <c r="AQ131" i="1"/>
  <c r="AQ402" i="1"/>
  <c r="AQ394" i="1"/>
  <c r="AQ222" i="1"/>
  <c r="AQ223" i="1"/>
  <c r="AQ236" i="1"/>
  <c r="AQ130" i="1"/>
  <c r="AQ149" i="1"/>
  <c r="AQ321" i="1"/>
  <c r="AQ403" i="1"/>
  <c r="AQ252" i="1"/>
  <c r="AQ182" i="1"/>
  <c r="AQ237" i="1"/>
  <c r="AQ364" i="1"/>
  <c r="AQ398" i="1"/>
  <c r="AQ373" i="1"/>
  <c r="AQ363" i="1"/>
  <c r="AQ352" i="1"/>
  <c r="AQ231" i="1"/>
  <c r="AQ353" i="1"/>
  <c r="AQ169" i="1"/>
  <c r="AP411" i="1"/>
  <c r="AP408" i="1"/>
  <c r="AP249" i="1"/>
  <c r="AP195" i="1"/>
  <c r="AP148" i="1"/>
  <c r="AP409" i="1"/>
  <c r="AP291" i="1"/>
  <c r="AP338" i="1"/>
  <c r="AP250" i="1"/>
  <c r="AP410" i="1"/>
  <c r="AP168" i="1"/>
  <c r="AP337" i="1"/>
  <c r="AP293" i="1"/>
  <c r="AP279" i="1"/>
  <c r="AP215" i="1"/>
  <c r="AP193" i="1"/>
  <c r="AP345" i="1"/>
  <c r="AP180" i="1"/>
  <c r="AP320" i="1"/>
  <c r="AP372" i="1"/>
  <c r="AP283" i="1"/>
  <c r="AP227" i="1"/>
  <c r="AP167" i="1"/>
  <c r="AP234" i="1"/>
  <c r="AP194" i="1"/>
  <c r="AP23" i="1"/>
  <c r="AP248" i="1"/>
  <c r="AP383" i="1"/>
  <c r="AP146" i="1"/>
  <c r="AP396" i="1"/>
  <c r="AP298" i="1"/>
  <c r="AP24" i="1"/>
  <c r="AP158" i="1"/>
  <c r="AP433" i="1"/>
  <c r="AP434" i="1"/>
  <c r="AP388" i="1"/>
  <c r="AP389" i="1"/>
  <c r="AP390" i="1"/>
  <c r="AP343" i="1"/>
  <c r="AP135" i="1"/>
  <c r="AP229" i="1"/>
  <c r="AP333" i="1"/>
  <c r="AP136" i="1"/>
  <c r="AP147" i="1"/>
  <c r="AP334" i="1"/>
  <c r="AP335" i="1"/>
  <c r="AP336" i="1"/>
  <c r="AP228" i="1"/>
  <c r="AP342" i="1"/>
  <c r="AP145" i="1"/>
  <c r="AP138" i="1"/>
  <c r="AP144" i="1"/>
  <c r="AP192" i="1"/>
  <c r="AP331" i="1"/>
  <c r="AP371" i="1"/>
  <c r="AP216" i="1"/>
  <c r="AP181" i="1"/>
  <c r="AP17" i="1"/>
  <c r="AP297" i="1"/>
  <c r="AP392" i="1"/>
  <c r="AP332" i="1"/>
  <c r="AP407" i="1"/>
  <c r="AP191" i="1"/>
  <c r="AP209" i="1"/>
  <c r="AP143" i="1"/>
  <c r="AP134" i="1"/>
  <c r="AP370" i="1"/>
  <c r="AP142" i="1"/>
  <c r="AP232" i="1"/>
  <c r="AP246" i="1"/>
  <c r="AP247" i="1"/>
  <c r="AP205" i="1"/>
  <c r="AP206" i="1"/>
  <c r="AP362" i="1"/>
  <c r="AP278" i="1"/>
  <c r="AP387" i="1"/>
  <c r="AP207" i="1"/>
  <c r="AP208" i="1"/>
  <c r="AP22" i="1"/>
  <c r="AP133" i="1"/>
  <c r="AP213" i="1"/>
  <c r="AP214" i="1"/>
  <c r="AP277" i="1"/>
  <c r="AP339" i="1"/>
  <c r="AP289" i="1"/>
  <c r="AP290" i="1"/>
  <c r="AP230" i="1"/>
  <c r="AP400" i="1"/>
  <c r="AP141" i="1"/>
  <c r="AP384" i="1"/>
  <c r="AP385" i="1"/>
  <c r="AP386" i="1"/>
  <c r="AP330" i="1"/>
  <c r="AP379" i="1"/>
  <c r="AP245" i="1"/>
  <c r="AP369" i="1"/>
  <c r="AP378" i="1"/>
  <c r="AP287" i="1"/>
  <c r="AP288" i="1"/>
  <c r="AP430" i="1"/>
  <c r="AP431" i="1"/>
  <c r="AP153" i="1"/>
  <c r="AP179" i="1"/>
  <c r="AP244" i="1"/>
  <c r="AP361" i="1"/>
  <c r="AP140" i="1"/>
  <c r="AP428" i="1"/>
  <c r="AP429" i="1"/>
  <c r="AP15" i="1"/>
  <c r="AP226" i="1"/>
  <c r="AP286" i="1"/>
  <c r="AP327" i="1"/>
  <c r="AP271" i="1"/>
  <c r="AP355" i="1"/>
  <c r="AP166" i="1"/>
  <c r="AP368" i="1"/>
  <c r="AP281" i="1"/>
  <c r="AP406" i="1"/>
  <c r="AP425" i="1"/>
  <c r="AP376" i="1"/>
  <c r="AP377" i="1"/>
  <c r="AP317" i="1"/>
  <c r="AP393" i="1"/>
  <c r="AP328" i="1"/>
  <c r="AP299" i="1"/>
  <c r="AP170" i="1"/>
  <c r="AP329" i="1"/>
  <c r="AP272" i="1"/>
  <c r="AP273" i="1"/>
  <c r="AP202" i="1"/>
  <c r="AP152" i="1"/>
  <c r="AP203" i="1"/>
  <c r="AP204" i="1"/>
  <c r="AP21" i="1"/>
  <c r="AP356" i="1"/>
  <c r="AP357" i="1"/>
  <c r="AP358" i="1"/>
  <c r="AP422" i="1"/>
  <c r="AP419" i="1"/>
  <c r="AP420" i="1"/>
  <c r="AP421" i="1"/>
  <c r="AP417" i="1"/>
  <c r="AP418" i="1"/>
  <c r="AP415" i="1"/>
  <c r="AP416" i="1"/>
  <c r="AP412" i="1"/>
  <c r="AP413" i="1"/>
  <c r="AP414" i="1"/>
  <c r="AP375" i="1"/>
  <c r="AP324" i="1"/>
  <c r="AP325" i="1"/>
  <c r="AP326" i="1"/>
  <c r="AP399" i="1"/>
  <c r="AP423" i="1"/>
  <c r="AP374" i="1"/>
  <c r="AP354" i="1"/>
  <c r="AP177" i="1"/>
  <c r="AP270" i="1"/>
  <c r="AP432" i="1"/>
  <c r="AP365" i="1"/>
  <c r="AP225" i="1"/>
  <c r="AP242" i="1"/>
  <c r="AP210" i="1"/>
  <c r="AP243" i="1"/>
  <c r="AP233" i="1"/>
  <c r="AP174" i="1"/>
  <c r="AP189" i="1"/>
  <c r="AP137" i="1"/>
  <c r="AP190" i="1"/>
  <c r="AP295" i="1"/>
  <c r="AP315" i="1"/>
  <c r="AP171" i="1"/>
  <c r="AP28" i="1"/>
  <c r="AP132" i="1"/>
  <c r="AP395" i="1"/>
  <c r="AP20" i="1"/>
  <c r="AP201" i="1"/>
  <c r="AP241" i="1"/>
  <c r="AP397" i="1"/>
  <c r="AP435" i="1"/>
  <c r="AP176" i="1"/>
  <c r="AP199" i="1"/>
  <c r="AP405" i="1"/>
  <c r="AP211" i="1"/>
  <c r="AP212" i="1"/>
  <c r="AP200" i="1"/>
  <c r="AP346" i="1"/>
  <c r="AP347" i="1"/>
  <c r="AP296" i="1"/>
  <c r="AP348" i="1"/>
  <c r="AP269" i="1"/>
  <c r="AP404" i="1"/>
  <c r="AP27" i="1"/>
  <c r="AP16" i="1"/>
  <c r="AP285" i="1"/>
  <c r="AP172" i="1"/>
  <c r="AP426" i="1"/>
  <c r="AP323" i="1"/>
  <c r="AP151" i="1"/>
  <c r="AP187" i="1"/>
  <c r="AP391" i="1"/>
  <c r="AP165" i="1"/>
  <c r="AP188" i="1"/>
  <c r="AP268" i="1"/>
  <c r="AP178" i="1"/>
  <c r="AP186" i="1"/>
  <c r="AP284" i="1"/>
  <c r="AP251" i="1"/>
  <c r="AP267" i="1"/>
  <c r="AP322" i="1"/>
  <c r="AP265" i="1"/>
  <c r="AP185" i="1"/>
  <c r="AP341" i="1"/>
  <c r="AP150" i="1"/>
  <c r="AP37" i="1"/>
  <c r="AP25" i="1"/>
  <c r="AP19" i="1"/>
  <c r="AP240" i="1"/>
  <c r="AP26" i="1"/>
  <c r="AP173" i="1"/>
  <c r="AP238" i="1"/>
  <c r="AP239" i="1"/>
  <c r="AP18" i="1"/>
  <c r="AP183" i="1"/>
  <c r="AP344" i="1"/>
  <c r="AP184" i="1"/>
  <c r="AP224" i="1"/>
  <c r="AP266" i="1"/>
  <c r="AP139" i="1"/>
  <c r="AP221" i="1"/>
  <c r="AP131" i="1"/>
  <c r="AP402" i="1"/>
  <c r="AP394" i="1"/>
  <c r="AP222" i="1"/>
  <c r="AP223" i="1"/>
  <c r="AP236" i="1"/>
  <c r="AP130" i="1"/>
  <c r="AP149" i="1"/>
  <c r="AP321" i="1"/>
  <c r="AP403" i="1"/>
  <c r="AP252" i="1"/>
  <c r="AP182" i="1"/>
  <c r="AP237" i="1"/>
  <c r="AP364" i="1"/>
  <c r="AP398" i="1"/>
  <c r="AP373" i="1"/>
  <c r="AP363" i="1"/>
  <c r="AP352" i="1"/>
  <c r="AP231" i="1"/>
  <c r="AP353" i="1"/>
  <c r="AP169" i="1"/>
  <c r="AQ401" i="1"/>
  <c r="AQ197" i="1"/>
  <c r="AQ217" i="1"/>
  <c r="AQ218" i="1"/>
  <c r="AQ219" i="1"/>
  <c r="AQ220" i="1"/>
  <c r="AQ198" i="1"/>
  <c r="AQ235" i="1"/>
  <c r="AP401" i="1"/>
  <c r="AP197" i="1"/>
  <c r="AP217" i="1"/>
  <c r="AP218" i="1"/>
  <c r="AP219" i="1"/>
  <c r="AP220" i="1"/>
  <c r="AP198" i="1"/>
  <c r="AP235" i="1"/>
  <c r="AQ196" i="1"/>
  <c r="AP196" i="1"/>
  <c r="AD232" i="1"/>
  <c r="Z232" i="1" s="1"/>
  <c r="AD375" i="1" l="1"/>
  <c r="Z375" i="1" s="1"/>
  <c r="AJ375" i="1"/>
  <c r="AM375" i="1"/>
  <c r="AR375" i="1"/>
  <c r="AS375" i="1"/>
  <c r="AD319" i="1"/>
  <c r="Z319" i="1" s="1"/>
  <c r="AQ82" i="1" l="1"/>
  <c r="AD142" i="1"/>
  <c r="Z142" i="1" s="1"/>
  <c r="O36" i="19"/>
  <c r="P36" i="19" s="1"/>
  <c r="O34" i="19" l="1"/>
  <c r="M34" i="19"/>
  <c r="N33" i="19"/>
  <c r="N34" i="19" s="1"/>
  <c r="AS435" i="1"/>
  <c r="AR435" i="1"/>
  <c r="AM435" i="1"/>
  <c r="AJ435" i="1"/>
  <c r="AD435" i="1"/>
  <c r="Z435" i="1" s="1"/>
  <c r="AS397" i="1"/>
  <c r="AR397" i="1"/>
  <c r="AM397" i="1"/>
  <c r="AJ397" i="1"/>
  <c r="AD397" i="1"/>
  <c r="Z397" i="1" s="1"/>
  <c r="AR33" i="1"/>
  <c r="AD33" i="1"/>
  <c r="Z33" i="1" s="1"/>
  <c r="AJ33" i="1"/>
  <c r="AM33" i="1"/>
  <c r="AS33" i="1"/>
  <c r="AR259" i="1"/>
  <c r="AQ259" i="1"/>
  <c r="AR316" i="1"/>
  <c r="AQ316" i="1"/>
  <c r="AR280" i="1"/>
  <c r="AQ280" i="1"/>
  <c r="AR366" i="1"/>
  <c r="AQ366" i="1"/>
  <c r="AR38" i="1"/>
  <c r="AR129" i="1"/>
  <c r="AR9" i="1"/>
  <c r="AR424" i="1"/>
  <c r="AR350" i="1"/>
  <c r="AR40" i="1"/>
  <c r="AR41" i="1"/>
  <c r="AR219" i="1"/>
  <c r="AR30" i="1"/>
  <c r="AR155" i="1"/>
  <c r="AR132" i="1"/>
  <c r="AR398" i="1"/>
  <c r="AR248" i="1"/>
  <c r="AR264" i="1"/>
  <c r="AR292" i="1"/>
  <c r="AR363" i="1"/>
  <c r="AR286" i="1"/>
  <c r="AR266" i="1"/>
  <c r="AR10" i="1"/>
  <c r="AR8" i="1"/>
  <c r="AR154" i="1"/>
  <c r="AR4" i="1"/>
  <c r="AR31" i="1"/>
  <c r="AR3" i="1"/>
  <c r="AR351" i="1"/>
  <c r="AR367" i="1"/>
  <c r="AR6" i="1"/>
  <c r="AR159" i="1"/>
  <c r="AR69" i="1"/>
  <c r="AR162" i="1"/>
  <c r="AR104" i="1"/>
  <c r="AR105" i="1"/>
  <c r="AR106" i="1"/>
  <c r="AR32" i="1"/>
  <c r="AR394" i="1"/>
  <c r="AR29" i="1"/>
  <c r="AR39" i="1"/>
  <c r="AR53" i="1"/>
  <c r="AR300" i="1"/>
  <c r="AR301" i="1"/>
  <c r="AR55" i="1"/>
  <c r="AR302" i="1"/>
  <c r="AR303" i="1"/>
  <c r="AR304" i="1"/>
  <c r="AR56" i="1"/>
  <c r="AR60" i="1"/>
  <c r="AR54" i="1"/>
  <c r="AR57" i="1"/>
  <c r="AR58" i="1"/>
  <c r="AR59" i="1"/>
  <c r="AR47" i="1"/>
  <c r="AR61" i="1"/>
  <c r="AR62" i="1"/>
  <c r="AR63" i="1"/>
  <c r="AR34" i="1"/>
  <c r="AR156" i="1"/>
  <c r="AR373" i="1"/>
  <c r="AR364" i="1"/>
  <c r="AR14" i="1"/>
  <c r="AR160" i="1"/>
  <c r="AR48" i="1"/>
  <c r="AR66" i="1"/>
  <c r="AR49" i="1"/>
  <c r="AR50" i="1"/>
  <c r="AR51" i="1"/>
  <c r="AR305" i="1"/>
  <c r="AR306" i="1"/>
  <c r="AR75" i="1"/>
  <c r="AR76" i="1"/>
  <c r="AR77" i="1"/>
  <c r="AR78" i="1"/>
  <c r="AR79" i="1"/>
  <c r="AR80" i="1"/>
  <c r="AR81" i="1"/>
  <c r="AR82" i="1"/>
  <c r="AR83" i="1"/>
  <c r="AR88" i="1"/>
  <c r="AR89" i="1"/>
  <c r="AR90" i="1"/>
  <c r="AR52" i="1"/>
  <c r="AR426" i="1"/>
  <c r="AR130" i="1"/>
  <c r="AR18" i="1"/>
  <c r="AR142" i="1"/>
  <c r="AR391" i="1"/>
  <c r="AR25" i="1"/>
  <c r="AR26" i="1"/>
  <c r="AR346" i="1"/>
  <c r="AR243" i="1"/>
  <c r="AR241" i="1"/>
  <c r="AR236" i="1"/>
  <c r="AR246" i="1"/>
  <c r="AR250" i="1"/>
  <c r="AR238" i="1"/>
  <c r="AR242" i="1"/>
  <c r="AR247" i="1"/>
  <c r="AR288" i="1"/>
  <c r="AR326" i="1"/>
  <c r="AR327" i="1"/>
  <c r="AR210" i="1"/>
  <c r="AR91" i="1"/>
  <c r="AR92" i="1"/>
  <c r="AR253" i="1"/>
  <c r="AR2" i="1"/>
  <c r="AR5" i="1"/>
  <c r="AR64" i="1"/>
  <c r="AR7" i="1"/>
  <c r="AR307" i="1"/>
  <c r="AR308" i="1"/>
  <c r="AR318" i="1"/>
  <c r="AR329" i="1"/>
  <c r="AR284" i="1"/>
  <c r="AR254" i="1"/>
  <c r="AR319" i="1"/>
  <c r="AR267" i="1"/>
  <c r="AR35" i="1"/>
  <c r="AR255" i="1"/>
  <c r="AR98" i="1"/>
  <c r="AR256" i="1"/>
  <c r="AR313" i="1"/>
  <c r="AR94" i="1"/>
  <c r="AR95" i="1"/>
  <c r="AR93" i="1"/>
  <c r="AR96" i="1"/>
  <c r="AR97" i="1"/>
  <c r="AR13" i="1"/>
  <c r="AR99" i="1"/>
  <c r="AR175" i="1"/>
  <c r="AR314" i="1"/>
  <c r="AR100" i="1"/>
  <c r="AR101" i="1"/>
  <c r="AR293" i="1"/>
  <c r="AR67" i="1"/>
  <c r="AR27" i="1"/>
  <c r="AR16" i="1"/>
  <c r="AR295" i="1"/>
  <c r="AR28" i="1"/>
  <c r="AR20" i="1"/>
  <c r="AR147" i="1"/>
  <c r="AR285" i="1"/>
  <c r="AR65" i="1"/>
  <c r="AR102" i="1"/>
  <c r="AR143" i="1"/>
  <c r="AR21" i="1"/>
  <c r="AR392" i="1"/>
  <c r="AR141" i="1"/>
  <c r="AR297" i="1"/>
  <c r="AR387" i="1"/>
  <c r="AR144" i="1"/>
  <c r="AR138" i="1"/>
  <c r="AR388" i="1"/>
  <c r="AR389" i="1"/>
  <c r="AR324" i="1"/>
  <c r="AR145" i="1"/>
  <c r="AR136" i="1"/>
  <c r="AR348" i="1"/>
  <c r="AR133" i="1"/>
  <c r="AR151" i="1"/>
  <c r="AR399" i="1"/>
  <c r="AR423" i="1"/>
  <c r="AR23" i="1"/>
  <c r="AR340" i="1"/>
  <c r="AR395" i="1"/>
  <c r="AR269" i="1"/>
  <c r="AR24" i="1"/>
  <c r="AR296" i="1"/>
  <c r="AR384" i="1"/>
  <c r="AR385" i="1"/>
  <c r="AR433" i="1"/>
  <c r="AR386" i="1"/>
  <c r="AR167" i="1"/>
  <c r="AR390" i="1"/>
  <c r="AR289" i="1"/>
  <c r="AR290" i="1"/>
  <c r="AR163" i="1"/>
  <c r="AR229" i="1"/>
  <c r="AR200" i="1"/>
  <c r="AR412" i="1"/>
  <c r="AR413" i="1"/>
  <c r="AR414" i="1"/>
  <c r="AR166" i="1"/>
  <c r="AR322" i="1"/>
  <c r="AR415" i="1"/>
  <c r="AR416" i="1"/>
  <c r="AR201" i="1"/>
  <c r="AR417" i="1"/>
  <c r="AR418" i="1"/>
  <c r="AR207" i="1"/>
  <c r="AR209" i="1"/>
  <c r="AR198" i="1"/>
  <c r="AR202" i="1"/>
  <c r="AR419" i="1"/>
  <c r="AR420" i="1"/>
  <c r="AR421" i="1"/>
  <c r="AR203" i="1"/>
  <c r="AR208" i="1"/>
  <c r="AR422" i="1"/>
  <c r="AR199" i="1"/>
  <c r="AR196" i="1"/>
  <c r="AR213" i="1"/>
  <c r="AR197" i="1"/>
  <c r="AR215" i="1"/>
  <c r="AR212" i="1"/>
  <c r="AR204" i="1"/>
  <c r="AR211" i="1"/>
  <c r="AR368" i="1"/>
  <c r="AR270" i="1"/>
  <c r="AR365" i="1"/>
  <c r="AR356" i="1"/>
  <c r="AR362" i="1"/>
  <c r="AR268" i="1"/>
  <c r="AR249" i="1"/>
  <c r="AR258" i="1"/>
  <c r="AR406" i="1"/>
  <c r="AR279" i="1"/>
  <c r="AR277" i="1"/>
  <c r="AR68" i="1"/>
  <c r="AR374" i="1"/>
  <c r="AR393" i="1"/>
  <c r="AR409" i="1"/>
  <c r="AR401" i="1"/>
  <c r="AR402" i="1"/>
  <c r="AR404" i="1"/>
  <c r="AR405" i="1"/>
  <c r="AR410" i="1"/>
  <c r="AR408" i="1"/>
  <c r="AR407" i="1"/>
  <c r="AR190" i="1"/>
  <c r="AR403" i="1"/>
  <c r="AR187" i="1"/>
  <c r="AR169" i="1"/>
  <c r="AR239" i="1"/>
  <c r="AR244" i="1"/>
  <c r="AR245" i="1"/>
  <c r="AR240" i="1"/>
  <c r="AR193" i="1"/>
  <c r="AR189" i="1"/>
  <c r="AR185" i="1"/>
  <c r="AR184" i="1"/>
  <c r="AR235" i="1"/>
  <c r="AR237" i="1"/>
  <c r="AR251" i="1"/>
  <c r="AR299" i="1"/>
  <c r="AR186" i="1"/>
  <c r="AR347" i="1"/>
  <c r="AR345" i="1"/>
  <c r="AR188" i="1"/>
  <c r="AR182" i="1"/>
  <c r="AR191" i="1"/>
  <c r="AR192" i="1"/>
  <c r="AR195" i="1"/>
  <c r="AR194" i="1"/>
  <c r="AR411" i="1"/>
  <c r="AR183" i="1"/>
  <c r="AR17" i="1"/>
  <c r="AR344" i="1"/>
  <c r="AR179" i="1"/>
  <c r="AR150" i="1"/>
  <c r="AR223" i="1"/>
  <c r="AR228" i="1"/>
  <c r="AR224" i="1"/>
  <c r="AR225" i="1"/>
  <c r="AR217" i="1"/>
  <c r="AR220" i="1"/>
  <c r="AR170" i="1"/>
  <c r="AR218" i="1"/>
  <c r="AR222" i="1"/>
  <c r="AR127" i="1"/>
  <c r="AR221" i="1"/>
  <c r="AR37" i="1"/>
  <c r="AR149" i="1"/>
  <c r="AR139" i="1"/>
  <c r="AR137" i="1"/>
  <c r="AR231" i="1"/>
  <c r="AR353" i="1"/>
  <c r="AR181" i="1"/>
  <c r="AR165" i="1"/>
  <c r="AR230" i="1"/>
  <c r="AR400" i="1"/>
  <c r="AR352" i="1"/>
  <c r="AR232" i="1"/>
  <c r="AR180" i="1"/>
  <c r="AR325" i="1"/>
  <c r="AR131" i="1"/>
  <c r="AR234" i="1"/>
  <c r="AR140" i="1"/>
  <c r="AR157" i="1"/>
  <c r="AR164" i="1"/>
  <c r="AR12" i="1"/>
  <c r="AR396" i="1"/>
  <c r="AR227" i="1"/>
  <c r="AR339" i="1"/>
  <c r="AR317" i="1"/>
  <c r="AR332" i="1"/>
  <c r="AR328" i="1"/>
  <c r="AR265" i="1"/>
  <c r="AR113" i="1"/>
  <c r="AR260" i="1"/>
  <c r="AR330" i="1"/>
  <c r="AR11" i="1"/>
  <c r="AR103" i="1"/>
  <c r="AR257" i="1"/>
  <c r="AR294" i="1"/>
  <c r="AR109" i="1"/>
  <c r="AR158" i="1"/>
  <c r="AR434" i="1"/>
  <c r="AR320" i="1"/>
  <c r="AR252" i="1"/>
  <c r="AR205" i="1"/>
  <c r="AR338" i="1"/>
  <c r="AR110" i="1"/>
  <c r="AR271" i="1"/>
  <c r="AR272" i="1"/>
  <c r="AR369" i="1"/>
  <c r="AR273" i="1"/>
  <c r="AR281" i="1"/>
  <c r="AR287" i="1"/>
  <c r="AR337" i="1"/>
  <c r="AR15" i="1"/>
  <c r="AR174" i="1"/>
  <c r="AR354" i="1"/>
  <c r="AR355" i="1"/>
  <c r="AR361" i="1"/>
  <c r="AR333" i="1"/>
  <c r="AR334" i="1"/>
  <c r="AR336" i="1"/>
  <c r="AR321" i="1"/>
  <c r="AR216" i="1"/>
  <c r="AR108" i="1"/>
  <c r="AR335" i="1"/>
  <c r="AR107" i="1"/>
  <c r="AR331" i="1"/>
  <c r="AR111" i="1"/>
  <c r="AR429" i="1"/>
  <c r="AR376" i="1"/>
  <c r="AR378" i="1"/>
  <c r="AR382" i="1"/>
  <c r="AR135" i="1"/>
  <c r="AR428" i="1"/>
  <c r="AR19" i="1"/>
  <c r="AR148" i="1"/>
  <c r="AR172" i="1"/>
  <c r="AR226" i="1"/>
  <c r="AR173" i="1"/>
  <c r="AR323" i="1"/>
  <c r="AR177" i="1"/>
  <c r="AR379" i="1"/>
  <c r="AR262" i="1"/>
  <c r="AR377" i="1"/>
  <c r="AR425" i="1"/>
  <c r="AR432" i="1"/>
  <c r="AR152" i="1"/>
  <c r="AR358" i="1"/>
  <c r="AR357" i="1"/>
  <c r="AR263" i="1"/>
  <c r="AR372" i="1"/>
  <c r="AR112" i="1"/>
  <c r="AR278" i="1"/>
  <c r="AR370" i="1"/>
  <c r="AR371" i="1"/>
  <c r="AR383" i="1"/>
  <c r="AR298" i="1"/>
  <c r="AR291" i="1"/>
  <c r="AR283" i="1"/>
  <c r="AR146" i="1"/>
  <c r="AR233" i="1"/>
  <c r="AR134" i="1"/>
  <c r="AR153" i="1"/>
  <c r="AR430" i="1"/>
  <c r="AR431" i="1"/>
  <c r="AR315" i="1"/>
  <c r="AR22" i="1"/>
  <c r="AR214" i="1"/>
  <c r="AR176" i="1"/>
  <c r="AR341" i="1"/>
  <c r="AR343" i="1"/>
  <c r="AR342" i="1"/>
  <c r="AR178" i="1"/>
  <c r="AR171" i="1"/>
  <c r="AR168" i="1"/>
  <c r="AQ156" i="1"/>
  <c r="Q34" i="19" l="1"/>
  <c r="AD156" i="1"/>
  <c r="Z156" i="1" s="1"/>
  <c r="AQ112" i="1"/>
  <c r="AQ263" i="1"/>
  <c r="AQ262" i="1"/>
  <c r="AQ111" i="1"/>
  <c r="AQ107" i="1"/>
  <c r="AQ108" i="1"/>
  <c r="AQ110" i="1"/>
  <c r="AQ109" i="1"/>
  <c r="AQ294" i="1"/>
  <c r="AQ257" i="1"/>
  <c r="AQ103" i="1"/>
  <c r="AQ11" i="1"/>
  <c r="AQ260" i="1"/>
  <c r="AQ113" i="1"/>
  <c r="AQ12" i="1"/>
  <c r="AQ164" i="1"/>
  <c r="AQ157" i="1"/>
  <c r="AQ127" i="1"/>
  <c r="AQ68" i="1"/>
  <c r="AQ163" i="1"/>
  <c r="AQ340" i="1"/>
  <c r="AQ102" i="1"/>
  <c r="AQ65" i="1"/>
  <c r="AQ67" i="1"/>
  <c r="AQ101" i="1"/>
  <c r="AQ100" i="1"/>
  <c r="AQ314" i="1"/>
  <c r="AQ99" i="1"/>
  <c r="AQ13" i="1"/>
  <c r="AQ97" i="1"/>
  <c r="AQ96" i="1"/>
  <c r="AQ93" i="1"/>
  <c r="AQ95" i="1"/>
  <c r="AQ94" i="1"/>
  <c r="AQ313" i="1"/>
  <c r="AQ256" i="1"/>
  <c r="AQ98" i="1"/>
  <c r="AQ255" i="1"/>
  <c r="AQ35" i="1"/>
  <c r="AQ319" i="1"/>
  <c r="AQ254" i="1"/>
  <c r="AQ318" i="1"/>
  <c r="AQ308" i="1"/>
  <c r="AQ307" i="1"/>
  <c r="AQ7" i="1"/>
  <c r="AQ64" i="1"/>
  <c r="AQ5" i="1"/>
  <c r="AQ2" i="1"/>
  <c r="AQ253" i="1"/>
  <c r="AQ90" i="1"/>
  <c r="AQ89" i="1"/>
  <c r="AQ88" i="1"/>
  <c r="AQ83" i="1"/>
  <c r="AQ81" i="1"/>
  <c r="AQ80" i="1"/>
  <c r="AQ79" i="1"/>
  <c r="AQ78" i="1"/>
  <c r="AQ77" i="1"/>
  <c r="AQ76" i="1"/>
  <c r="AQ75" i="1"/>
  <c r="AQ306" i="1"/>
  <c r="AQ305" i="1"/>
  <c r="AQ51" i="1"/>
  <c r="AQ49" i="1"/>
  <c r="AQ48" i="1"/>
  <c r="AQ160" i="1"/>
  <c r="AQ14" i="1"/>
  <c r="AQ34" i="1"/>
  <c r="AQ63" i="1"/>
  <c r="AQ62" i="1"/>
  <c r="AQ61" i="1"/>
  <c r="AQ47" i="1"/>
  <c r="AQ59" i="1"/>
  <c r="AQ58" i="1"/>
  <c r="AQ57" i="1"/>
  <c r="AQ54" i="1"/>
  <c r="AQ60" i="1"/>
  <c r="AQ56" i="1"/>
  <c r="AQ304" i="1"/>
  <c r="AQ303" i="1"/>
  <c r="AQ302" i="1"/>
  <c r="AQ55" i="1"/>
  <c r="AQ301" i="1"/>
  <c r="AQ300" i="1"/>
  <c r="AQ53" i="1"/>
  <c r="AQ39" i="1"/>
  <c r="AQ29" i="1"/>
  <c r="AQ32" i="1"/>
  <c r="AQ106" i="1"/>
  <c r="AQ105" i="1"/>
  <c r="AQ104" i="1"/>
  <c r="AQ162" i="1"/>
  <c r="AQ69" i="1"/>
  <c r="AQ159" i="1"/>
  <c r="AQ6" i="1"/>
  <c r="AQ367" i="1"/>
  <c r="AQ351" i="1"/>
  <c r="AQ3" i="1"/>
  <c r="AQ31" i="1"/>
  <c r="AQ4" i="1"/>
  <c r="AQ154" i="1"/>
  <c r="AQ8" i="1"/>
  <c r="AQ10" i="1"/>
  <c r="AQ155" i="1"/>
  <c r="AQ30" i="1"/>
  <c r="AQ41" i="1"/>
  <c r="AQ40" i="1"/>
  <c r="AQ350" i="1"/>
  <c r="AQ424" i="1"/>
  <c r="AQ9" i="1"/>
  <c r="AQ129" i="1"/>
  <c r="AQ38" i="1"/>
  <c r="AM167" i="1" l="1"/>
  <c r="AJ390" i="1"/>
  <c r="AM390" i="1"/>
  <c r="AJ289" i="1"/>
  <c r="AM289" i="1"/>
  <c r="AJ290" i="1"/>
  <c r="AM290" i="1"/>
  <c r="AJ163" i="1"/>
  <c r="AM163" i="1"/>
  <c r="AJ412" i="1"/>
  <c r="AM412" i="1"/>
  <c r="AJ413" i="1"/>
  <c r="AM413" i="1"/>
  <c r="AJ414" i="1"/>
  <c r="AM414" i="1"/>
  <c r="AJ322" i="1"/>
  <c r="AM322" i="1"/>
  <c r="AJ415" i="1"/>
  <c r="AM415" i="1"/>
  <c r="AJ416" i="1"/>
  <c r="AM416" i="1"/>
  <c r="AD264" i="1"/>
  <c r="Z264" i="1" s="1"/>
  <c r="AS264" i="1"/>
  <c r="AM264" i="1"/>
  <c r="AJ264" i="1"/>
  <c r="AD176" i="1"/>
  <c r="Z176" i="1" s="1"/>
  <c r="AD38" i="1"/>
  <c r="Z38" i="1" s="1"/>
  <c r="AD425" i="1"/>
  <c r="Z425" i="1" s="1"/>
  <c r="AJ221" i="1"/>
  <c r="AD253" i="1"/>
  <c r="Z253" i="1" s="1"/>
  <c r="T165" i="1" l="1"/>
  <c r="T432" i="1"/>
  <c r="T168" i="1"/>
  <c r="AJ168" i="1"/>
  <c r="AM168" i="1"/>
  <c r="AS168" i="1"/>
  <c r="AD297" i="1"/>
  <c r="Z297" i="1" s="1"/>
  <c r="T171" i="1"/>
  <c r="AS171" i="1"/>
  <c r="AD180" i="1"/>
  <c r="Z180" i="1" s="1"/>
  <c r="T178" i="1"/>
  <c r="AS178" i="1"/>
  <c r="T205" i="1"/>
  <c r="T247" i="1"/>
  <c r="T210" i="1"/>
  <c r="T167" i="1"/>
  <c r="T230" i="1"/>
  <c r="T211" i="1"/>
  <c r="T199" i="1"/>
  <c r="T206" i="1"/>
  <c r="T204" i="1"/>
  <c r="T152" i="1"/>
  <c r="T200" i="1"/>
  <c r="T201" i="1"/>
  <c r="T209" i="1"/>
  <c r="T202" i="1"/>
  <c r="T215" i="1"/>
  <c r="T213" i="1"/>
  <c r="T207" i="1"/>
  <c r="T198" i="1"/>
  <c r="T212" i="1"/>
  <c r="T214" i="1"/>
  <c r="T175" i="1"/>
  <c r="T398" i="1"/>
  <c r="T384" i="1"/>
  <c r="T196" i="1"/>
  <c r="T197" i="1"/>
  <c r="T15" i="1"/>
  <c r="T429" i="1"/>
  <c r="T428" i="1"/>
  <c r="AC19" i="1"/>
  <c r="AS341" i="1" l="1"/>
  <c r="AS343" i="1"/>
  <c r="AS342" i="1"/>
  <c r="AM341" i="1"/>
  <c r="AM343" i="1"/>
  <c r="AM342" i="1"/>
  <c r="AJ341" i="1"/>
  <c r="AJ343" i="1"/>
  <c r="AJ342" i="1"/>
  <c r="AD251" i="1"/>
  <c r="Z251" i="1" s="1"/>
  <c r="AD222" i="1"/>
  <c r="Z222" i="1" s="1"/>
  <c r="AD177" i="1" l="1"/>
  <c r="Z177" i="1" s="1"/>
  <c r="AD149" i="1"/>
  <c r="Z149" i="1" s="1"/>
  <c r="AD229" i="1"/>
  <c r="Z229" i="1" s="1"/>
  <c r="AD348" i="1"/>
  <c r="Z348" i="1" s="1"/>
  <c r="AD136" i="1"/>
  <c r="Z136" i="1" s="1"/>
  <c r="AD147" i="1"/>
  <c r="Z147" i="1" s="1"/>
  <c r="AJ176" i="1"/>
  <c r="AM176" i="1"/>
  <c r="AS176" i="1"/>
  <c r="AD3" i="1"/>
  <c r="Z3" i="1" s="1"/>
  <c r="AS214" i="1"/>
  <c r="AM214" i="1"/>
  <c r="AJ214" i="1"/>
  <c r="AD230" i="1"/>
  <c r="Z230" i="1" s="1"/>
  <c r="AS172" i="1"/>
  <c r="AM172" i="1"/>
  <c r="AJ172" i="1"/>
  <c r="AD172" i="1"/>
  <c r="Z172" i="1" s="1"/>
  <c r="AS226" i="1"/>
  <c r="AM226" i="1"/>
  <c r="AJ226" i="1"/>
  <c r="AD226" i="1"/>
  <c r="Z226" i="1" s="1"/>
  <c r="AD24" i="1"/>
  <c r="Z24" i="1" s="1"/>
  <c r="AJ22" i="1"/>
  <c r="AE19" i="1"/>
  <c r="AD235" i="1"/>
  <c r="Z235" i="1" s="1"/>
  <c r="AD22" i="1"/>
  <c r="Z22" i="1" s="1"/>
  <c r="AS22" i="1"/>
  <c r="AM22" i="1"/>
  <c r="AD433" i="1"/>
  <c r="Z433" i="1" s="1"/>
  <c r="AD388" i="1" l="1"/>
  <c r="Z388" i="1" s="1"/>
  <c r="AD315" i="1"/>
  <c r="Z315" i="1" s="1"/>
  <c r="AS315" i="1"/>
  <c r="AM315" i="1"/>
  <c r="AJ315" i="1"/>
  <c r="AJ336" i="1"/>
  <c r="AM336" i="1"/>
  <c r="AB395" i="1"/>
  <c r="AD395" i="1" s="1"/>
  <c r="Z395" i="1" s="1"/>
  <c r="AE434" i="1" l="1"/>
  <c r="AE158" i="1"/>
  <c r="AE433" i="1"/>
  <c r="AM263" i="1"/>
  <c r="AM262" i="1"/>
  <c r="AM111" i="1"/>
  <c r="AM112" i="1"/>
  <c r="AM108" i="1"/>
  <c r="AM110" i="1"/>
  <c r="AM14" i="1"/>
  <c r="AM103" i="1"/>
  <c r="AM257" i="1"/>
  <c r="AM294" i="1"/>
  <c r="AM109" i="1"/>
  <c r="AM113" i="1"/>
  <c r="AM13" i="1"/>
  <c r="AM157" i="1"/>
  <c r="AM164" i="1"/>
  <c r="AM12" i="1"/>
  <c r="AM127" i="1"/>
  <c r="AM160" i="1"/>
  <c r="AM68" i="1"/>
  <c r="AM65" i="1"/>
  <c r="AM102" i="1"/>
  <c r="AM67" i="1"/>
  <c r="AM314" i="1"/>
  <c r="AM100" i="1"/>
  <c r="AM101" i="1"/>
  <c r="AM35" i="1"/>
  <c r="AM255" i="1"/>
  <c r="AM98" i="1"/>
  <c r="AM256" i="1"/>
  <c r="AM313" i="1"/>
  <c r="AM94" i="1"/>
  <c r="AM95" i="1"/>
  <c r="AM93" i="1"/>
  <c r="AM96" i="1"/>
  <c r="AM97" i="1"/>
  <c r="AM129" i="1"/>
  <c r="AM99" i="1"/>
  <c r="AM254" i="1"/>
  <c r="AM319" i="1"/>
  <c r="AM91" i="1"/>
  <c r="AM92" i="1"/>
  <c r="AM253" i="1"/>
  <c r="AM8" i="1"/>
  <c r="AM9" i="1"/>
  <c r="AM64" i="1"/>
  <c r="AM11" i="1"/>
  <c r="AM307" i="1"/>
  <c r="AM308" i="1"/>
  <c r="AM318" i="1"/>
  <c r="AM7" i="1"/>
  <c r="AM260" i="1"/>
  <c r="AM48" i="1"/>
  <c r="AM66" i="1"/>
  <c r="AM49" i="1"/>
  <c r="AM50" i="1"/>
  <c r="AM51" i="1"/>
  <c r="AM305" i="1"/>
  <c r="AM306" i="1"/>
  <c r="AM75" i="1"/>
  <c r="AM76" i="1"/>
  <c r="AM77" i="1"/>
  <c r="AM78" i="1"/>
  <c r="AM79" i="1"/>
  <c r="AM80" i="1"/>
  <c r="AM81" i="1"/>
  <c r="AM82" i="1"/>
  <c r="AM83" i="1"/>
  <c r="AM88" i="1"/>
  <c r="AM89" i="1"/>
  <c r="AM90" i="1"/>
  <c r="AM52" i="1"/>
  <c r="AM29" i="1"/>
  <c r="AM39" i="1"/>
  <c r="AM53" i="1"/>
  <c r="AM47" i="1"/>
  <c r="AM301" i="1"/>
  <c r="AM300" i="1"/>
  <c r="AM302" i="1"/>
  <c r="AM303" i="1"/>
  <c r="AM304" i="1"/>
  <c r="AM56" i="1"/>
  <c r="AM55" i="1"/>
  <c r="AM54" i="1"/>
  <c r="AM57" i="1"/>
  <c r="AM58" i="1"/>
  <c r="AM59" i="1"/>
  <c r="AM60" i="1"/>
  <c r="AM61" i="1"/>
  <c r="AM62" i="1"/>
  <c r="AM63" i="1"/>
  <c r="AM34" i="1"/>
  <c r="AM156" i="1"/>
  <c r="AM366" i="1"/>
  <c r="AM280" i="1"/>
  <c r="AM316" i="1"/>
  <c r="AM259" i="1"/>
  <c r="AM4" i="1"/>
  <c r="AM3" i="1"/>
  <c r="AM154" i="1"/>
  <c r="AM159" i="1"/>
  <c r="AM31" i="1"/>
  <c r="AM10" i="1"/>
  <c r="AM351" i="1"/>
  <c r="AM5" i="1"/>
  <c r="AM6" i="1"/>
  <c r="AM162" i="1"/>
  <c r="AM69" i="1"/>
  <c r="AM107" i="1"/>
  <c r="AM104" i="1"/>
  <c r="AM105" i="1"/>
  <c r="AM106" i="1"/>
  <c r="AM340" i="1"/>
  <c r="AM32" i="1"/>
  <c r="AM349" i="1"/>
  <c r="AM30" i="1"/>
  <c r="AM155" i="1"/>
  <c r="AM367" i="1"/>
  <c r="AM2" i="1"/>
  <c r="AM424" i="1"/>
  <c r="AM350" i="1"/>
  <c r="AM40" i="1"/>
  <c r="AM41" i="1"/>
  <c r="AJ263" i="1"/>
  <c r="AJ262" i="1"/>
  <c r="AJ111" i="1"/>
  <c r="AJ112" i="1"/>
  <c r="AJ108" i="1"/>
  <c r="AJ110" i="1"/>
  <c r="AJ14" i="1"/>
  <c r="AJ103" i="1"/>
  <c r="AJ257" i="1"/>
  <c r="AJ294" i="1"/>
  <c r="AJ109" i="1"/>
  <c r="AJ113" i="1"/>
  <c r="AJ13" i="1"/>
  <c r="AJ157" i="1"/>
  <c r="AJ164" i="1"/>
  <c r="AJ12" i="1"/>
  <c r="AJ127" i="1"/>
  <c r="AJ160" i="1"/>
  <c r="AJ68" i="1"/>
  <c r="AJ65" i="1"/>
  <c r="AJ102" i="1"/>
  <c r="AJ67" i="1"/>
  <c r="AJ314" i="1"/>
  <c r="AJ100" i="1"/>
  <c r="AJ101" i="1"/>
  <c r="AJ35" i="1"/>
  <c r="AJ255" i="1"/>
  <c r="AJ98" i="1"/>
  <c r="AJ256" i="1"/>
  <c r="AJ313" i="1"/>
  <c r="AJ94" i="1"/>
  <c r="AJ95" i="1"/>
  <c r="AJ93" i="1"/>
  <c r="AJ96" i="1"/>
  <c r="AJ97" i="1"/>
  <c r="AJ129" i="1"/>
  <c r="AJ99" i="1"/>
  <c r="AJ254" i="1"/>
  <c r="AJ319" i="1"/>
  <c r="AJ91" i="1"/>
  <c r="AJ92" i="1"/>
  <c r="AJ253" i="1"/>
  <c r="AJ8" i="1"/>
  <c r="AJ9" i="1"/>
  <c r="AJ64" i="1"/>
  <c r="AJ11" i="1"/>
  <c r="AJ307" i="1"/>
  <c r="AJ308" i="1"/>
  <c r="AJ318" i="1"/>
  <c r="AJ7" i="1"/>
  <c r="AJ260" i="1"/>
  <c r="AJ48" i="1"/>
  <c r="AJ66" i="1"/>
  <c r="AJ49" i="1"/>
  <c r="AJ50" i="1"/>
  <c r="AJ51" i="1"/>
  <c r="AJ305" i="1"/>
  <c r="AJ306" i="1"/>
  <c r="AJ75" i="1"/>
  <c r="AJ76" i="1"/>
  <c r="AJ77" i="1"/>
  <c r="AJ78" i="1"/>
  <c r="AJ79" i="1"/>
  <c r="AJ80" i="1"/>
  <c r="AJ81" i="1"/>
  <c r="AJ82" i="1"/>
  <c r="AJ83" i="1"/>
  <c r="AJ88" i="1"/>
  <c r="AJ89" i="1"/>
  <c r="AJ90" i="1"/>
  <c r="AJ52" i="1"/>
  <c r="AJ29" i="1"/>
  <c r="AJ39" i="1"/>
  <c r="AJ53" i="1"/>
  <c r="AJ47" i="1"/>
  <c r="AJ301" i="1"/>
  <c r="AJ300" i="1"/>
  <c r="AJ302" i="1"/>
  <c r="AJ303" i="1"/>
  <c r="AJ304" i="1"/>
  <c r="AJ56" i="1"/>
  <c r="AJ55" i="1"/>
  <c r="AJ54" i="1"/>
  <c r="AJ57" i="1"/>
  <c r="AJ58" i="1"/>
  <c r="AJ59" i="1"/>
  <c r="AJ60" i="1"/>
  <c r="AJ61" i="1"/>
  <c r="AJ62" i="1"/>
  <c r="AJ63" i="1"/>
  <c r="AJ34" i="1"/>
  <c r="AJ156" i="1"/>
  <c r="AJ366" i="1"/>
  <c r="AJ280" i="1"/>
  <c r="AJ316" i="1"/>
  <c r="AJ259" i="1"/>
  <c r="AJ4" i="1"/>
  <c r="AJ3" i="1"/>
  <c r="AJ154" i="1"/>
  <c r="AJ159" i="1"/>
  <c r="AJ31" i="1"/>
  <c r="AJ10" i="1"/>
  <c r="AJ351" i="1"/>
  <c r="AJ5" i="1"/>
  <c r="AJ6" i="1"/>
  <c r="AJ162" i="1"/>
  <c r="AJ69" i="1"/>
  <c r="AJ107" i="1"/>
  <c r="AJ104" i="1"/>
  <c r="AJ105" i="1"/>
  <c r="AJ106" i="1"/>
  <c r="AJ340" i="1"/>
  <c r="AJ32" i="1"/>
  <c r="AJ349" i="1"/>
  <c r="AJ30" i="1"/>
  <c r="AJ155" i="1"/>
  <c r="AJ367" i="1"/>
  <c r="AJ2" i="1"/>
  <c r="AJ424" i="1"/>
  <c r="AJ350" i="1"/>
  <c r="AJ40" i="1"/>
  <c r="AJ41" i="1"/>
  <c r="AD325" i="1" l="1"/>
  <c r="Z325" i="1" s="1"/>
  <c r="AM38" i="1"/>
  <c r="AJ38" i="1"/>
  <c r="AD370" i="1"/>
  <c r="Z370" i="1" s="1"/>
  <c r="AD293" i="1"/>
  <c r="Z293" i="1" s="1"/>
  <c r="AB431" i="1"/>
  <c r="AD431" i="1" s="1"/>
  <c r="Z431" i="1" s="1"/>
  <c r="AB430" i="1"/>
  <c r="AD430" i="1" s="1"/>
  <c r="Z430" i="1" s="1"/>
  <c r="AJ153" i="1"/>
  <c r="AB153" i="1"/>
  <c r="AD153" i="1" s="1"/>
  <c r="Z153" i="1" s="1"/>
  <c r="AM153" i="1"/>
  <c r="AS153" i="1"/>
  <c r="AS235" i="1"/>
  <c r="AM235" i="1"/>
  <c r="AJ235" i="1"/>
  <c r="AD245" i="1"/>
  <c r="Z245" i="1" s="1"/>
  <c r="AM281" i="1" l="1"/>
  <c r="AS363" i="1"/>
  <c r="AB23" i="1"/>
  <c r="AB392" i="1"/>
  <c r="AD392" i="1" s="1"/>
  <c r="Z392" i="1" s="1"/>
  <c r="AB132" i="1"/>
  <c r="AD132" i="1" s="1"/>
  <c r="Z132" i="1" s="1"/>
  <c r="AE132" i="1"/>
  <c r="AB292" i="1"/>
  <c r="AD292" i="1" s="1"/>
  <c r="Z292" i="1" s="1"/>
  <c r="AS147" i="1"/>
  <c r="AM147" i="1"/>
  <c r="AJ147" i="1"/>
  <c r="AS149" i="1"/>
  <c r="AM149" i="1"/>
  <c r="AJ149" i="1"/>
  <c r="AB141" i="1"/>
  <c r="AS191" i="1" l="1"/>
  <c r="AM191" i="1"/>
  <c r="AJ191" i="1"/>
  <c r="AD191" i="1"/>
  <c r="Z191" i="1" s="1"/>
  <c r="AD192" i="1"/>
  <c r="Z192" i="1" s="1"/>
  <c r="AJ192" i="1"/>
  <c r="AM192" i="1"/>
  <c r="AS192" i="1"/>
  <c r="AS170" i="1"/>
  <c r="AM170" i="1"/>
  <c r="AJ170" i="1"/>
  <c r="AD170" i="1"/>
  <c r="Z170" i="1" s="1"/>
  <c r="AS273" i="1"/>
  <c r="AM273" i="1"/>
  <c r="AJ273" i="1"/>
  <c r="AM233" i="1"/>
  <c r="AD233" i="1" l="1"/>
  <c r="Z233" i="1" s="1"/>
  <c r="AD378" i="1"/>
  <c r="Z378" i="1" s="1"/>
  <c r="AM382" i="1"/>
  <c r="AS376" i="1"/>
  <c r="AM376" i="1"/>
  <c r="AJ376" i="1"/>
  <c r="AD376" i="1"/>
  <c r="Z376" i="1" s="1"/>
  <c r="AD286" i="1"/>
  <c r="Z286" i="1" s="1"/>
  <c r="AS286" i="1"/>
  <c r="AM286" i="1"/>
  <c r="AJ286" i="1"/>
  <c r="AJ288" i="1"/>
  <c r="AM288" i="1"/>
  <c r="AS288" i="1"/>
  <c r="AD326" i="1"/>
  <c r="Z326" i="1" s="1"/>
  <c r="AS327" i="1"/>
  <c r="AM327" i="1"/>
  <c r="AJ327" i="1"/>
  <c r="AD327" i="1"/>
  <c r="Z327" i="1" s="1"/>
  <c r="AS271" i="1"/>
  <c r="AM271" i="1"/>
  <c r="AJ271" i="1"/>
  <c r="AD271" i="1"/>
  <c r="Z271" i="1" s="1"/>
  <c r="AM361" i="1"/>
  <c r="AS361" i="1"/>
  <c r="AM354" i="1"/>
  <c r="AD355" i="1"/>
  <c r="Z355" i="1" s="1"/>
  <c r="AJ355" i="1"/>
  <c r="AM355" i="1"/>
  <c r="AS355" i="1"/>
  <c r="AD270" i="1"/>
  <c r="Z270" i="1" s="1"/>
  <c r="AJ266" i="1"/>
  <c r="AM266" i="1"/>
  <c r="AJ278" i="1"/>
  <c r="AM278" i="1"/>
  <c r="AD269" i="1"/>
  <c r="Z269" i="1" s="1"/>
  <c r="AM277" i="1"/>
  <c r="AS266" i="1"/>
  <c r="AJ269" i="1"/>
  <c r="AM269" i="1"/>
  <c r="AS269" i="1"/>
  <c r="AS278" i="1"/>
  <c r="AJ277" i="1"/>
  <c r="AS277" i="1"/>
  <c r="AJ270" i="1"/>
  <c r="AM270" i="1"/>
  <c r="AJ425" i="1"/>
  <c r="AM425" i="1"/>
  <c r="AJ279" i="1"/>
  <c r="AM279" i="1"/>
  <c r="AJ258" i="1"/>
  <c r="AM258" i="1"/>
  <c r="AJ268" i="1"/>
  <c r="AM268" i="1"/>
  <c r="AJ385" i="1"/>
  <c r="AM385" i="1"/>
  <c r="AD385" i="1"/>
  <c r="Z385" i="1" s="1"/>
  <c r="AD267" i="1"/>
  <c r="Z267" i="1" s="1"/>
  <c r="AJ283" i="1"/>
  <c r="AM283" i="1"/>
  <c r="AS283" i="1"/>
  <c r="AJ287" i="1"/>
  <c r="AM287" i="1"/>
  <c r="AS287" i="1"/>
  <c r="AJ285" i="1"/>
  <c r="AM285" i="1"/>
  <c r="AS285" i="1"/>
  <c r="AJ284" i="1"/>
  <c r="AM284" i="1"/>
  <c r="AS284" i="1"/>
  <c r="AS290" i="1"/>
  <c r="AJ281" i="1"/>
  <c r="AJ291" i="1"/>
  <c r="AM291" i="1"/>
  <c r="AJ386" i="1"/>
  <c r="AM386" i="1"/>
  <c r="AD386" i="1"/>
  <c r="Z386" i="1" s="1"/>
  <c r="AD283" i="1"/>
  <c r="Z283" i="1" s="1"/>
  <c r="AD285" i="1"/>
  <c r="Z285" i="1" s="1"/>
  <c r="AD287" i="1"/>
  <c r="Z287" i="1" s="1"/>
  <c r="AD281" i="1"/>
  <c r="Z281" i="1" s="1"/>
  <c r="AD291" i="1"/>
  <c r="Z291" i="1" s="1"/>
  <c r="AD284" i="1"/>
  <c r="Z284" i="1" s="1"/>
  <c r="AD290" i="1"/>
  <c r="Z290" i="1" s="1"/>
  <c r="AD289" i="1"/>
  <c r="Z289" i="1" s="1"/>
  <c r="AS332" i="1"/>
  <c r="AM332" i="1"/>
  <c r="AJ332" i="1"/>
  <c r="AS328" i="1"/>
  <c r="AM328" i="1"/>
  <c r="AJ328" i="1"/>
  <c r="AS317" i="1"/>
  <c r="AM317" i="1"/>
  <c r="AJ317" i="1"/>
  <c r="AS339" i="1"/>
  <c r="AM339" i="1"/>
  <c r="AJ339" i="1"/>
  <c r="AS267" i="1"/>
  <c r="AM267" i="1"/>
  <c r="AJ267" i="1"/>
  <c r="AS270" i="1"/>
  <c r="AD399" i="1"/>
  <c r="Z399" i="1" s="1"/>
  <c r="AB18" i="1"/>
  <c r="AD18" i="1" s="1"/>
  <c r="Z18" i="1" s="1"/>
  <c r="AB146" i="1"/>
  <c r="AD146" i="1" s="1"/>
  <c r="Z146" i="1" s="1"/>
  <c r="AB423" i="1"/>
  <c r="AD423" i="1" s="1"/>
  <c r="Z423" i="1" s="1"/>
  <c r="AB345" i="1"/>
  <c r="AD345" i="1" s="1"/>
  <c r="Z345" i="1" s="1"/>
  <c r="AB143" i="1"/>
  <c r="AD143" i="1" s="1"/>
  <c r="Z143" i="1" s="1"/>
  <c r="AB140" i="1"/>
  <c r="AD140" i="1" s="1"/>
  <c r="Z140" i="1" s="1"/>
  <c r="AB137" i="1"/>
  <c r="AD137" i="1" s="1"/>
  <c r="Z137" i="1" s="1"/>
  <c r="AB139" i="1"/>
  <c r="AD139" i="1" s="1"/>
  <c r="Z139" i="1" s="1"/>
  <c r="AB148" i="1"/>
  <c r="AD148" i="1" s="1"/>
  <c r="Z148" i="1" s="1"/>
  <c r="AJ364" i="1"/>
  <c r="AM364" i="1"/>
  <c r="AS364" i="1"/>
  <c r="AJ365" i="1"/>
  <c r="AM365" i="1"/>
  <c r="AS365" i="1"/>
  <c r="AD371" i="1"/>
  <c r="Z371" i="1" s="1"/>
  <c r="AJ371" i="1"/>
  <c r="AM371" i="1"/>
  <c r="AS371" i="1"/>
  <c r="AJ363" i="1"/>
  <c r="AM363" i="1"/>
  <c r="AD373" i="1"/>
  <c r="Z373" i="1" s="1"/>
  <c r="AJ373" i="1"/>
  <c r="AM373" i="1"/>
  <c r="AS373" i="1"/>
  <c r="AD369" i="1"/>
  <c r="Z369" i="1" s="1"/>
  <c r="AJ369" i="1"/>
  <c r="AM369" i="1"/>
  <c r="AS369" i="1"/>
  <c r="AS378" i="1"/>
  <c r="AM378" i="1"/>
  <c r="AJ378" i="1"/>
  <c r="AD377" i="1"/>
  <c r="Z377" i="1" s="1"/>
  <c r="AJ377" i="1"/>
  <c r="AM377" i="1"/>
  <c r="AS377" i="1"/>
  <c r="AD372" i="1"/>
  <c r="Z372" i="1" s="1"/>
  <c r="AJ372" i="1"/>
  <c r="AM372" i="1"/>
  <c r="AS372" i="1"/>
  <c r="AS367" i="1"/>
  <c r="AS2" i="1"/>
  <c r="AD367" i="1"/>
  <c r="Z367" i="1" s="1"/>
  <c r="AD2" i="1"/>
  <c r="Z2" i="1" s="1"/>
  <c r="AD101" i="1"/>
  <c r="Z101" i="1" s="1"/>
  <c r="AD68" i="1"/>
  <c r="Z68" i="1" s="1"/>
  <c r="AS101" i="1"/>
  <c r="AS68" i="1"/>
  <c r="AD357" i="1"/>
  <c r="Z357" i="1" s="1"/>
  <c r="AD358" i="1"/>
  <c r="Z358" i="1" s="1"/>
  <c r="AJ357" i="1"/>
  <c r="AM357" i="1"/>
  <c r="AS357" i="1"/>
  <c r="AJ358" i="1"/>
  <c r="AM358" i="1"/>
  <c r="AS358" i="1"/>
  <c r="AS152" i="1"/>
  <c r="AJ152" i="1"/>
  <c r="AS432" i="1"/>
  <c r="AS425" i="1"/>
  <c r="AD394" i="1"/>
  <c r="Z394" i="1" s="1"/>
  <c r="AD379" i="1"/>
  <c r="Z379" i="1" s="1"/>
  <c r="AD383" i="1"/>
  <c r="Z383" i="1" s="1"/>
  <c r="AD368" i="1"/>
  <c r="Z368" i="1" s="1"/>
  <c r="AD374" i="1"/>
  <c r="Z374" i="1" s="1"/>
  <c r="AS374" i="1"/>
  <c r="AM374" i="1"/>
  <c r="AJ374" i="1"/>
  <c r="AS368" i="1"/>
  <c r="AM368" i="1"/>
  <c r="AJ368" i="1"/>
  <c r="T166" i="1"/>
  <c r="AJ15" i="1"/>
  <c r="AM15" i="1"/>
  <c r="AS15" i="1"/>
  <c r="AJ428" i="1"/>
  <c r="AM428" i="1"/>
  <c r="AS428" i="1"/>
  <c r="AJ429" i="1"/>
  <c r="AM429" i="1"/>
  <c r="AS429" i="1"/>
  <c r="AJ248" i="1"/>
  <c r="AM248" i="1"/>
  <c r="AS248" i="1"/>
  <c r="AS177" i="1"/>
  <c r="AM177" i="1"/>
  <c r="AJ177" i="1"/>
  <c r="T250" i="1"/>
  <c r="T246" i="1"/>
  <c r="T236" i="1"/>
  <c r="T241" i="1"/>
  <c r="AS17" i="1"/>
  <c r="AM17" i="1"/>
  <c r="AJ17" i="1"/>
  <c r="AD17" i="1"/>
  <c r="Z17" i="1" s="1"/>
  <c r="AM19" i="1"/>
  <c r="AB19" i="1"/>
  <c r="AD19" i="1" s="1"/>
  <c r="Z19" i="1" s="1"/>
  <c r="AJ132" i="1"/>
  <c r="AS173" i="1"/>
  <c r="AS174" i="1"/>
  <c r="AM173" i="1"/>
  <c r="AM174" i="1"/>
  <c r="AJ173" i="1"/>
  <c r="AJ174" i="1"/>
  <c r="AD173" i="1"/>
  <c r="Z173" i="1" s="1"/>
  <c r="AD174" i="1"/>
  <c r="Z174" i="1" s="1"/>
  <c r="AS233" i="1"/>
  <c r="AJ233" i="1"/>
  <c r="AS132" i="1"/>
  <c r="AM132" i="1"/>
  <c r="AD194" i="1"/>
  <c r="Z194" i="1" s="1"/>
  <c r="AJ194" i="1"/>
  <c r="AM194" i="1"/>
  <c r="AS194" i="1"/>
  <c r="AD402" i="1"/>
  <c r="Z402" i="1" s="1"/>
  <c r="AJ402" i="1"/>
  <c r="AM402" i="1"/>
  <c r="AS402" i="1"/>
  <c r="AJ19" i="1"/>
  <c r="AS19" i="1"/>
  <c r="AD227" i="1"/>
  <c r="Z227" i="1" s="1"/>
  <c r="AJ227" i="1"/>
  <c r="AM227" i="1"/>
  <c r="AS227" i="1"/>
  <c r="T422" i="1"/>
  <c r="T421" i="1"/>
  <c r="T420" i="1"/>
  <c r="T419" i="1"/>
  <c r="T418" i="1"/>
  <c r="T417" i="1"/>
  <c r="T416" i="1"/>
  <c r="T415" i="1"/>
  <c r="T414" i="1"/>
  <c r="T413" i="1"/>
  <c r="T412" i="1"/>
  <c r="AM250" i="1"/>
  <c r="AM238" i="1"/>
  <c r="AM242" i="1"/>
  <c r="AJ247" i="1"/>
  <c r="AJ242" i="1"/>
  <c r="AJ238" i="1"/>
  <c r="AJ250" i="1"/>
  <c r="AJ246" i="1"/>
  <c r="AJ236" i="1"/>
  <c r="AJ241" i="1"/>
  <c r="AM236" i="1"/>
  <c r="AM241" i="1"/>
  <c r="AS292" i="1"/>
  <c r="AS324" i="1"/>
  <c r="AS325" i="1"/>
  <c r="AS395" i="1"/>
  <c r="AS396" i="1"/>
  <c r="AS27" i="1"/>
  <c r="AS293" i="1"/>
  <c r="AS16" i="1"/>
  <c r="AS28" i="1"/>
  <c r="AS295" i="1"/>
  <c r="AS392" i="1"/>
  <c r="AS391" i="1"/>
  <c r="AS21" i="1"/>
  <c r="AS20" i="1"/>
  <c r="AS23" i="1"/>
  <c r="AS423" i="1"/>
  <c r="AS24" i="1"/>
  <c r="AS138" i="1"/>
  <c r="AS134" i="1"/>
  <c r="AS141" i="1"/>
  <c r="AS145" i="1"/>
  <c r="AS144" i="1"/>
  <c r="AS143" i="1"/>
  <c r="AS137" i="1"/>
  <c r="AS344" i="1"/>
  <c r="AS345" i="1"/>
  <c r="AS148" i="1"/>
  <c r="AS139" i="1"/>
  <c r="AS146" i="1"/>
  <c r="AS140" i="1"/>
  <c r="AS142" i="1"/>
  <c r="AS390" i="1"/>
  <c r="AS158" i="1"/>
  <c r="AS434" i="1"/>
  <c r="AS433" i="1"/>
  <c r="AS26" i="1"/>
  <c r="AS387" i="1"/>
  <c r="AS388" i="1"/>
  <c r="AS389" i="1"/>
  <c r="AS130" i="1"/>
  <c r="AS25" i="1"/>
  <c r="AS18" i="1"/>
  <c r="AS229" i="1"/>
  <c r="AS254" i="1"/>
  <c r="AS163" i="1"/>
  <c r="AS319" i="1"/>
  <c r="AS263" i="1"/>
  <c r="AS47" i="1"/>
  <c r="AS160" i="1"/>
  <c r="AS298" i="1"/>
  <c r="AS394" i="1"/>
  <c r="AS379" i="1"/>
  <c r="AS383" i="1"/>
  <c r="AS382" i="1"/>
  <c r="AS370" i="1"/>
  <c r="AS6" i="1"/>
  <c r="AS162" i="1"/>
  <c r="AS113" i="1"/>
  <c r="AS35" i="1"/>
  <c r="AS157" i="1"/>
  <c r="AS164" i="1"/>
  <c r="AS12" i="1"/>
  <c r="AS155" i="1"/>
  <c r="AS4" i="1"/>
  <c r="AS3" i="1"/>
  <c r="AS154" i="1"/>
  <c r="AS159" i="1"/>
  <c r="AS65" i="1"/>
  <c r="AS67" i="1"/>
  <c r="AS102" i="1"/>
  <c r="AS11" i="1"/>
  <c r="AS66" i="1"/>
  <c r="AS49" i="1"/>
  <c r="AS50" i="1"/>
  <c r="AS51" i="1"/>
  <c r="AS48" i="1"/>
  <c r="AS424" i="1"/>
  <c r="AS350" i="1"/>
  <c r="AS108" i="1"/>
  <c r="AS110" i="1"/>
  <c r="AS112" i="1"/>
  <c r="AS109" i="1"/>
  <c r="AS111" i="1"/>
  <c r="AS52" i="1"/>
  <c r="AS90" i="1"/>
  <c r="AS91" i="1"/>
  <c r="AS89" i="1"/>
  <c r="AS92" i="1"/>
  <c r="AS10" i="1"/>
  <c r="AS351" i="1"/>
  <c r="AS5" i="1"/>
  <c r="AS156" i="1"/>
  <c r="AS259" i="1"/>
  <c r="AS366" i="1"/>
  <c r="AS316" i="1"/>
  <c r="AS280" i="1"/>
  <c r="AS75" i="1"/>
  <c r="AS78" i="1"/>
  <c r="AS76" i="1"/>
  <c r="AS79" i="1"/>
  <c r="AS77" i="1"/>
  <c r="AS56" i="1"/>
  <c r="AS58" i="1"/>
  <c r="AS55" i="1"/>
  <c r="AS57" i="1"/>
  <c r="AS54" i="1"/>
  <c r="AS93" i="1"/>
  <c r="AS94" i="1"/>
  <c r="AS96" i="1"/>
  <c r="AS95" i="1"/>
  <c r="AS97" i="1"/>
  <c r="AS59" i="1"/>
  <c r="AS62" i="1"/>
  <c r="AS60" i="1"/>
  <c r="AS63" i="1"/>
  <c r="AS61" i="1"/>
  <c r="AS301" i="1"/>
  <c r="AS304" i="1"/>
  <c r="AS300" i="1"/>
  <c r="AS303" i="1"/>
  <c r="AS302" i="1"/>
  <c r="AS69" i="1"/>
  <c r="AS106" i="1"/>
  <c r="AS107" i="1"/>
  <c r="AS105" i="1"/>
  <c r="AS104" i="1"/>
  <c r="AS426" i="1"/>
  <c r="AS384" i="1"/>
  <c r="AS385" i="1"/>
  <c r="AS386" i="1"/>
  <c r="AS167" i="1"/>
  <c r="AS289" i="1"/>
  <c r="AS356" i="1"/>
  <c r="AS354" i="1"/>
  <c r="AS362" i="1"/>
  <c r="AS29" i="1"/>
  <c r="AS103" i="1"/>
  <c r="AS34" i="1"/>
  <c r="AS98" i="1"/>
  <c r="AS64" i="1"/>
  <c r="AS41" i="1"/>
  <c r="AS82" i="1"/>
  <c r="AS32" i="1"/>
  <c r="AS53" i="1"/>
  <c r="AS83" i="1"/>
  <c r="AS99" i="1"/>
  <c r="AS80" i="1"/>
  <c r="AS257" i="1"/>
  <c r="AS256" i="1"/>
  <c r="AS255" i="1"/>
  <c r="AS30" i="1"/>
  <c r="AS39" i="1"/>
  <c r="AS88" i="1"/>
  <c r="AS81" i="1"/>
  <c r="AS307" i="1"/>
  <c r="AS313" i="1"/>
  <c r="AS305" i="1"/>
  <c r="AS306" i="1"/>
  <c r="AS314" i="1"/>
  <c r="AS40" i="1"/>
  <c r="AS253" i="1"/>
  <c r="AS340" i="1"/>
  <c r="AS294" i="1"/>
  <c r="AS38" i="1"/>
  <c r="AS398" i="1"/>
  <c r="AS213" i="1"/>
  <c r="AS212" i="1"/>
  <c r="AS175" i="1"/>
  <c r="AS211" i="1"/>
  <c r="AS215" i="1"/>
  <c r="AS166" i="1"/>
  <c r="AS210" i="1"/>
  <c r="AS205" i="1"/>
  <c r="AS243" i="1"/>
  <c r="AS241" i="1"/>
  <c r="AS236" i="1"/>
  <c r="AS230" i="1"/>
  <c r="AS246" i="1"/>
  <c r="AS250" i="1"/>
  <c r="AS201" i="1"/>
  <c r="AS238" i="1"/>
  <c r="AS242" i="1"/>
  <c r="AS207" i="1"/>
  <c r="AS200" i="1"/>
  <c r="AS412" i="1"/>
  <c r="AS413" i="1"/>
  <c r="AS414" i="1"/>
  <c r="AS415" i="1"/>
  <c r="AS416" i="1"/>
  <c r="AS417" i="1"/>
  <c r="AS197" i="1"/>
  <c r="AS418" i="1"/>
  <c r="AS209" i="1"/>
  <c r="AS198" i="1"/>
  <c r="AS202" i="1"/>
  <c r="AS419" i="1"/>
  <c r="AS420" i="1"/>
  <c r="AS421" i="1"/>
  <c r="AS252" i="1"/>
  <c r="AS203" i="1"/>
  <c r="AS208" i="1"/>
  <c r="AS196" i="1"/>
  <c r="AS422" i="1"/>
  <c r="AS249" i="1"/>
  <c r="AS247" i="1"/>
  <c r="AS406" i="1"/>
  <c r="AS199" i="1"/>
  <c r="AS204" i="1"/>
  <c r="AS206" i="1"/>
  <c r="AS393" i="1"/>
  <c r="AS409" i="1"/>
  <c r="AS401" i="1"/>
  <c r="AS404" i="1"/>
  <c r="AS405" i="1"/>
  <c r="AS410" i="1"/>
  <c r="AS408" i="1"/>
  <c r="AS407" i="1"/>
  <c r="AS190" i="1"/>
  <c r="AS403" i="1"/>
  <c r="AS187" i="1"/>
  <c r="AS251" i="1"/>
  <c r="AS239" i="1"/>
  <c r="AS244" i="1"/>
  <c r="AS245" i="1"/>
  <c r="AS240" i="1"/>
  <c r="AS193" i="1"/>
  <c r="AS189" i="1"/>
  <c r="AS185" i="1"/>
  <c r="AS184" i="1"/>
  <c r="AS237" i="1"/>
  <c r="AS299" i="1"/>
  <c r="AS186" i="1"/>
  <c r="AS135" i="1"/>
  <c r="AS133" i="1"/>
  <c r="AS188" i="1"/>
  <c r="AS182" i="1"/>
  <c r="AS195" i="1"/>
  <c r="AS411" i="1"/>
  <c r="AS183" i="1"/>
  <c r="AS169" i="1"/>
  <c r="AS131" i="1"/>
  <c r="AS179" i="1"/>
  <c r="AS234" i="1"/>
  <c r="AS223" i="1"/>
  <c r="AS228" i="1"/>
  <c r="AS224" i="1"/>
  <c r="AS225" i="1"/>
  <c r="AS217" i="1"/>
  <c r="AS220" i="1"/>
  <c r="AS218" i="1"/>
  <c r="AS222" i="1"/>
  <c r="AS219" i="1"/>
  <c r="AS221" i="1"/>
  <c r="AS37" i="1"/>
  <c r="AS151" i="1"/>
  <c r="AS150" i="1"/>
  <c r="AS231" i="1"/>
  <c r="AS353" i="1"/>
  <c r="AS181" i="1"/>
  <c r="AS165" i="1"/>
  <c r="AS297" i="1"/>
  <c r="AS400" i="1"/>
  <c r="AS352" i="1"/>
  <c r="AS232" i="1"/>
  <c r="AS296" i="1"/>
  <c r="AS180" i="1"/>
  <c r="AS216" i="1"/>
  <c r="AS136" i="1"/>
  <c r="AS348" i="1"/>
  <c r="AS346" i="1"/>
  <c r="AS260" i="1"/>
  <c r="AS262" i="1"/>
  <c r="AS268" i="1"/>
  <c r="AS258" i="1"/>
  <c r="AS279" i="1"/>
  <c r="AS272" i="1"/>
  <c r="AS265" i="1"/>
  <c r="AS127" i="1"/>
  <c r="AS100" i="1"/>
  <c r="AS308" i="1"/>
  <c r="AS318" i="1"/>
  <c r="AS330" i="1"/>
  <c r="AS320" i="1"/>
  <c r="AS322" i="1"/>
  <c r="AS129" i="1"/>
  <c r="AS337" i="1"/>
  <c r="AS338" i="1"/>
  <c r="AS326" i="1"/>
  <c r="AS329" i="1"/>
  <c r="AS323" i="1"/>
  <c r="AS334" i="1"/>
  <c r="AS321" i="1"/>
  <c r="AS335" i="1"/>
  <c r="AS336" i="1"/>
  <c r="AS333" i="1"/>
  <c r="AS331" i="1"/>
  <c r="AS13" i="1"/>
  <c r="AS8" i="1"/>
  <c r="AS7" i="1"/>
  <c r="AS9" i="1"/>
  <c r="AS14" i="1"/>
  <c r="AS291" i="1"/>
  <c r="AS281" i="1"/>
  <c r="AS347" i="1"/>
  <c r="AM292" i="1"/>
  <c r="AM324" i="1"/>
  <c r="AM325" i="1"/>
  <c r="AM395" i="1"/>
  <c r="AM396" i="1"/>
  <c r="AM27" i="1"/>
  <c r="AM293" i="1"/>
  <c r="AM16" i="1"/>
  <c r="AM28" i="1"/>
  <c r="AM295" i="1"/>
  <c r="AM392" i="1"/>
  <c r="AM391" i="1"/>
  <c r="AM21" i="1"/>
  <c r="AM20" i="1"/>
  <c r="AM23" i="1"/>
  <c r="AM423" i="1"/>
  <c r="AM24" i="1"/>
  <c r="AM138" i="1"/>
  <c r="AM134" i="1"/>
  <c r="AM141" i="1"/>
  <c r="AM145" i="1"/>
  <c r="AM144" i="1"/>
  <c r="AM143" i="1"/>
  <c r="AM137" i="1"/>
  <c r="AM344" i="1"/>
  <c r="AM345" i="1"/>
  <c r="AM148" i="1"/>
  <c r="AM139" i="1"/>
  <c r="AM146" i="1"/>
  <c r="AM140" i="1"/>
  <c r="AM142" i="1"/>
  <c r="AM158" i="1"/>
  <c r="AM434" i="1"/>
  <c r="AM433" i="1"/>
  <c r="AM26" i="1"/>
  <c r="AM387" i="1"/>
  <c r="AM388" i="1"/>
  <c r="AM389" i="1"/>
  <c r="AM130" i="1"/>
  <c r="AM25" i="1"/>
  <c r="AM18" i="1"/>
  <c r="AM298" i="1"/>
  <c r="AJ292" i="1"/>
  <c r="AJ324" i="1"/>
  <c r="AJ325" i="1"/>
  <c r="AJ395" i="1"/>
  <c r="AJ396" i="1"/>
  <c r="AJ27" i="1"/>
  <c r="AJ293" i="1"/>
  <c r="AJ16" i="1"/>
  <c r="AJ28" i="1"/>
  <c r="AJ295" i="1"/>
  <c r="AJ392" i="1"/>
  <c r="AJ391" i="1"/>
  <c r="AJ21" i="1"/>
  <c r="AJ20" i="1"/>
  <c r="AJ23" i="1"/>
  <c r="AJ423" i="1"/>
  <c r="AJ24" i="1"/>
  <c r="AJ138" i="1"/>
  <c r="AJ134" i="1"/>
  <c r="AJ141" i="1"/>
  <c r="AJ145" i="1"/>
  <c r="AJ144" i="1"/>
  <c r="AJ143" i="1"/>
  <c r="AJ137" i="1"/>
  <c r="AJ344" i="1"/>
  <c r="AJ345" i="1"/>
  <c r="AJ148" i="1"/>
  <c r="AJ139" i="1"/>
  <c r="AJ146" i="1"/>
  <c r="AJ140" i="1"/>
  <c r="AJ142" i="1"/>
  <c r="AJ158" i="1"/>
  <c r="AJ434" i="1"/>
  <c r="AJ433" i="1"/>
  <c r="AJ26" i="1"/>
  <c r="AJ387" i="1"/>
  <c r="AJ388" i="1"/>
  <c r="AJ389" i="1"/>
  <c r="AJ130" i="1"/>
  <c r="AJ25" i="1"/>
  <c r="AJ18" i="1"/>
  <c r="AJ298" i="1"/>
  <c r="AJ175" i="1"/>
  <c r="AJ398" i="1"/>
  <c r="AM398" i="1"/>
  <c r="AD320" i="1"/>
  <c r="Z320" i="1" s="1"/>
  <c r="AD356" i="1"/>
  <c r="Z356" i="1" s="1"/>
  <c r="AD362" i="1"/>
  <c r="Z362" i="1" s="1"/>
  <c r="AD25" i="1"/>
  <c r="Z25" i="1" s="1"/>
  <c r="AD27" i="1"/>
  <c r="Z27" i="1" s="1"/>
  <c r="AD16" i="1"/>
  <c r="Z16" i="1" s="1"/>
  <c r="AD28" i="1"/>
  <c r="Z28" i="1" s="1"/>
  <c r="AD21" i="1"/>
  <c r="Z21" i="1" s="1"/>
  <c r="AD20" i="1"/>
  <c r="Z20" i="1" s="1"/>
  <c r="AD138" i="1"/>
  <c r="Z138" i="1" s="1"/>
  <c r="AD134" i="1"/>
  <c r="Z134" i="1" s="1"/>
  <c r="AD141" i="1"/>
  <c r="Z141" i="1" s="1"/>
  <c r="AD145" i="1"/>
  <c r="Z145" i="1" s="1"/>
  <c r="AD144" i="1"/>
  <c r="Z144" i="1" s="1"/>
  <c r="AD344" i="1"/>
  <c r="Z344" i="1" s="1"/>
  <c r="AD412" i="1"/>
  <c r="Z412" i="1" s="1"/>
  <c r="AD413" i="1"/>
  <c r="Z413" i="1" s="1"/>
  <c r="AD414" i="1"/>
  <c r="Z414" i="1" s="1"/>
  <c r="AD415" i="1"/>
  <c r="Z415" i="1" s="1"/>
  <c r="AD416" i="1"/>
  <c r="Z416" i="1" s="1"/>
  <c r="AD417" i="1"/>
  <c r="Z417" i="1" s="1"/>
  <c r="AD418" i="1"/>
  <c r="Z418" i="1" s="1"/>
  <c r="AD419" i="1"/>
  <c r="Z419" i="1" s="1"/>
  <c r="AD420" i="1"/>
  <c r="Z420" i="1" s="1"/>
  <c r="AD421" i="1"/>
  <c r="Z421" i="1" s="1"/>
  <c r="AD422" i="1"/>
  <c r="Z422" i="1" s="1"/>
  <c r="AD268" i="1"/>
  <c r="Z268" i="1" s="1"/>
  <c r="AD258" i="1"/>
  <c r="Z258" i="1" s="1"/>
  <c r="AD279" i="1"/>
  <c r="Z279" i="1" s="1"/>
  <c r="AD277" i="1"/>
  <c r="Z277" i="1" s="1"/>
  <c r="AD278" i="1"/>
  <c r="Z278" i="1" s="1"/>
  <c r="AD324" i="1"/>
  <c r="Z324" i="1" s="1"/>
  <c r="AD396" i="1"/>
  <c r="Z396" i="1" s="1"/>
  <c r="AD330" i="1"/>
  <c r="Z330" i="1" s="1"/>
  <c r="AD317" i="1"/>
  <c r="Z317" i="1" s="1"/>
  <c r="AD328" i="1"/>
  <c r="Z328" i="1" s="1"/>
  <c r="AD322" i="1"/>
  <c r="Z322" i="1" s="1"/>
  <c r="AD129" i="1"/>
  <c r="Z129" i="1" s="1"/>
  <c r="AD332" i="1"/>
  <c r="Z332" i="1" s="1"/>
  <c r="AD337" i="1"/>
  <c r="Z337" i="1" s="1"/>
  <c r="AD338" i="1"/>
  <c r="Z338" i="1" s="1"/>
  <c r="AD266" i="1"/>
  <c r="Z266" i="1" s="1"/>
  <c r="AJ252" i="1"/>
  <c r="AJ230" i="1"/>
  <c r="AJ243" i="1"/>
  <c r="AJ205" i="1"/>
  <c r="AJ210" i="1"/>
  <c r="AD339" i="1"/>
  <c r="Z339" i="1" s="1"/>
  <c r="AD434" i="1"/>
  <c r="Z434" i="1" s="1"/>
  <c r="AD387" i="1"/>
  <c r="Z387" i="1" s="1"/>
  <c r="AD158" i="1"/>
  <c r="Z158" i="1" s="1"/>
  <c r="AD426" i="1"/>
  <c r="Z426" i="1" s="1"/>
  <c r="AD14" i="1"/>
  <c r="Z14" i="1" s="1"/>
  <c r="AD9" i="1"/>
  <c r="Z9" i="1" s="1"/>
  <c r="AD7" i="1"/>
  <c r="Z7" i="1" s="1"/>
  <c r="AD8" i="1"/>
  <c r="Z8" i="1" s="1"/>
  <c r="AD13" i="1"/>
  <c r="Z13" i="1" s="1"/>
  <c r="AD260" i="1"/>
  <c r="Z260" i="1" s="1"/>
  <c r="AD302" i="1"/>
  <c r="Z302" i="1" s="1"/>
  <c r="AD303" i="1"/>
  <c r="Z303" i="1" s="1"/>
  <c r="AD300" i="1"/>
  <c r="Z300" i="1" s="1"/>
  <c r="AD304" i="1"/>
  <c r="Z304" i="1" s="1"/>
  <c r="AD301" i="1"/>
  <c r="Z301" i="1" s="1"/>
  <c r="AD61" i="1"/>
  <c r="Z61" i="1" s="1"/>
  <c r="AD63" i="1"/>
  <c r="Z63" i="1" s="1"/>
  <c r="AD60" i="1"/>
  <c r="Z60" i="1" s="1"/>
  <c r="AD62" i="1"/>
  <c r="Z62" i="1" s="1"/>
  <c r="AD59" i="1"/>
  <c r="Z59" i="1" s="1"/>
  <c r="AD97" i="1"/>
  <c r="Z97" i="1" s="1"/>
  <c r="AD95" i="1"/>
  <c r="Z95" i="1" s="1"/>
  <c r="AD96" i="1"/>
  <c r="Z96" i="1" s="1"/>
  <c r="AD94" i="1"/>
  <c r="Z94" i="1" s="1"/>
  <c r="AD93" i="1"/>
  <c r="Z93" i="1" s="1"/>
  <c r="AD54" i="1"/>
  <c r="Z54" i="1" s="1"/>
  <c r="AD57" i="1"/>
  <c r="Z57" i="1" s="1"/>
  <c r="AD55" i="1"/>
  <c r="Z55" i="1" s="1"/>
  <c r="AD58" i="1"/>
  <c r="Z58" i="1" s="1"/>
  <c r="AD56" i="1"/>
  <c r="Z56" i="1" s="1"/>
  <c r="AD77" i="1"/>
  <c r="Z77" i="1" s="1"/>
  <c r="AD79" i="1"/>
  <c r="Z79" i="1" s="1"/>
  <c r="AD76" i="1"/>
  <c r="Z76" i="1" s="1"/>
  <c r="AD78" i="1"/>
  <c r="Z78" i="1" s="1"/>
  <c r="AD75" i="1"/>
  <c r="Z75" i="1" s="1"/>
  <c r="AD280" i="1"/>
  <c r="Z280" i="1" s="1"/>
  <c r="AD316" i="1"/>
  <c r="Z316" i="1" s="1"/>
  <c r="AD366" i="1"/>
  <c r="Z366" i="1" s="1"/>
  <c r="AD259" i="1"/>
  <c r="Z259" i="1" s="1"/>
  <c r="AD5" i="1"/>
  <c r="Z5" i="1" s="1"/>
  <c r="AD92" i="1"/>
  <c r="Z92" i="1" s="1"/>
  <c r="AD89" i="1"/>
  <c r="Z89" i="1" s="1"/>
  <c r="AD91" i="1"/>
  <c r="Z91" i="1" s="1"/>
  <c r="AD90" i="1"/>
  <c r="Z90" i="1" s="1"/>
  <c r="AD52" i="1"/>
  <c r="Z52" i="1" s="1"/>
  <c r="AD111" i="1"/>
  <c r="Z111" i="1" s="1"/>
  <c r="AD109" i="1"/>
  <c r="Z109" i="1" s="1"/>
  <c r="AD112" i="1"/>
  <c r="Z112" i="1" s="1"/>
  <c r="AD110" i="1"/>
  <c r="Z110" i="1" s="1"/>
  <c r="AD108" i="1"/>
  <c r="Z108" i="1" s="1"/>
  <c r="AD350" i="1"/>
  <c r="Z350" i="1" s="1"/>
  <c r="AD424" i="1"/>
  <c r="Z424" i="1" s="1"/>
  <c r="AD48" i="1"/>
  <c r="Z48" i="1" s="1"/>
  <c r="AD51" i="1"/>
  <c r="Z51" i="1" s="1"/>
  <c r="AD50" i="1"/>
  <c r="Z50" i="1" s="1"/>
  <c r="AD49" i="1"/>
  <c r="Z49" i="1" s="1"/>
  <c r="AD66" i="1"/>
  <c r="Z66" i="1" s="1"/>
  <c r="AD11" i="1"/>
  <c r="Z11" i="1" s="1"/>
  <c r="AD102" i="1"/>
  <c r="Z102" i="1" s="1"/>
  <c r="AD67" i="1"/>
  <c r="Z67" i="1" s="1"/>
  <c r="AD65" i="1"/>
  <c r="Z65" i="1" s="1"/>
  <c r="AD159" i="1"/>
  <c r="Z159" i="1" s="1"/>
  <c r="AD154" i="1"/>
  <c r="Z154" i="1" s="1"/>
  <c r="AD4" i="1"/>
  <c r="Z4" i="1" s="1"/>
  <c r="AD155" i="1"/>
  <c r="Z155" i="1" s="1"/>
  <c r="AD12" i="1"/>
  <c r="Z12" i="1" s="1"/>
  <c r="AD164" i="1"/>
  <c r="Z164" i="1" s="1"/>
  <c r="AD157" i="1"/>
  <c r="Z157" i="1" s="1"/>
  <c r="AD35" i="1"/>
  <c r="Z35" i="1" s="1"/>
  <c r="AD113" i="1"/>
  <c r="Z113" i="1" s="1"/>
  <c r="AD162" i="1"/>
  <c r="Z162" i="1" s="1"/>
  <c r="AD6" i="1"/>
  <c r="Z6" i="1" s="1"/>
  <c r="AD163" i="1"/>
  <c r="Z163" i="1" s="1"/>
  <c r="AD263" i="1"/>
  <c r="Z263" i="1" s="1"/>
  <c r="AD254" i="1"/>
  <c r="Z254" i="1" s="1"/>
  <c r="AD340" i="1"/>
  <c r="Z340" i="1" s="1"/>
  <c r="AD294" i="1"/>
  <c r="Z294" i="1" s="1"/>
  <c r="AD295" i="1"/>
  <c r="Z295" i="1" s="1"/>
  <c r="AD393" i="1"/>
  <c r="Z393" i="1" s="1"/>
  <c r="AD323" i="1"/>
  <c r="Z323" i="1" s="1"/>
  <c r="AJ179" i="1"/>
  <c r="AJ223" i="1"/>
  <c r="AM179" i="1"/>
  <c r="AM234" i="1"/>
  <c r="AM223" i="1"/>
  <c r="AM384" i="1"/>
  <c r="S104" i="1"/>
  <c r="S105" i="1"/>
  <c r="S107" i="1"/>
  <c r="S106" i="1"/>
  <c r="S61" i="1"/>
  <c r="S63" i="1"/>
  <c r="S60" i="1"/>
  <c r="S62" i="1"/>
  <c r="S54" i="1"/>
  <c r="S57" i="1"/>
  <c r="S55" i="1"/>
  <c r="S58" i="1"/>
  <c r="S56" i="1"/>
  <c r="S92" i="1"/>
  <c r="S89" i="1"/>
  <c r="S91" i="1"/>
  <c r="S90" i="1"/>
  <c r="S48" i="1"/>
  <c r="S51" i="1"/>
  <c r="S50" i="1"/>
  <c r="S49" i="1"/>
  <c r="AD23" i="1"/>
  <c r="Z23" i="1" s="1"/>
  <c r="AJ426" i="1"/>
  <c r="AM362" i="1"/>
  <c r="AJ362" i="1"/>
  <c r="AD411" i="1"/>
  <c r="Z411" i="1" s="1"/>
  <c r="AM411" i="1"/>
  <c r="AJ411" i="1"/>
  <c r="AD53" i="1"/>
  <c r="Z53" i="1" s="1"/>
  <c r="AD32" i="1"/>
  <c r="Z32" i="1" s="1"/>
  <c r="AD34" i="1"/>
  <c r="Z34" i="1" s="1"/>
  <c r="AD103" i="1"/>
  <c r="Z103" i="1" s="1"/>
  <c r="AD400" i="1"/>
  <c r="Z400" i="1" s="1"/>
  <c r="AD216" i="1"/>
  <c r="Z216" i="1" s="1"/>
  <c r="AD347" i="1"/>
  <c r="Z347" i="1" s="1"/>
  <c r="AD346" i="1"/>
  <c r="Z346" i="1" s="1"/>
  <c r="AD321" i="1"/>
  <c r="Z321" i="1" s="1"/>
  <c r="AD335" i="1"/>
  <c r="Z335" i="1" s="1"/>
  <c r="AD336" i="1"/>
  <c r="Z336" i="1" s="1"/>
  <c r="AM204" i="1"/>
  <c r="AM206" i="1"/>
  <c r="AJ204" i="1"/>
  <c r="AJ206" i="1"/>
  <c r="AD239" i="1" l="1"/>
  <c r="Z239" i="1" s="1"/>
  <c r="AB181" i="1"/>
  <c r="AD331" i="1"/>
  <c r="Z331" i="1" s="1"/>
  <c r="AB333" i="1"/>
  <c r="AD333" i="1" s="1"/>
  <c r="Z333" i="1" s="1"/>
  <c r="AD231" i="1"/>
  <c r="Z231" i="1" s="1"/>
  <c r="AD179" i="1"/>
  <c r="Z179" i="1" s="1"/>
  <c r="AD234" i="1"/>
  <c r="Z234" i="1" s="1"/>
  <c r="AD223" i="1"/>
  <c r="Z223" i="1" s="1"/>
  <c r="AD228" i="1"/>
  <c r="Z228" i="1" s="1"/>
  <c r="AD224" i="1"/>
  <c r="Z224" i="1" s="1"/>
  <c r="AD225" i="1"/>
  <c r="Z225" i="1" s="1"/>
  <c r="AD217" i="1"/>
  <c r="Z217" i="1" s="1"/>
  <c r="AD220" i="1"/>
  <c r="Z220" i="1" s="1"/>
  <c r="AD218" i="1"/>
  <c r="Z218" i="1" s="1"/>
  <c r="AD219" i="1"/>
  <c r="Z219" i="1" s="1"/>
  <c r="AD221" i="1"/>
  <c r="Z221" i="1" s="1"/>
  <c r="AD37" i="1"/>
  <c r="Z37" i="1" s="1"/>
  <c r="AD151" i="1"/>
  <c r="Z151" i="1" s="1"/>
  <c r="AD150" i="1"/>
  <c r="Z150" i="1" s="1"/>
  <c r="AD130" i="1"/>
  <c r="Z130" i="1" s="1"/>
  <c r="AJ151" i="1"/>
  <c r="AJ150" i="1"/>
  <c r="AM151" i="1"/>
  <c r="AM150" i="1"/>
  <c r="AJ348" i="1"/>
  <c r="AJ346" i="1"/>
  <c r="AM348" i="1"/>
  <c r="AM346" i="1"/>
  <c r="AM247" i="1"/>
  <c r="AM426" i="1"/>
  <c r="AJ37" i="1"/>
  <c r="AM37" i="1"/>
  <c r="AM221" i="1"/>
  <c r="AJ219" i="1"/>
  <c r="AM219" i="1"/>
  <c r="AJ222" i="1"/>
  <c r="AM222" i="1"/>
  <c r="AJ218" i="1"/>
  <c r="AM218" i="1"/>
  <c r="AJ220" i="1"/>
  <c r="AM220" i="1"/>
  <c r="AJ217" i="1"/>
  <c r="AM217" i="1"/>
  <c r="AJ225" i="1"/>
  <c r="AM225" i="1"/>
  <c r="AJ224" i="1"/>
  <c r="AM224" i="1"/>
  <c r="AJ228" i="1"/>
  <c r="AM228" i="1"/>
  <c r="AJ211" i="1"/>
  <c r="AJ231" i="1"/>
  <c r="AJ353" i="1"/>
  <c r="AJ394" i="1"/>
  <c r="AJ213" i="1"/>
  <c r="AJ215" i="1"/>
  <c r="AJ323" i="1"/>
  <c r="AJ334" i="1"/>
  <c r="AJ321" i="1"/>
  <c r="AJ272" i="1"/>
  <c r="AJ393" i="1"/>
  <c r="AJ265" i="1"/>
  <c r="AJ181" i="1"/>
  <c r="AJ297" i="1"/>
  <c r="AJ370" i="1"/>
  <c r="AJ356" i="1"/>
  <c r="AJ212" i="1"/>
  <c r="AJ352" i="1"/>
  <c r="AJ249" i="1"/>
  <c r="AJ326" i="1"/>
  <c r="AJ329" i="1"/>
  <c r="AJ251" i="1"/>
  <c r="AJ379" i="1"/>
  <c r="AJ330" i="1"/>
  <c r="AJ333" i="1"/>
  <c r="AJ331" i="1"/>
  <c r="AJ232" i="1"/>
  <c r="AJ296" i="1"/>
  <c r="AJ180" i="1"/>
  <c r="AJ320" i="1"/>
  <c r="AJ400" i="1"/>
  <c r="AJ383" i="1"/>
  <c r="AJ337" i="1"/>
  <c r="AJ338" i="1"/>
  <c r="AJ216" i="1"/>
  <c r="AJ239" i="1"/>
  <c r="AJ244" i="1"/>
  <c r="AJ245" i="1"/>
  <c r="AJ240" i="1"/>
  <c r="AJ409" i="1"/>
  <c r="AJ401" i="1"/>
  <c r="AJ197" i="1"/>
  <c r="AJ196" i="1"/>
  <c r="AJ404" i="1"/>
  <c r="AJ405" i="1"/>
  <c r="AJ410" i="1"/>
  <c r="AJ408" i="1"/>
  <c r="AJ407" i="1"/>
  <c r="AJ190" i="1"/>
  <c r="AJ193" i="1"/>
  <c r="AJ403" i="1"/>
  <c r="AJ187" i="1"/>
  <c r="AJ189" i="1"/>
  <c r="AJ185" i="1"/>
  <c r="AJ184" i="1"/>
  <c r="AJ186" i="1"/>
  <c r="AJ188" i="1"/>
  <c r="AJ182" i="1"/>
  <c r="AJ406" i="1"/>
  <c r="AJ183" i="1"/>
  <c r="AJ237" i="1"/>
  <c r="AJ299" i="1"/>
  <c r="AJ169" i="1"/>
  <c r="AJ135" i="1"/>
  <c r="AJ131" i="1"/>
  <c r="AJ133" i="1"/>
  <c r="AJ354" i="1"/>
  <c r="AJ136" i="1"/>
  <c r="AJ347" i="1"/>
  <c r="AM211" i="1"/>
  <c r="AM231" i="1"/>
  <c r="AM353" i="1"/>
  <c r="AM394" i="1"/>
  <c r="AM213" i="1"/>
  <c r="AM215" i="1"/>
  <c r="AM323" i="1"/>
  <c r="AM334" i="1"/>
  <c r="AM321" i="1"/>
  <c r="AM272" i="1"/>
  <c r="AM393" i="1"/>
  <c r="AM265" i="1"/>
  <c r="AM181" i="1"/>
  <c r="AM297" i="1"/>
  <c r="AM370" i="1"/>
  <c r="AM356" i="1"/>
  <c r="AM212" i="1"/>
  <c r="AM352" i="1"/>
  <c r="AM249" i="1"/>
  <c r="AM326" i="1"/>
  <c r="AM329" i="1"/>
  <c r="AM175" i="1"/>
  <c r="AM251" i="1"/>
  <c r="AM379" i="1"/>
  <c r="AM210" i="1"/>
  <c r="AM330" i="1"/>
  <c r="AM205" i="1"/>
  <c r="AM333" i="1"/>
  <c r="AM331" i="1"/>
  <c r="AM232" i="1"/>
  <c r="AM296" i="1"/>
  <c r="AM180" i="1"/>
  <c r="AM320" i="1"/>
  <c r="AM400" i="1"/>
  <c r="AM230" i="1"/>
  <c r="AM383" i="1"/>
  <c r="AM337" i="1"/>
  <c r="AM338" i="1"/>
  <c r="AM216" i="1"/>
  <c r="AM239" i="1"/>
  <c r="AM244" i="1"/>
  <c r="AM245" i="1"/>
  <c r="AM243" i="1"/>
  <c r="AM246" i="1"/>
  <c r="AM240" i="1"/>
  <c r="AM409" i="1"/>
  <c r="AM401" i="1"/>
  <c r="AM197" i="1"/>
  <c r="AM196" i="1"/>
  <c r="AM404" i="1"/>
  <c r="AM405" i="1"/>
  <c r="AM410" i="1"/>
  <c r="AM408" i="1"/>
  <c r="AM407" i="1"/>
  <c r="AM190" i="1"/>
  <c r="AM193" i="1"/>
  <c r="AM403" i="1"/>
  <c r="AM187" i="1"/>
  <c r="AM189" i="1"/>
  <c r="AM185" i="1"/>
  <c r="AM184" i="1"/>
  <c r="AM186" i="1"/>
  <c r="AM188" i="1"/>
  <c r="AM182" i="1"/>
  <c r="AM406" i="1"/>
  <c r="AM195" i="1"/>
  <c r="AM183" i="1"/>
  <c r="AM237" i="1"/>
  <c r="AM299" i="1"/>
  <c r="AM169" i="1"/>
  <c r="AM135" i="1"/>
  <c r="AM131" i="1"/>
  <c r="AM133" i="1"/>
  <c r="AM136" i="1"/>
  <c r="AM252" i="1"/>
  <c r="AM347" i="1"/>
  <c r="AD131" i="1"/>
  <c r="Z131" i="1" s="1"/>
  <c r="AD133" i="1"/>
  <c r="Z133" i="1" s="1"/>
  <c r="AD307" i="1"/>
  <c r="Z307" i="1" s="1"/>
  <c r="AD353" i="1"/>
  <c r="Z353" i="1" s="1"/>
  <c r="AD334" i="1"/>
  <c r="Z334" i="1" s="1"/>
  <c r="AD265" i="1"/>
  <c r="Z265" i="1" s="1"/>
  <c r="AD29" i="1"/>
  <c r="Z29" i="1" s="1"/>
  <c r="AD352" i="1"/>
  <c r="Z352" i="1" s="1"/>
  <c r="AD354" i="1"/>
  <c r="Z354" i="1" s="1"/>
  <c r="AD349" i="1"/>
  <c r="Z349" i="1" s="1"/>
  <c r="AD98" i="1"/>
  <c r="Z98" i="1" s="1"/>
  <c r="AD64" i="1"/>
  <c r="Z64" i="1" s="1"/>
  <c r="AD47" i="1"/>
  <c r="Z47" i="1" s="1"/>
  <c r="AD262" i="1"/>
  <c r="Z262" i="1" s="1"/>
  <c r="AD82" i="1"/>
  <c r="Z82" i="1" s="1"/>
  <c r="AD127" i="1"/>
  <c r="Z127" i="1" s="1"/>
  <c r="AD296" i="1"/>
  <c r="Z296" i="1" s="1"/>
  <c r="AD100" i="1"/>
  <c r="Z100" i="1" s="1"/>
  <c r="AD160" i="1"/>
  <c r="Z160" i="1" s="1"/>
  <c r="AD83" i="1"/>
  <c r="Z83" i="1" s="1"/>
  <c r="AD99" i="1"/>
  <c r="Z99" i="1" s="1"/>
  <c r="AD80" i="1"/>
  <c r="Z80" i="1" s="1"/>
  <c r="AD305" i="1"/>
  <c r="Z305" i="1" s="1"/>
  <c r="AD306" i="1"/>
  <c r="Z306" i="1" s="1"/>
  <c r="AD314" i="1"/>
  <c r="Z314" i="1" s="1"/>
  <c r="AD30" i="1"/>
  <c r="Z30" i="1" s="1"/>
  <c r="AD257" i="1"/>
  <c r="Z257" i="1" s="1"/>
  <c r="AD256" i="1"/>
  <c r="Z256" i="1" s="1"/>
  <c r="AD255" i="1"/>
  <c r="Z255" i="1" s="1"/>
  <c r="AD39" i="1"/>
  <c r="Z39" i="1" s="1"/>
  <c r="AD81" i="1"/>
  <c r="Z81" i="1" s="1"/>
  <c r="AD31" i="1"/>
  <c r="Z31" i="1" s="1"/>
  <c r="AD40" i="1"/>
  <c r="Z40" i="1" s="1"/>
  <c r="AD308" i="1"/>
  <c r="Z308" i="1" s="1"/>
  <c r="AD244" i="1"/>
  <c r="Z244" i="1" s="1"/>
  <c r="AD240" i="1"/>
  <c r="Z240" i="1" s="1"/>
  <c r="AD409" i="1"/>
  <c r="Z409" i="1" s="1"/>
  <c r="AD401" i="1"/>
  <c r="Z401" i="1" s="1"/>
  <c r="AD404" i="1"/>
  <c r="Z404" i="1" s="1"/>
  <c r="AD405" i="1"/>
  <c r="Z405" i="1" s="1"/>
  <c r="AD410" i="1"/>
  <c r="Z410" i="1" s="1"/>
  <c r="AD408" i="1"/>
  <c r="Z408" i="1" s="1"/>
  <c r="AD407" i="1"/>
  <c r="Z407" i="1" s="1"/>
  <c r="AD190" i="1"/>
  <c r="Z190" i="1" s="1"/>
  <c r="AD193" i="1"/>
  <c r="Z193" i="1" s="1"/>
  <c r="AD403" i="1"/>
  <c r="Z403" i="1" s="1"/>
  <c r="AD187" i="1"/>
  <c r="Z187" i="1" s="1"/>
  <c r="AD189" i="1"/>
  <c r="Z189" i="1" s="1"/>
  <c r="AD185" i="1"/>
  <c r="Z185" i="1" s="1"/>
  <c r="AD184" i="1"/>
  <c r="Z184" i="1" s="1"/>
  <c r="AD186" i="1"/>
  <c r="Z186" i="1" s="1"/>
  <c r="AD188" i="1"/>
  <c r="Z188" i="1" s="1"/>
  <c r="AD182" i="1"/>
  <c r="Z182" i="1" s="1"/>
  <c r="AD195" i="1"/>
  <c r="Z195" i="1" s="1"/>
  <c r="AD183" i="1"/>
  <c r="Z183" i="1" s="1"/>
  <c r="AD318" i="1"/>
  <c r="Z318" i="1" s="1"/>
  <c r="C2" i="15"/>
  <c r="D2" i="15"/>
  <c r="C3" i="15"/>
  <c r="D3" i="15"/>
  <c r="C4" i="15"/>
  <c r="D4" i="15"/>
  <c r="C5" i="15"/>
  <c r="D5" i="15"/>
  <c r="C6" i="15"/>
  <c r="D6" i="15"/>
  <c r="C7" i="15"/>
  <c r="D7" i="15"/>
  <c r="S69" i="1"/>
  <c r="S53" i="1"/>
  <c r="S39" i="1"/>
  <c r="S47" i="1"/>
  <c r="S59" i="1"/>
  <c r="S66" i="1"/>
  <c r="S100" i="1"/>
  <c r="S52" i="1"/>
  <c r="S64" i="1"/>
  <c r="N5" i="8"/>
  <c r="O8" i="8"/>
  <c r="C9" i="8"/>
  <c r="C10" i="8" s="1"/>
  <c r="C11" i="8" s="1"/>
  <c r="C12" i="8" s="1"/>
  <c r="O9" i="8"/>
  <c r="C91" i="8"/>
  <c r="C13" i="8"/>
  <c r="C14" i="8" s="1"/>
  <c r="C15" i="8" s="1"/>
  <c r="C16" i="8" s="1"/>
  <c r="C17" i="8" s="1"/>
  <c r="C18" i="8" s="1"/>
  <c r="C19" i="8" s="1"/>
  <c r="C20" i="8" s="1"/>
  <c r="C21" i="8" s="1"/>
  <c r="C22" i="8" s="1"/>
  <c r="C23" i="8" s="1"/>
  <c r="C24" i="8" s="1"/>
  <c r="C25" i="8" s="1"/>
  <c r="C26" i="8" s="1"/>
  <c r="C27" i="8" s="1"/>
  <c r="C57" i="8"/>
  <c r="C58" i="8" s="1"/>
  <c r="C59" i="8" s="1"/>
  <c r="C60" i="8" s="1"/>
  <c r="C61" i="8" s="1"/>
  <c r="C62" i="8" s="1"/>
  <c r="C63" i="8" s="1"/>
  <c r="C64" i="8" s="1"/>
  <c r="C65" i="8" s="1"/>
  <c r="C66" i="8" s="1"/>
  <c r="C67" i="8" s="1"/>
  <c r="C68" i="8" s="1"/>
  <c r="C92" i="8"/>
  <c r="C28" i="8"/>
  <c r="C29" i="8"/>
  <c r="C30" i="8"/>
  <c r="C31" i="8" s="1"/>
  <c r="C32" i="8" s="1"/>
  <c r="C33" i="8" s="1"/>
  <c r="C34" i="8" s="1"/>
  <c r="C35" i="8" s="1"/>
  <c r="C36" i="8" s="1"/>
  <c r="C37" i="8" s="1"/>
  <c r="C38" i="8" s="1"/>
  <c r="C39" i="8" s="1"/>
  <c r="C40" i="8" s="1"/>
  <c r="C41" i="8" s="1"/>
  <c r="C42" i="8" s="1"/>
  <c r="C43" i="8" s="1"/>
  <c r="C44" i="8" s="1"/>
  <c r="C45" i="8" s="1"/>
  <c r="C46" i="8" s="1"/>
  <c r="C47" i="8" s="1"/>
  <c r="C48" i="8" s="1"/>
  <c r="C49" i="8" s="1"/>
  <c r="C50" i="8" s="1"/>
  <c r="C51" i="8" s="1"/>
  <c r="C52" i="8" s="1"/>
  <c r="C53" i="8" s="1"/>
  <c r="C54" i="8" s="1"/>
  <c r="C93" i="8"/>
  <c r="C94" i="8" s="1"/>
  <c r="C95" i="8" s="1"/>
  <c r="C96" i="8" s="1"/>
  <c r="C97" i="8" s="1"/>
  <c r="C98" i="8" s="1"/>
  <c r="C99" i="8" s="1"/>
  <c r="C100" i="8" s="1"/>
  <c r="C101" i="8" s="1"/>
  <c r="C103" i="8" s="1"/>
  <c r="C104" i="8" s="1"/>
  <c r="C105" i="8" s="1"/>
  <c r="C106" i="8" s="1"/>
  <c r="C107" i="8" s="1"/>
  <c r="C108" i="8" s="1"/>
  <c r="C109" i="8" s="1"/>
  <c r="C110" i="8" s="1"/>
  <c r="C111" i="8" s="1"/>
  <c r="C114" i="8" s="1"/>
  <c r="C115" i="8" s="1"/>
  <c r="C116" i="8" s="1"/>
  <c r="C69" i="8"/>
  <c r="C70" i="8"/>
  <c r="C71" i="8" s="1"/>
  <c r="C72" i="8" s="1"/>
  <c r="C73" i="8" s="1"/>
  <c r="C74" i="8" s="1"/>
  <c r="C75" i="8" s="1"/>
  <c r="C76" i="8" s="1"/>
  <c r="C77" i="8" s="1"/>
  <c r="C78" i="8" s="1"/>
  <c r="C79" i="8" s="1"/>
  <c r="C80" i="8" s="1"/>
  <c r="C81" i="8"/>
  <c r="C82" i="8"/>
  <c r="C83" i="8"/>
  <c r="C84" i="8"/>
  <c r="C85" i="8"/>
  <c r="C86" i="8"/>
  <c r="C87"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tc={E331EEDB-8D13-4E19-BF74-D607AE31AFC7}</author>
    <author>tc={3095817C-0841-417E-A648-51C0439CFC53}</author>
    <author>tc={FCF28737-16DE-44ED-AF20-112728EDDAA1}</author>
    <author>Ana Jacho</author>
    <author>tc={A2EE2561-C267-44BB-BBBD-71210CB36DEC}</author>
    <author>Cesar Siguenza</author>
    <author>tc={472BC32F-88D2-4009-8DA4-662E6D520EB8}</author>
    <author>tc={636D025A-8D12-4612-95AF-90DC4203D62D}</author>
    <author>tc={979E7536-7C1A-415C-A1EC-BE10BC1DE116}</author>
    <author>tc={D02E63B1-405A-4FE3-B5E1-5DC95E552605}</author>
    <author>tc={558B38B0-5B9B-482A-ADF7-F4DCFD8EB9B3}</author>
    <author>tc={B76F2B2C-1B5F-456B-A6A3-B29A1CD4339A}</author>
    <author>tc={04A7F11B-2D7A-4C5E-B501-F3C61D03B8ED}</author>
    <author>tc={564FE749-F706-44F2-B127-0847A0DB792F}</author>
    <author>tc={CD56DA4C-A7DF-4F52-89AE-E4A4A64BD6BF}</author>
    <author>tc={4B2B7FE4-D39D-40AB-B717-9DC906E5F4F2}</author>
    <author>tc={08B3D485-66B2-4C4A-84D1-4DE8CFDB0729}</author>
    <author>tc={5C35DE6B-272C-45D0-8A49-C6B8FF729B5D}</author>
    <author>tc={3187F1BC-48D8-4DB3-B901-C30F6CF28ABD}</author>
    <author>tc={3EFE71E2-3616-4D8F-ADA0-3B0DBB181BB1}</author>
    <author>tc={8D9140E7-6A8B-4177-96B0-7938329C8F33}</author>
    <author>tc={BCE1314A-FF78-459A-AAFA-0947FB03BF90}</author>
    <author>tc={1A26996C-1BF9-4F68-B40C-658D3E7F7CD1}</author>
    <author>tc={1A0334D8-6DE9-450D-A929-048A286E925D}</author>
    <author>tc={DA14ADD4-EC2F-4440-A402-D92C6DE88319}</author>
    <author>tc={7E941710-76C6-4599-AB6E-59B121ED688D}</author>
    <author>tc={6B2DE0A5-2D27-4706-9AF5-06896088873B}</author>
    <author>tc={B06809F9-C9EA-45F2-AA39-02FDB19D8416}</author>
    <author>tc={C693EAC6-F505-4B35-9A2F-4EC5AF060284}</author>
    <author>tc={DB54CDBB-73CA-4BC4-8A16-AC801DC466FF}</author>
    <author>tc={ECC74BC2-6834-42F8-AF02-72410FA70D10}</author>
    <author>tc={3EA5E423-9A36-4175-863D-597909B093E9}</author>
    <author>tc={2971D440-76C6-409F-BE83-05D36BA0B109}</author>
    <author>tc={FC07CD90-2964-4BF0-B8C1-95C552C0FFED}</author>
    <author>tc={A90FBD88-6D4D-4C16-9834-BD24402771CB}</author>
    <author>tc={54B7D93A-349F-4A48-B329-D5FD9DD33D2E}</author>
    <author>tc={DE8FA061-7987-4F3B-BF29-217B20626E1D}</author>
    <author>tc={25691A08-6D60-4BF2-868B-4B0D73E4573E}</author>
    <author>tc={0A2E7E6D-5A66-4EE1-89F6-42342B7EA666}</author>
    <author>tc={27D3F0E1-EE95-4603-A7AE-BCD64867C8C9}</author>
    <author>tc={4A328965-9C96-4F3E-B5B9-00EFD44771D8}</author>
    <author>tc={B80ABBA6-D072-4121-B26A-124F9EB15230}</author>
  </authors>
  <commentList>
    <comment ref="D3" authorId="0" shapeId="0" xr:uid="{E331EEDB-8D13-4E19-BF74-D607AE31AFC7}">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Este desarrollo se encuentra en Chile y Colombia. Ecuador en desarrollo y se realizarán pruebas con Operaciones
</t>
      </text>
    </comment>
    <comment ref="D4" authorId="1" shapeId="0" xr:uid="{3095817C-0841-417E-A648-51C0439CFC5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funcionalidad en conjunto con la solucion de dragonTail
</t>
      </text>
    </comment>
    <comment ref="D10" authorId="2" shapeId="0" xr:uid="{FCF28737-16DE-44ED-AF20-112728EDDAA1}">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D12" authorId="3" shapeId="0" xr:uid="{00000000-0006-0000-0200-000002000000}">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 ref="Q23" authorId="4" shapeId="0" xr:uid="{A2EE2561-C267-44BB-BBBD-71210CB36DEC}">
      <text>
        <t>[Comentario encadenado]
Su versión de Excel le permite leer este comentario encadenado; sin embargo, las ediciones que se apliquen se quitarán si el archivo se abre en una versión más reciente de Excel. Más información: https://go.microsoft.com/fwlink/?linkid=870924
Comentario:
    pulsar</t>
      </text>
    </comment>
    <comment ref="AD26" authorId="5" shapeId="0" xr:uid="{FE2CC95F-7C64-40D8-BAC3-7F732B701CA0}">
      <text>
        <r>
          <rPr>
            <b/>
            <sz val="9"/>
            <color indexed="81"/>
            <rFont val="Tahoma"/>
            <family val="2"/>
          </rPr>
          <t>Costo de Equipos</t>
        </r>
      </text>
    </comment>
    <comment ref="D30" authorId="6" shapeId="0" xr:uid="{472BC32F-88D2-4009-8DA4-662E6D520EB8}">
      <text>
        <t>[Comentario encadenado]
Su versión de Excel le permite leer este comentario encadenado; sin embargo, las ediciones que se apliquen se quitarán si el archivo se abre en una versión más reciente de Excel. Más información: https://go.microsoft.com/fwlink/?linkid=870924
Comentario:
    Proyecto nuevo cupones manuales</t>
      </text>
    </comment>
    <comment ref="D35" authorId="7" shapeId="0" xr:uid="{636D025A-8D12-4612-95AF-90DC4203D62D}">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con Daniel si este requerimiento sigue en marcha o se cancela</t>
      </text>
    </comment>
    <comment ref="D38" authorId="8" shapeId="0" xr:uid="{979E7536-7C1A-415C-A1EC-BE10BC1DE116}">
      <text>
        <t>[Comentario encadenado]
Su versión de Excel le permite leer este comentario encadenado; sin embargo, las ediciones que se apliquen se quitarán si el archivo se abre en una versión más reciente de Excel. Más información: https://go.microsoft.com/fwlink/?linkid=870924
Comentario:
    al tratarse de un requerimiento de transformación digital no debería pasar a la mesa de canales digitales?</t>
      </text>
    </comment>
    <comment ref="D39" authorId="5" shapeId="0" xr:uid="{DEF14F2C-C02E-4BD0-8F90-D2F5E8ECB859}">
      <text>
        <r>
          <rPr>
            <b/>
            <sz val="9"/>
            <color indexed="81"/>
            <rFont val="Tahoma"/>
            <family val="2"/>
          </rPr>
          <t>Cesar Siguenza:</t>
        </r>
        <r>
          <rPr>
            <sz val="9"/>
            <color indexed="81"/>
            <rFont val="Tahoma"/>
            <family val="2"/>
          </rPr>
          <t xml:space="preserve">
Verificar si es posible ajustar q</t>
        </r>
      </text>
    </comment>
    <comment ref="F39" authorId="9" shapeId="0" xr:uid="{D02E63B1-405A-4FE3-B5E1-5DC95E552605}">
      <text>
        <t>[Comentario encadenado]
Su versión de Excel le permite leer este comentario encadenado; sin embargo, las ediciones que se apliquen se quitarán si el archivo se abre en una versión más reciente de Excel. Más información: https://go.microsoft.com/fwlink/?linkid=870924
Comentario:
    por Solicitud de Franklin Tello iniciar desde el Q1 para que se termine en Q2</t>
      </text>
    </comment>
    <comment ref="D47" authorId="10" shapeId="0" xr:uid="{558B38B0-5B9B-482A-ADF7-F4DCFD8EB9B3}">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Ana Cuevas indica que Upselling ya se tiene listo.
</t>
      </text>
    </comment>
    <comment ref="D56" authorId="11" shapeId="0" xr:uid="{B76F2B2C-1B5F-456B-A6A3-B29A1CD4339A}">
      <text>
        <t>[Comentario encadenado]
Su versión de Excel le permite leer este comentario encadenado; sin embargo, las ediciones que se apliquen se quitarán si el archivo se abre en una versión más reciente de Excel. Más información: https://go.microsoft.com/fwlink/?linkid=870924
Comentario:
    Mapeo del campo</t>
      </text>
    </comment>
    <comment ref="D59" authorId="5" shapeId="0" xr:uid="{E84EC9CA-A172-4E19-A7A4-42A297AC297C}">
      <text>
        <r>
          <rPr>
            <b/>
            <sz val="9"/>
            <color indexed="81"/>
            <rFont val="Tahoma"/>
            <family val="2"/>
          </rPr>
          <t>Cesar Siguenza:</t>
        </r>
        <r>
          <rPr>
            <sz val="9"/>
            <color indexed="81"/>
            <rFont val="Tahoma"/>
            <family val="2"/>
          </rPr>
          <t xml:space="preserve">
Evaluar Q2
</t>
        </r>
      </text>
    </comment>
    <comment ref="D60" authorId="5" shapeId="0" xr:uid="{7739EE69-192F-42F3-A37C-BEE28BC31B7C}">
      <text>
        <r>
          <rPr>
            <b/>
            <sz val="9"/>
            <color indexed="81"/>
            <rFont val="Tahoma"/>
            <family val="2"/>
          </rPr>
          <t>Cesar Siguenza:</t>
        </r>
        <r>
          <rPr>
            <sz val="9"/>
            <color indexed="81"/>
            <rFont val="Tahoma"/>
            <family val="2"/>
          </rPr>
          <t xml:space="preserve">
Evaluar Q2
</t>
        </r>
      </text>
    </comment>
    <comment ref="D61" authorId="5" shapeId="0" xr:uid="{A73A918D-E332-49CC-8CB1-EA6B6DE7DBF7}">
      <text>
        <r>
          <rPr>
            <b/>
            <sz val="9"/>
            <color indexed="81"/>
            <rFont val="Tahoma"/>
            <family val="2"/>
          </rPr>
          <t>Cesar Siguenza:</t>
        </r>
        <r>
          <rPr>
            <sz val="9"/>
            <color indexed="81"/>
            <rFont val="Tahoma"/>
            <family val="2"/>
          </rPr>
          <t xml:space="preserve">
Evaluar Q2
</t>
        </r>
      </text>
    </comment>
    <comment ref="D62" authorId="5" shapeId="0" xr:uid="{74A18BF0-AAF7-4D54-8861-1180CDAC1884}">
      <text>
        <r>
          <rPr>
            <b/>
            <sz val="9"/>
            <color indexed="81"/>
            <rFont val="Tahoma"/>
            <family val="2"/>
          </rPr>
          <t>Cesar Siguenza:</t>
        </r>
        <r>
          <rPr>
            <sz val="9"/>
            <color indexed="81"/>
            <rFont val="Tahoma"/>
            <family val="2"/>
          </rPr>
          <t xml:space="preserve">
Evaluar Q2
</t>
        </r>
      </text>
    </comment>
    <comment ref="D63" authorId="5" shapeId="0" xr:uid="{60DD4E04-047A-434A-8C50-3009931BBB71}">
      <text>
        <r>
          <rPr>
            <b/>
            <sz val="9"/>
            <color indexed="81"/>
            <rFont val="Tahoma"/>
            <family val="2"/>
          </rPr>
          <t>Cesar Siguenza:</t>
        </r>
        <r>
          <rPr>
            <sz val="9"/>
            <color indexed="81"/>
            <rFont val="Tahoma"/>
            <family val="2"/>
          </rPr>
          <t xml:space="preserve">
Evaluar Q2
</t>
        </r>
      </text>
    </comment>
    <comment ref="D69" authorId="5" shapeId="0" xr:uid="{7BD13353-9839-4FEB-9D93-92309FDFB0C0}">
      <text>
        <r>
          <rPr>
            <b/>
            <sz val="9"/>
            <color indexed="81"/>
            <rFont val="Tahoma"/>
            <family val="2"/>
          </rPr>
          <t xml:space="preserve">Cesar Siguen
Validar adelantar Q
</t>
        </r>
      </text>
    </comment>
    <comment ref="D82" authorId="12" shapeId="0" xr:uid="{04A7F11B-2D7A-4C5E-B501-F3C61D03B8E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No se ha definido aun con operaciones, pendiente reunión organizada por TD
</t>
      </text>
    </comment>
    <comment ref="D93" authorId="5" shapeId="0" xr:uid="{F0AB1FFA-EDF9-4E2D-A457-8262FC2BCC01}">
      <text>
        <r>
          <rPr>
            <b/>
            <sz val="9"/>
            <color indexed="81"/>
            <rFont val="Tahoma"/>
            <family val="2"/>
          </rPr>
          <t>Cesar Siguenza:</t>
        </r>
        <r>
          <rPr>
            <sz val="9"/>
            <color indexed="81"/>
            <rFont val="Tahoma"/>
            <family val="2"/>
          </rPr>
          <t xml:space="preserve">
Evaluar complejidad para mover a Q2</t>
        </r>
      </text>
    </comment>
    <comment ref="D94" authorId="5" shapeId="0" xr:uid="{22AA4765-83E4-4693-AB27-8F705B6A30A7}">
      <text>
        <r>
          <rPr>
            <b/>
            <sz val="9"/>
            <color indexed="81"/>
            <rFont val="Tahoma"/>
            <family val="2"/>
          </rPr>
          <t>Cesar Siguenza:</t>
        </r>
        <r>
          <rPr>
            <sz val="9"/>
            <color indexed="81"/>
            <rFont val="Tahoma"/>
            <family val="2"/>
          </rPr>
          <t xml:space="preserve">
Evaluar complejidad para mover a Q2</t>
        </r>
      </text>
    </comment>
    <comment ref="D95" authorId="5" shapeId="0" xr:uid="{195AE095-F132-4686-B7D9-DAAF0846E628}">
      <text>
        <r>
          <rPr>
            <b/>
            <sz val="9"/>
            <color indexed="81"/>
            <rFont val="Tahoma"/>
            <family val="2"/>
          </rPr>
          <t>Cesar Siguenza:</t>
        </r>
        <r>
          <rPr>
            <sz val="9"/>
            <color indexed="81"/>
            <rFont val="Tahoma"/>
            <family val="2"/>
          </rPr>
          <t xml:space="preserve">
Evaluar complejidad para mover a Q2</t>
        </r>
      </text>
    </comment>
    <comment ref="D96" authorId="5" shapeId="0" xr:uid="{1F71D6DB-2B38-499D-AEEF-8A4A39456ACD}">
      <text>
        <r>
          <rPr>
            <b/>
            <sz val="9"/>
            <color indexed="81"/>
            <rFont val="Tahoma"/>
            <family val="2"/>
          </rPr>
          <t>Cesar Siguenza:</t>
        </r>
        <r>
          <rPr>
            <sz val="9"/>
            <color indexed="81"/>
            <rFont val="Tahoma"/>
            <family val="2"/>
          </rPr>
          <t xml:space="preserve">
Evaluar complejidad para mover a Q2</t>
        </r>
      </text>
    </comment>
    <comment ref="D97" authorId="5" shapeId="0" xr:uid="{AA8A2CC2-D80A-4409-80B2-0B15439DD28F}">
      <text>
        <r>
          <rPr>
            <b/>
            <sz val="9"/>
            <color indexed="81"/>
            <rFont val="Tahoma"/>
            <family val="2"/>
          </rPr>
          <t>Cesar Siguenza:</t>
        </r>
        <r>
          <rPr>
            <sz val="9"/>
            <color indexed="81"/>
            <rFont val="Tahoma"/>
            <family val="2"/>
          </rPr>
          <t xml:space="preserve">
Evaluar complejidad para mover a Q2</t>
        </r>
      </text>
    </comment>
    <comment ref="D98" authorId="13" shapeId="0" xr:uid="{564FE749-F706-44F2-B127-0847A0DB792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mueve a Q2 para que entre Fidelización (KFC Fidelización (Lealtad Simple, puntos y tiers))</t>
      </text>
    </comment>
    <comment ref="D104" authorId="5" shapeId="0" xr:uid="{3F3302A7-F1ED-4E5E-9A4F-4D291E4C50DE}">
      <text>
        <r>
          <rPr>
            <b/>
            <sz val="9"/>
            <color indexed="81"/>
            <rFont val="Tahoma"/>
            <family val="2"/>
          </rPr>
          <t xml:space="preserve">Cesar Siguen
Validar adelantar Q
</t>
        </r>
      </text>
    </comment>
    <comment ref="D105" authorId="5" shapeId="0" xr:uid="{16F558C0-6CB4-4BDC-AFA9-2E8034BD5846}">
      <text>
        <r>
          <rPr>
            <b/>
            <sz val="9"/>
            <color indexed="81"/>
            <rFont val="Tahoma"/>
            <family val="2"/>
          </rPr>
          <t xml:space="preserve">Cesar Siguen
Validar adelantar Q
</t>
        </r>
      </text>
    </comment>
    <comment ref="D106" authorId="5" shapeId="0" xr:uid="{10C2420C-43AD-4926-90B2-AEDE48E4FB12}">
      <text>
        <r>
          <rPr>
            <b/>
            <sz val="9"/>
            <color indexed="81"/>
            <rFont val="Tahoma"/>
            <family val="2"/>
          </rPr>
          <t xml:space="preserve">Cesar Siguen
Validar adelantar Q
</t>
        </r>
      </text>
    </comment>
    <comment ref="D107" authorId="5" shapeId="0" xr:uid="{9BDA9915-B556-438D-B41E-950B37B1E98A}">
      <text>
        <r>
          <rPr>
            <b/>
            <sz val="9"/>
            <color indexed="81"/>
            <rFont val="Tahoma"/>
            <family val="2"/>
          </rPr>
          <t xml:space="preserve">Cesar Siguen
Validar adelantar Q
</t>
        </r>
      </text>
    </comment>
    <comment ref="D113" authorId="14" shapeId="0" xr:uid="{CD56DA4C-A7DF-4F52-89AE-E4A4A64BD6BF}">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con la web  que creo TRADE para Argentina. </t>
      </text>
    </comment>
    <comment ref="D128" authorId="15" shapeId="0" xr:uid="{4B2B7FE4-D39D-40AB-B717-9DC906E5F4F2}">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D129" authorId="16" shapeId="0" xr:uid="{08B3D485-66B2-4C4A-84D1-4DE8CFDB072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funcionalidad en conjunto con la solucion de dragonTail
</t>
      </text>
    </comment>
    <comment ref="AE132" authorId="17" shapeId="0" xr:uid="{5C35DE6B-272C-45D0-8A49-C6B8FF729B5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Licencias 25 uSER
Dataesphere </t>
      </text>
    </comment>
    <comment ref="D155" authorId="18" shapeId="0" xr:uid="{3187F1BC-48D8-4DB3-B901-C30F6CF28AB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Evaluar funcionalidad en conjunto con la solucion de dragonTail
</t>
      </text>
    </comment>
    <comment ref="D157" authorId="3" shapeId="0" xr:uid="{FAC19A2D-1725-417E-8A71-175BEF8D7340}">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 ref="D161" authorId="19" shapeId="0" xr:uid="{3EFE71E2-3616-4D8F-ADA0-3B0DBB181BB1}">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D163" authorId="20" shapeId="0" xr:uid="{8D9140E7-6A8B-4177-96B0-7938329C8F33}">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164" authorId="3" shapeId="0" xr:uid="{55CC384D-FA2C-464C-A317-4E8A61AB77FE}">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 ref="D167" authorId="21" shapeId="0" xr:uid="{BCE1314A-FF78-459A-AAFA-0947FB03BF9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proyecto se activaría dependiendo de la estabilización en países ya que actualmente se tiene incidentes con esta nueva solución</t>
      </text>
    </comment>
    <comment ref="D197" authorId="22" shapeId="0" xr:uid="{1A26996C-1BF9-4F68-B40C-658D3E7F7CD1}">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es un requerimiento de configuración, no implica nuevo desarrollo</t>
      </text>
    </comment>
    <comment ref="D208" authorId="23" shapeId="0" xr:uid="{1A0334D8-6DE9-450D-A929-048A286E925D}">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valida que esta funcionalidad si existe. El sistema filtra todas las coincidencias
</t>
      </text>
    </comment>
    <comment ref="D230" authorId="24" shapeId="0" xr:uid="{DA14ADD4-EC2F-4440-A402-D92C6DE88319}">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si este requerimiento se debe realizar en el legacy o puede esperar al nuevo mxp</t>
      </text>
    </comment>
    <comment ref="I230" authorId="25" shapeId="0" xr:uid="{7E941710-76C6-4599-AB6E-59B121ED688D}">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si este requerimiento se debe realizar en el legacy o puede esperar al nuevo mxp</t>
      </text>
    </comment>
    <comment ref="D248" authorId="26" shapeId="0" xr:uid="{6B2DE0A5-2D27-4706-9AF5-06896088873B}">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debería trasladarse al equipo de canales digitales</t>
      </text>
    </comment>
    <comment ref="D254" authorId="27" shapeId="0" xr:uid="{B06809F9-C9EA-45F2-AA39-02FDB19D8416}">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261" authorId="28" shapeId="0" xr:uid="{C693EAC6-F505-4B35-9A2F-4EC5AF060284}">
      <text>
        <t>[Comentario encadenado]
Su versión de Excel le permite leer este comentario encadenado; sin embargo, las ediciones que se apliquen se quitarán si el archivo se abre en una versión más reciente de Excel. Más información: https://go.microsoft.com/fwlink/?linkid=870924
Comentario:
    Integración de la pantalla en maxpoint azure paises.
API Cupones, levantamiento
Integración con trade para activar el modulo de cupones dentro del app.</t>
      </text>
    </comment>
    <comment ref="R261" authorId="29" shapeId="0" xr:uid="{DB54CDBB-73CA-4BC4-8A16-AC801DC466FF}">
      <text>
        <t>[Comentario encadenado]
Su versión de Excel le permite leer este comentario encadenado; sin embargo, las ediciones que se apliquen se quitarán si el archivo se abre en una versión más reciente de Excel. Más información: https://go.microsoft.com/fwlink/?linkid=870924
Comentario:
    Se confirma Marlon con Guillermo Trade</t>
      </text>
    </comment>
    <comment ref="D263" authorId="30" shapeId="0" xr:uid="{ECC74BC2-6834-42F8-AF02-72410FA70D10}">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D292" authorId="31" shapeId="0" xr:uid="{3EA5E423-9A36-4175-863D-597909B093E9}">
      <text>
        <t>[Comentario encadenado]
Su versión de Excel le permite leer este comentario encadenado; sin embargo, las ediciones que se apliquen se quitarán si el archivo se abre en una versión más reciente de Excel. Más información: https://go.microsoft.com/fwlink/?linkid=870924
Comentario:
    Confirmar fecha</t>
      </text>
    </comment>
    <comment ref="D294" authorId="32" shapeId="0" xr:uid="{2971D440-76C6-409F-BE83-05D36BA0B109}">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se debería trasladar a la mesa de canales digitales ya que trata de los tiempos de los pedidos de domicilio</t>
      </text>
    </comment>
    <comment ref="D300" authorId="5" shapeId="0" xr:uid="{61554403-192C-4938-9C82-8712E64EC840}">
      <text>
        <r>
          <rPr>
            <b/>
            <sz val="9"/>
            <color indexed="81"/>
            <rFont val="Tahoma"/>
            <family val="2"/>
          </rPr>
          <t>Cesar Siguenza:</t>
        </r>
        <r>
          <rPr>
            <sz val="9"/>
            <color indexed="81"/>
            <rFont val="Tahoma"/>
            <family val="2"/>
          </rPr>
          <t xml:space="preserve">
Evaluar q2</t>
        </r>
      </text>
    </comment>
    <comment ref="D301" authorId="5" shapeId="0" xr:uid="{CE90E729-5AF8-4819-B6D5-2D266B8C788C}">
      <text>
        <r>
          <rPr>
            <b/>
            <sz val="9"/>
            <color indexed="81"/>
            <rFont val="Tahoma"/>
            <family val="2"/>
          </rPr>
          <t>Cesar Siguenza:</t>
        </r>
        <r>
          <rPr>
            <sz val="9"/>
            <color indexed="81"/>
            <rFont val="Tahoma"/>
            <family val="2"/>
          </rPr>
          <t xml:space="preserve">
Evaluar q2</t>
        </r>
      </text>
    </comment>
    <comment ref="D302" authorId="5" shapeId="0" xr:uid="{C1E11AD4-A3B0-40D3-BAF3-B3DC5D719DB8}">
      <text>
        <r>
          <rPr>
            <b/>
            <sz val="9"/>
            <color indexed="81"/>
            <rFont val="Tahoma"/>
            <family val="2"/>
          </rPr>
          <t>Cesar Siguenza:</t>
        </r>
        <r>
          <rPr>
            <sz val="9"/>
            <color indexed="81"/>
            <rFont val="Tahoma"/>
            <family val="2"/>
          </rPr>
          <t xml:space="preserve">
Evaluar q2</t>
        </r>
      </text>
    </comment>
    <comment ref="D303" authorId="5" shapeId="0" xr:uid="{3E9755B1-9856-4424-8A1F-4B5F9FCC99EB}">
      <text>
        <r>
          <rPr>
            <b/>
            <sz val="9"/>
            <color indexed="81"/>
            <rFont val="Tahoma"/>
            <family val="2"/>
          </rPr>
          <t>Cesar Siguenza:</t>
        </r>
        <r>
          <rPr>
            <sz val="9"/>
            <color indexed="81"/>
            <rFont val="Tahoma"/>
            <family val="2"/>
          </rPr>
          <t xml:space="preserve">
Evaluar q2</t>
        </r>
      </text>
    </comment>
    <comment ref="D304" authorId="5" shapeId="0" xr:uid="{7F56AAEC-CB68-409B-8F69-271D32DFDC44}">
      <text>
        <r>
          <rPr>
            <b/>
            <sz val="9"/>
            <color indexed="81"/>
            <rFont val="Tahoma"/>
            <family val="2"/>
          </rPr>
          <t>Cesar Siguenza:</t>
        </r>
        <r>
          <rPr>
            <sz val="9"/>
            <color indexed="81"/>
            <rFont val="Tahoma"/>
            <family val="2"/>
          </rPr>
          <t xml:space="preserve">
Evaluar q2</t>
        </r>
      </text>
    </comment>
    <comment ref="D319" authorId="33" shapeId="0" xr:uid="{FC07CD90-2964-4BF0-B8C1-95C552C0FFED}">
      <text>
        <t>[Comentario encadenado]
Su versión de Excel le permite leer este comentario encadenado; sin embargo, las ediciones que se apliquen se quitarán si el archivo se abre en una versión más reciente de Excel. Más información: https://go.microsoft.com/fwlink/?linkid=870924
Comentario:
    Se está ejecutando con el equipo de MXP</t>
      </text>
    </comment>
    <comment ref="C350" authorId="34" shapeId="0" xr:uid="{A90FBD88-6D4D-4C16-9834-BD24402771CB}">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formalizar, ya que se indica que este requerimiento se da de baja ya que lo va a realizar TRADE. CONFIRMAR</t>
      </text>
    </comment>
    <comment ref="C367" authorId="35" shapeId="0" xr:uid="{54B7D93A-349F-4A48-B329-D5FD9DD33D2E}">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formalizar, ya que se indica que este requerimiento se da de baja ya que lo va a realizar TRADE. CONFIRMAR</t>
      </text>
    </comment>
    <comment ref="D384" authorId="36" shapeId="0" xr:uid="{DE8FA061-7987-4F3B-BF29-217B20626E1D}">
      <text>
        <t>[Comentario encadenado]
Su versión de Excel le permite leer este comentario encadenado; sin embargo, las ediciones que se apliquen se quitarán si el archivo se abre en una versión más reciente de Excel. Más información: https://go.microsoft.com/fwlink/?linkid=870924
Comentario:
    Siempre esta sujeto a homologación por la variación de drivers</t>
      </text>
    </comment>
    <comment ref="D386" authorId="37" shapeId="0" xr:uid="{00000000-0006-0000-0200-000003000000}">
      <text>
        <t>[Comentario encadenado]
Su versión de Excel le permite leer este comentario encadenado; sin embargo, las ediciones que se apliquen se quitarán si el archivo se abre en una versión más reciente de Excel. Más información: https://go.microsoft.com/fwlink/?linkid=870924
Comentario:
    Siempre esta sujeto a homologación por la variación de drivers</t>
      </text>
    </comment>
    <comment ref="U394" authorId="38" shapeId="0" xr:uid="{0A2E7E6D-5A66-4EE1-89F6-42342B7EA666}">
      <text>
        <t>[Comentario encadenado]
Su versión de Excel le permite leer este comentario encadenado; sin embargo, las ediciones que se apliquen se quitarán si el archivo se abre en una versión más reciente de Excel. Más información: https://go.microsoft.com/fwlink/?linkid=870924
Comentario:
    Separar requerimiento en fidelización y placa</t>
      </text>
    </comment>
    <comment ref="D398" authorId="39" shapeId="0" xr:uid="{27D3F0E1-EE95-4603-A7AE-BCD64867C8C9}">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encuentra en fase de pruebas QA. La factura del desarrollador a cargo se está financiando del proyecto de la matriz regional, es eso correcto ¿?
</t>
      </text>
    </comment>
    <comment ref="I406" authorId="40" shapeId="0" xr:uid="{4A328965-9C96-4F3E-B5B9-00EFD44771D8}">
      <text>
        <t>[Comentario encadenado]
Su versión de Excel le permite leer este comentario encadenado; sin embargo, las ediciones que se apliquen se quitarán si el archivo se abre en una versión más reciente de Excel. Más información: https://go.microsoft.com/fwlink/?linkid=870924
Comentario:
    Validar si este requerimiento se debe realizar en el legacy o puede esperar al nuevo mxp</t>
      </text>
    </comment>
    <comment ref="C424" authorId="41" shapeId="0" xr:uid="{B80ABBA6-D072-4121-B26A-124F9EB15230}">
      <text>
        <t>[Comentario encadenado]
Su versión de Excel le permite leer este comentario encadenado; sin embargo, las ediciones que se apliquen se quitarán si el archivo se abre en una versión más reciente de Excel. Más información: https://go.microsoft.com/fwlink/?linkid=870924
Comentario:
    Pendiente formalizar, ya que se indica que este requerimiento se da de baja ya que lo va a realizar TRADE. CONFIRMAR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tc={1972577B-69EA-4068-B50E-DF2FD9B694BE}</author>
  </authors>
  <commentList>
    <comment ref="D20" authorId="0" shapeId="0" xr:uid="{1972577B-69EA-4068-B50E-DF2FD9B694BE}">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Se valida que esta funcionalidad si existe. El sistema filtra todas las coincidencias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tc={EC45A583-D2D5-452A-B513-640C34F3C70F}</author>
  </authors>
  <commentList>
    <comment ref="D39" authorId="0" shapeId="0" xr:uid="{EC45A583-D2D5-452A-B513-640C34F3C70F}">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tc={61253DFE-073A-4088-A0C9-529470046840}</author>
  </authors>
  <commentList>
    <comment ref="B21" authorId="0" shapeId="0" xr:uid="{61253DFE-073A-4088-A0C9-529470046840}">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debería trasladarse al equipo de canales digitales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tc={974C94DB-ED64-4AE3-931C-32761E37C8F4}</author>
    <author>tc={3A9C189A-BBBC-4741-B4E7-E244B2169316}</author>
  </authors>
  <commentList>
    <comment ref="D16" authorId="0" shapeId="0" xr:uid="{974C94DB-ED64-4AE3-931C-32761E37C8F4}">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 ref="D53" authorId="1" shapeId="0" xr:uid="{3A9C189A-BBBC-4741-B4E7-E244B2169316}">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tc={7750FFCE-4F15-4EAB-B41E-EF994779FC9E}</author>
  </authors>
  <commentList>
    <comment ref="D41" authorId="0" shapeId="0" xr:uid="{7750FFCE-4F15-4EAB-B41E-EF994779FC9E}">
      <text>
        <t>[Comentario encadenado]
Su versión de Excel le permite leer este comentario encadenado; sin embargo, las ediciones que se apliquen se quitarán si el archivo se abre en una versión más reciente de Excel. Más información: https://go.microsoft.com/fwlink/?linkid=870924
Comentario:
    $2000 ERP
$1800 SIR</t>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tc={2B483964-3AE0-4275-8571-9147D62064BC}</author>
  </authors>
  <commentList>
    <comment ref="D17" authorId="0" shapeId="0" xr:uid="{2B483964-3AE0-4275-8571-9147D62064BC}">
      <text>
        <t>[Comentario encadenado]
Su versión de Excel le permite leer este comentario encadenado; sin embargo, las ediciones que se apliquen se quitarán si el archivo se abre en una versión más reciente de Excel. Más información: https://go.microsoft.com/fwlink/?linkid=870924
Comentario:
    Este requerimiento se lo debe trasladar al equipo de BI</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tc={12C920F7-9F77-43C4-ADBD-BAD12CDEF7FB}</author>
    <author>Ana Jacho</author>
  </authors>
  <commentList>
    <comment ref="C15" authorId="0" shapeId="0" xr:uid="{12C920F7-9F77-43C4-ADBD-BAD12CDEF7FB}">
      <text>
        <t xml:space="preserve">[Comentario encadenado]
Su versión de Excel le permite leer este comentario encadenado; sin embargo, las ediciones que se apliquen se quitarán si el archivo se abre en una versión más reciente de Excel. Más información: https://go.microsoft.com/fwlink/?linkid=870924
Comentario:
    Integracion desde KFC TRADE TICTUK
</t>
      </text>
    </comment>
    <comment ref="C20" authorId="1" shapeId="0" xr:uid="{50E5F4FB-D21F-4DCF-8F0E-3324A13BAD0D}">
      <text>
        <r>
          <rPr>
            <b/>
            <sz val="9"/>
            <color indexed="81"/>
            <rFont val="Tahoma"/>
            <family val="2"/>
          </rPr>
          <t>Ana Jacho:</t>
        </r>
        <r>
          <rPr>
            <sz val="9"/>
            <color indexed="81"/>
            <rFont val="Tahoma"/>
            <family val="2"/>
          </rPr>
          <t xml:space="preserve">
Daniel Vera tiene conocimiento del flujo de descuento, en Colombia
Confirmado que el payload funciona igual para agregadores + descuentos</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cesar.siguenza\Downloads\query (2).iqy" keepAlive="1" name="query (2)" type="5" refreshedVersion="8" minRefreshableVersion="3" saveData="1">
    <dbPr connection="Provider=Microsoft.Office.List.OLEDB.2.0;Data Source=&quot;&quot;;ApplicationName=Excel;Version=12.0.0.0" command="&lt;LIST&gt;&lt;VIEWGUID&gt;CCC93C26-FB6A-4639-9354-5634B7664770&lt;/VIEWGUID&gt;&lt;LISTNAME&gt;5107c364-99bd-4283-892b-cf1910fff730&lt;/LISTNAME&gt;&lt;LISTWEB&gt;https://grupokfc.sharepoint.com/sites/ProyectosDSI/_vti_bin&lt;/LISTWEB&gt;&lt;LISTSUBWEB&gt;&lt;/LISTSUBWEB&gt;&lt;ROOTFOLDER&gt;&lt;/ROOTFOLDER&gt;&lt;/LIST&gt;" commandType="5"/>
  </connection>
</connections>
</file>

<file path=xl/sharedStrings.xml><?xml version="1.0" encoding="utf-8"?>
<sst xmlns="http://schemas.openxmlformats.org/spreadsheetml/2006/main" count="14229" uniqueCount="1746">
  <si>
    <t>DESTINATARIOS (28)</t>
  </si>
  <si>
    <t>Frente</t>
  </si>
  <si>
    <t>0</t>
  </si>
  <si>
    <t>Contacto</t>
  </si>
  <si>
    <t>CAR</t>
  </si>
  <si>
    <t>AUDITORIA</t>
  </si>
  <si>
    <t>Vladimir Morillo</t>
  </si>
  <si>
    <t>CALIDAD</t>
  </si>
  <si>
    <t>Verónica Ramos</t>
  </si>
  <si>
    <t>COMPRAS</t>
  </si>
  <si>
    <t>Juan Carlos Benalcázar</t>
  </si>
  <si>
    <t>CONTABILIDAD</t>
  </si>
  <si>
    <t>Diego Díaz</t>
  </si>
  <si>
    <t xml:space="preserve">Diego Díaz </t>
  </si>
  <si>
    <t>Diego Díaz / Vladimir Morillo</t>
  </si>
  <si>
    <t>Ruben Guanolisa</t>
  </si>
  <si>
    <t>Veronica Suntaxi</t>
  </si>
  <si>
    <t>CONTABILIDAD Y SAP</t>
  </si>
  <si>
    <t>José Fernandez</t>
  </si>
  <si>
    <t>GESTIÓN</t>
  </si>
  <si>
    <t>Javier Cruz</t>
  </si>
  <si>
    <t>Javier Cruz / Veronica Ramos</t>
  </si>
  <si>
    <t>IT</t>
  </si>
  <si>
    <t>Alex Ponce</t>
  </si>
  <si>
    <t>(en blanco)</t>
  </si>
  <si>
    <t>MERCADEO KFC</t>
  </si>
  <si>
    <t>Andres Canelos / Ma. Paula Tapia</t>
  </si>
  <si>
    <t>María Paula Tapia / José Fernandez</t>
  </si>
  <si>
    <t>MERCADEO OTRAS MARCAS</t>
  </si>
  <si>
    <t>Doménica Bucheli</t>
  </si>
  <si>
    <t>Verónica Marañon</t>
  </si>
  <si>
    <t>Verónica Marañon / Renato Loayza</t>
  </si>
  <si>
    <t>MTO Restaurantes</t>
  </si>
  <si>
    <t>Carolina Pantoja</t>
  </si>
  <si>
    <t>MIguel Lincango</t>
  </si>
  <si>
    <t>NOMINA</t>
  </si>
  <si>
    <t>Sabrina Chinchin</t>
  </si>
  <si>
    <t>OTROS NEGOCIOS</t>
  </si>
  <si>
    <t>Ana Cordova</t>
  </si>
  <si>
    <t>Narciza Espin</t>
  </si>
  <si>
    <t>PLANTAS</t>
  </si>
  <si>
    <t>PROYECTOS DE CONSTRUCCIÓN</t>
  </si>
  <si>
    <t>Rodrigo Burbano</t>
  </si>
  <si>
    <t>TESORERÍA</t>
  </si>
  <si>
    <t>Amparo Aleman</t>
  </si>
  <si>
    <t>TRANSFORMACIÓN DIGITAL</t>
  </si>
  <si>
    <t>Amarilis Loor</t>
  </si>
  <si>
    <t>Daniel Barreno</t>
  </si>
  <si>
    <t>Daniel Barreno / Davis Nuñez</t>
  </si>
  <si>
    <t>Daniel Barreno / Jhustin Vergara</t>
  </si>
  <si>
    <t>Jonathan Darquea</t>
  </si>
  <si>
    <t>Luis Salazar</t>
  </si>
  <si>
    <t>Mychael Castro</t>
  </si>
  <si>
    <t>OPER</t>
  </si>
  <si>
    <t>AEROPUERTO GYE</t>
  </si>
  <si>
    <t>José Luis Tello</t>
  </si>
  <si>
    <t>AEROPUERTO UIO</t>
  </si>
  <si>
    <t>Jorge Samaniego / Estefanía Viteri</t>
  </si>
  <si>
    <t>Operaciones Aeropuerto</t>
  </si>
  <si>
    <t>CAPACITACIÓN INTERNA</t>
  </si>
  <si>
    <t xml:space="preserve"> Sandra PAillacho / Andrea Rodríguez</t>
  </si>
  <si>
    <t>OPERACIONES</t>
  </si>
  <si>
    <t>Byron Realpe</t>
  </si>
  <si>
    <t>Francisco López</t>
  </si>
  <si>
    <t>Juan Estevez</t>
  </si>
  <si>
    <t>Renato Loayza</t>
  </si>
  <si>
    <t>Sandra Pailacho</t>
  </si>
  <si>
    <t>Sandra Pailacho/Andres Valencia</t>
  </si>
  <si>
    <t>Sandra Paillacho</t>
  </si>
  <si>
    <t>Sebastián Jara</t>
  </si>
  <si>
    <t>OPERACIONES KFC</t>
  </si>
  <si>
    <t>Vladimir Salazar</t>
  </si>
  <si>
    <t>PLANTA</t>
  </si>
  <si>
    <t>BODEGA</t>
  </si>
  <si>
    <t>LOGISTICA</t>
  </si>
  <si>
    <t>Shuber Aguirre</t>
  </si>
  <si>
    <t>Shuber Ahuirre</t>
  </si>
  <si>
    <t>PRODUCCION</t>
  </si>
  <si>
    <t>Transformación Digital</t>
  </si>
  <si>
    <t>Mychael Castro - José Fernandez</t>
  </si>
  <si>
    <t>Mercadeo</t>
  </si>
  <si>
    <t>Aprobación</t>
  </si>
  <si>
    <t>(Todas)</t>
  </si>
  <si>
    <t>Año</t>
  </si>
  <si>
    <t>Producto</t>
  </si>
  <si>
    <t>Proyecto</t>
  </si>
  <si>
    <t>Requerimiento</t>
  </si>
  <si>
    <t>Dependencia</t>
  </si>
  <si>
    <t>Descripción</t>
  </si>
  <si>
    <t>Prioridad</t>
  </si>
  <si>
    <t>ALCANCE</t>
  </si>
  <si>
    <t>Proyecto Contable</t>
  </si>
  <si>
    <t>Features</t>
  </si>
  <si>
    <t>HU</t>
  </si>
  <si>
    <t>País</t>
  </si>
  <si>
    <t>Correo Electrónico</t>
  </si>
  <si>
    <t>Área</t>
  </si>
  <si>
    <t>Progreso</t>
  </si>
  <si>
    <t>Prioridad Cliente</t>
  </si>
  <si>
    <t>Prioridad
PO</t>
  </si>
  <si>
    <t xml:space="preserve">Dependencia </t>
  </si>
  <si>
    <t>Complejidad</t>
  </si>
  <si>
    <t>Factor País</t>
  </si>
  <si>
    <t>Número
Semanas</t>
  </si>
  <si>
    <t>Número de Horas</t>
  </si>
  <si>
    <t>Costo por Hora</t>
  </si>
  <si>
    <t>Número
Personas</t>
  </si>
  <si>
    <t>Costo
Mano Obra/semana</t>
  </si>
  <si>
    <t>Otros 
Costos</t>
  </si>
  <si>
    <t>TOTAL</t>
  </si>
  <si>
    <t>Costos 
Recurrente</t>
  </si>
  <si>
    <t>ROI</t>
  </si>
  <si>
    <t>Sprint</t>
  </si>
  <si>
    <t>InicioDes</t>
  </si>
  <si>
    <t>FinDes</t>
  </si>
  <si>
    <t>DiferenciaDes</t>
  </si>
  <si>
    <t>InicioPil</t>
  </si>
  <si>
    <t>FinPil</t>
  </si>
  <si>
    <t>Diferencia Pil</t>
  </si>
  <si>
    <t>InicioDes2</t>
  </si>
  <si>
    <t>FinDes2</t>
  </si>
  <si>
    <t>Inicio Real</t>
  </si>
  <si>
    <t>Fin Real</t>
  </si>
  <si>
    <t>N° Sprint</t>
  </si>
  <si>
    <t>DiferenciaDes2</t>
  </si>
  <si>
    <t>Observaciónes</t>
  </si>
  <si>
    <t>ROI2</t>
  </si>
  <si>
    <t>ROI3</t>
  </si>
  <si>
    <t>Observaciones</t>
  </si>
  <si>
    <t>Colaboradores</t>
  </si>
  <si>
    <t>2024</t>
  </si>
  <si>
    <t>CANALES DIGITALES</t>
  </si>
  <si>
    <t>Formas de Pago</t>
  </si>
  <si>
    <t>Api Core Formas de Pago</t>
  </si>
  <si>
    <t>MXP LEGACY</t>
  </si>
  <si>
    <t>Integrar el API Formas de Pago en Maxpoint de todos los países para usar las Wallets, en CL, CO y EC prioridad 1, Mercado Pago Pay , Daviplata Colombia, Nequi Colombia, Edenred Chile, Sodexo Chile, Amipass Chile, Deuna Banco Pichincha Ecuador</t>
  </si>
  <si>
    <t>ALTA</t>
  </si>
  <si>
    <t>REGIONAL</t>
  </si>
  <si>
    <t>Funcionalidades Regionales</t>
  </si>
  <si>
    <t>DSI</t>
  </si>
  <si>
    <t>Argentina</t>
  </si>
  <si>
    <t>Adrian Gadja</t>
  </si>
  <si>
    <t>adrian.gajda@degasa.com.ar</t>
  </si>
  <si>
    <t>APROBADO</t>
  </si>
  <si>
    <t>No iniciado</t>
  </si>
  <si>
    <t>Q2</t>
  </si>
  <si>
    <t>MEDIA</t>
  </si>
  <si>
    <t>Sprint 5</t>
  </si>
  <si>
    <t>x</t>
  </si>
  <si>
    <t>Motorizado Delivery</t>
  </si>
  <si>
    <t>Control Motorizados/Agregadores [2] - Depósito de Efectivo</t>
  </si>
  <si>
    <t>Compromiso Matriz Regional  (Argentina, Ecuador, Colombia, Venezuela)</t>
  </si>
  <si>
    <t>Q1</t>
  </si>
  <si>
    <t>p14</t>
  </si>
  <si>
    <t>Sprint 3</t>
  </si>
  <si>
    <t>PROYECTO REGIONAL</t>
  </si>
  <si>
    <t>Control Motorizados/Agregadores [2] - Picking Agregadores QR V1</t>
  </si>
  <si>
    <t>Integracion Picking QR Agregadores</t>
  </si>
  <si>
    <t>p13</t>
  </si>
  <si>
    <t>Sprint 4</t>
  </si>
  <si>
    <t>No se realizó en el sprint 1 debido a que no se tenía refinada la HU, se debe priorizar en el sprint 2. Se debe iniciar el requerimiento a mas tardar el 13/05/2024</t>
  </si>
  <si>
    <t xml:space="preserve">Andrés Osorio </t>
  </si>
  <si>
    <t>Cupones</t>
  </si>
  <si>
    <t>Cupones de Cortesía, Dinero y Empleados</t>
  </si>
  <si>
    <t>MXP LEGACY
TRADE</t>
  </si>
  <si>
    <t>Compromiso Matriz Regional  (Ecuador, Argentina) (api v3 cupones)</t>
  </si>
  <si>
    <t>P37</t>
  </si>
  <si>
    <t>No se realizó en el sprint 1 debido a que no se tenía refinada la HU, se debe priorizar en el sprint 2. 
Validar cual de los dos features inicia en el sprint 2.
En mayo se espera tener fidelización de Local. Se requiere tener arreglado los QR. No tener un escaner para que funcione.</t>
  </si>
  <si>
    <t xml:space="preserve">Cupones QR - V3 Centralizada (App KFC) </t>
  </si>
  <si>
    <t>Compromiso Matriz Regional  (Argentina, )</t>
  </si>
  <si>
    <t>Agregadores</t>
  </si>
  <si>
    <t>Integraciones Automáticas- Agregadores</t>
  </si>
  <si>
    <t xml:space="preserve">MXP LEGACY
MXP 2.0
</t>
  </si>
  <si>
    <t>Compromiso Matriz Regional  (Argentina)
- + Justo​+Trade</t>
  </si>
  <si>
    <t>p39</t>
  </si>
  <si>
    <t>Kioscos</t>
  </si>
  <si>
    <t>Kioskos (KFC, WENDYS)</t>
  </si>
  <si>
    <t xml:space="preserve">Implementación de kioskos en todas las tiendas KFC </t>
  </si>
  <si>
    <t>PAÍSES</t>
  </si>
  <si>
    <t>En curso</t>
  </si>
  <si>
    <t>p32</t>
  </si>
  <si>
    <t>Implementación de kioskos en todas las tiendas Wendys</t>
  </si>
  <si>
    <t>p35</t>
  </si>
  <si>
    <t>Cupones QR - Cupones por horario</t>
  </si>
  <si>
    <t xml:space="preserve">Compromiso Matriz Regional  (Argentina)
Integrar las pantallas del backoffice de Mxp
</t>
  </si>
  <si>
    <t>p33</t>
  </si>
  <si>
    <t>TD Confirmar con si este requerimiento se debe implementar?
Se sugiere iniciar en julio</t>
  </si>
  <si>
    <t>Menú V3</t>
  </si>
  <si>
    <t>Menu V3 - Envio de Descuentos desde MXP</t>
  </si>
  <si>
    <t>Compromiso Matriz Regional  (Falta Argentina - 2023)</t>
  </si>
  <si>
    <t>p15</t>
  </si>
  <si>
    <t>Sprint 2</t>
  </si>
  <si>
    <t>API Inyección v3</t>
  </si>
  <si>
    <t>Recepción de Descuentos - Offering/Agregadores Trade</t>
  </si>
  <si>
    <t>p11</t>
  </si>
  <si>
    <t>Recepciones de Pedidos V3 - Maxpoint Rastreo Pedidos Panel domicilio v2.0.4.2</t>
  </si>
  <si>
    <t>Compromiso Matriz Regional  (Argentina</t>
  </si>
  <si>
    <t>Finalizado</t>
  </si>
  <si>
    <t>p12</t>
  </si>
  <si>
    <t>Re planificar</t>
  </si>
  <si>
    <t>Recepciones de Pedidos V3 - Monitor  de transacciones (Tracking) de Pedidos</t>
  </si>
  <si>
    <t>Compromiso Matriz Regional  (Argentina - 2023</t>
  </si>
  <si>
    <t>LOPDP - Automatización del proceso de revocatoria de uso de datos personales</t>
  </si>
  <si>
    <t>MXP 2.0</t>
  </si>
  <si>
    <t>LOCAL</t>
  </si>
  <si>
    <t>LOPDP</t>
  </si>
  <si>
    <t>Ecuador</t>
  </si>
  <si>
    <t>alex.ponce@kfc.com.ec</t>
  </si>
  <si>
    <t>IDENTIFICADO</t>
  </si>
  <si>
    <t xml:space="preserve">Iniciado </t>
  </si>
  <si>
    <t>BAJA</t>
  </si>
  <si>
    <t>Sprint 1</t>
  </si>
  <si>
    <t>ERP</t>
  </si>
  <si>
    <t>Extracción de Datos SAP para BI</t>
  </si>
  <si>
    <t xml:space="preserve">Mejorar la disponibilidad de los datos, actualmente los datos presentan dificultad para extracción de datos a diario.
Control de integridad de los datos
</t>
  </si>
  <si>
    <t>Mejora en la entrega de data para BI</t>
  </si>
  <si>
    <t>amarilis.loor@kfc.com.ec</t>
  </si>
  <si>
    <t>BI</t>
  </si>
  <si>
    <t>SIR</t>
  </si>
  <si>
    <t>Proceso de Cuadre de información ventas</t>
  </si>
  <si>
    <t>Mantenimiento</t>
  </si>
  <si>
    <t>Q3</t>
  </si>
  <si>
    <t>Confirmación de pago a proveedores en SAP</t>
  </si>
  <si>
    <t>Confirmación por correo de pago efectuado a proveedores- B2B</t>
  </si>
  <si>
    <t>Mejoras B2B - Tesorería</t>
  </si>
  <si>
    <t>amparo.aleman@kfc.com.ec</t>
  </si>
  <si>
    <t>Creación Empresas: FAMILY OFFICE</t>
  </si>
  <si>
    <t>Creación de 72 empresas de Servicios en SAP</t>
  </si>
  <si>
    <t>Importación de Plantillas para Cargas de datos: Pagos, Retenciones, etc</t>
  </si>
  <si>
    <t xml:space="preserve">Tesorería, actualemte se comparten usuarios para acceder a Herramienta </t>
  </si>
  <si>
    <t>Easy Scripting</t>
  </si>
  <si>
    <t>Mejoras B2B: Visualizar Fecha de Vencimiento - Adjuntar Certificado Bancario</t>
  </si>
  <si>
    <t>-visibilizar la columna fecha de vencimiento en el B2B
-adjunto de certificado bancario obligatorio</t>
  </si>
  <si>
    <t>Mejoras B2B - Finanzas</t>
  </si>
  <si>
    <t>Optimizacion Procesos RPA</t>
  </si>
  <si>
    <t>Mejorar, Optimizar los tableros existentes de RPA</t>
  </si>
  <si>
    <t>Mantenimiento procesos RPA</t>
  </si>
  <si>
    <t>Tesorería</t>
  </si>
  <si>
    <t>Reporte: Anexo de Deuda Bancaria SAP</t>
  </si>
  <si>
    <t>Tesorería, vinculo con SAP, con corte a la fecha ( en línea)</t>
  </si>
  <si>
    <t>Desarrollo Reporte Deuda</t>
  </si>
  <si>
    <t>RPA: Obtencion Tablas de amortización prestamos Bancarios en empresas relacionadas para Consolidar</t>
  </si>
  <si>
    <t>Analizar solución con RPA</t>
  </si>
  <si>
    <t>Consolidacion prestamos intercompany</t>
  </si>
  <si>
    <t>Creación Empresa: DEVISO</t>
  </si>
  <si>
    <t>Migración a SAP en Deviso</t>
  </si>
  <si>
    <t>Creación Sociedad Financiera DEVISO</t>
  </si>
  <si>
    <t>ana.cordova@kfc.com.ec</t>
  </si>
  <si>
    <t>Cubierplast: Implementación de picking - Integracion Nueva Linea de Carton</t>
  </si>
  <si>
    <t>- Implementación de picking en las áreas de producción
- Adquisición de nueva línea de negocios (papel)</t>
  </si>
  <si>
    <t>Reingenieria de Procesos Planta Cubiertplast</t>
  </si>
  <si>
    <t>2023</t>
  </si>
  <si>
    <t>Etapa final implementación de Costos Ecuapork</t>
  </si>
  <si>
    <t>El proyecto inicio ejecución en 2023 y debería estar implementado en febrero de 2024 aproximadamente</t>
  </si>
  <si>
    <t>Desarrollo Software Integración Granjas con SAP</t>
  </si>
  <si>
    <t>Implementación costos coproductos Embutser</t>
  </si>
  <si>
    <t>Proyecto 2023, continúa implementación 2024, fecha aprox febrero</t>
  </si>
  <si>
    <t>Implementación Coproductos empresa Embutser</t>
  </si>
  <si>
    <t>Establecer órden de cupones (Soporte Cupones)</t>
  </si>
  <si>
    <t>´- Cupones antiguos deberían poder moverse en prioridad al igual que los nuevos creados a partir de la ultima versión del desarrollo.
 - Soporte, actualmente lo está revisando Diego Vinueza.
- Parametrización de caducidad en cupones con detalle de tiempo de un minuto (actualmente 10 minutos)
- Revisar si es posible cambio de icono de app desde desarrollo</t>
  </si>
  <si>
    <t>Proyectos TD 2024</t>
  </si>
  <si>
    <t>Orden de los Cupones</t>
  </si>
  <si>
    <t>Ordenamiento de Cupones (Ecuador)
Caducidad de Cupones (Ecuador)</t>
  </si>
  <si>
    <t>Funcionalidad Lista</t>
  </si>
  <si>
    <t xml:space="preserve">Consola  Administración QR Digitales (Cupones Promocionales) </t>
  </si>
  <si>
    <t>Sustitución de cupones manuales</t>
  </si>
  <si>
    <t>Funcionalidades Locales</t>
  </si>
  <si>
    <t>p56</t>
  </si>
  <si>
    <t>Consultar si los cupones Digitales de Colombia se adaptan a esta solicitud.</t>
  </si>
  <si>
    <t>Cupones impresos fuera de la App</t>
  </si>
  <si>
    <t>p70</t>
  </si>
  <si>
    <t>DEUNA BANCO DEL PICHINCHA KFC</t>
  </si>
  <si>
    <t>Depende de ejecución de proyecto de integración multimarca</t>
  </si>
  <si>
    <t>Finalizacion DEUNA Multimarca</t>
  </si>
  <si>
    <t>Costo Undido (lo realizará Soporte App)</t>
  </si>
  <si>
    <t>QR Champions Kiosco Tarjetas de Crédito (Adicional)</t>
  </si>
  <si>
    <t>Requerimiento adicional. Aprobado por marketing</t>
  </si>
  <si>
    <t>MERCADEO</t>
  </si>
  <si>
    <t>PROYECTO LOCAL</t>
  </si>
  <si>
    <t>Ultimas millas</t>
  </si>
  <si>
    <t xml:space="preserve">Integración con uber direct </t>
  </si>
  <si>
    <t>Integración de ultima milla.
Incluir efectivo</t>
  </si>
  <si>
    <t>Andrés Campos</t>
  </si>
  <si>
    <t>carlos.campo@kfc.com.ec</t>
  </si>
  <si>
    <t>Operaciones Multimarca</t>
  </si>
  <si>
    <t>Mxp Delivery - FLY Delivery</t>
  </si>
  <si>
    <t>Compromiso Matriz Regional  (Ecuador)</t>
  </si>
  <si>
    <t>p9</t>
  </si>
  <si>
    <t xml:space="preserve">se debe negociar que este requerimiento no se priorice en sptint 2 sino mas bien se aterrice de mejor manera el requerimiento y se alineo dentro de las funcionalidad de . Se debe iniciar el requerimiento a mas tardar el 13/05/2024.
Consola  Administración QR Digitales (Cupones Promocionales) </t>
  </si>
  <si>
    <t>Recurso adicional</t>
  </si>
  <si>
    <t>Uber Direct Efectivo</t>
  </si>
  <si>
    <t>Operaciones</t>
  </si>
  <si>
    <t>Carlos Campo</t>
  </si>
  <si>
    <t>Se tiene planificado el 50% de la totalidad de la funcionalidad para el sprint 1. 
Se confirma que se realizó la capacitación de las configuraciones. Se encuentra en desarrollo las funcionalidades de MXP</t>
  </si>
  <si>
    <t>Marylin 
Pedro</t>
  </si>
  <si>
    <t>Creación de pantalla de correos ordenes de mantenimiento</t>
  </si>
  <si>
    <t>Mantenimiento Restaurantes</t>
  </si>
  <si>
    <t>carolina.pantoja@kfc.com.ec</t>
  </si>
  <si>
    <t>SUSPENDIDO</t>
  </si>
  <si>
    <t>Se encuentra en base a la planificación. Hay un desfase de 3 días. Las pruebas de pickup se solicita que se inicie desde el 01/05.</t>
  </si>
  <si>
    <t xml:space="preserve">Ronny </t>
  </si>
  <si>
    <t>Fidelización</t>
  </si>
  <si>
    <t>Añadir Campos Fidelización JV</t>
  </si>
  <si>
    <t>MXP LEGACY
MXP 2.0</t>
  </si>
  <si>
    <t>Añadir campos al envio de fidelizacion. Añadir un campo adicional dentro del request de fidelización sobre MaxPoint</t>
  </si>
  <si>
    <t>daniel.barreno@kfc.com.ec</t>
  </si>
  <si>
    <t>Se debe confirmar si se encuentra desplegado a nivel nacional ya que el piloto en una tienda salio satisfactorio</t>
  </si>
  <si>
    <t>Novedades en órdenes de cupones</t>
  </si>
  <si>
    <t>Funcionalidades en Appedir</t>
  </si>
  <si>
    <t>Fidelización en local Appedir / Pickup</t>
  </si>
  <si>
    <t>MXP LEGACY
MXP 2.0
TRADE</t>
  </si>
  <si>
    <t xml:space="preserve">Con la app se debe poder escanear un QR que va a estar en cada local, con el fin de acumular puntos así como poder redimir, se actualiza en ese mismo momento cuando se haga las dos acciones. 
Trade debe enviar a MXP un llamado de que un cliente esta en el local, y cuando se factura el pedido se envia la información a Trade para que en el front se muestre los puntos obtenidos.
Inlcuye descuentos
</t>
  </si>
  <si>
    <t>1. Implementación Pide y Recoge con Appedir
2. Fidelización en local Appedir</t>
  </si>
  <si>
    <t>Validar si las 3 HU de la feature  Fidelización en local Appedir</t>
  </si>
  <si>
    <t>p62</t>
  </si>
  <si>
    <t>ECOMERCE</t>
  </si>
  <si>
    <t>Se tiene un desfase de 1 semana, esto debido a que QA detectó inconvenientes en la iimpresora fiscal en delivery. Se debe validar si se requiere pruebas adicionales. Por lo que las nuevas fechas de piloto se sugiere que sea 15/05 y despliegue nacional el 22/05. Confirmar si se puede deplegar delivery y pickup al mismo tiempo</t>
  </si>
  <si>
    <t>Appedir</t>
  </si>
  <si>
    <t>Appedir Pedidos multiples Multimarca</t>
  </si>
  <si>
    <t xml:space="preserve">Si hay en un mismo centro comercial 2, 3 o 4 marcas del grupo a traves de la Appedir se pueda hacer compras multiples. </t>
  </si>
  <si>
    <t>Q4</t>
  </si>
  <si>
    <t>p71</t>
  </si>
  <si>
    <t>Sprint 7</t>
  </si>
  <si>
    <t>Appedir y KFC cambios de Estado</t>
  </si>
  <si>
    <t>Al finalizar una orden empiezan a llegar los cambios de estado seguidos, y no en el momento adecuado cuando el pedido esta en proceso. Revisar solución con DragonTail</t>
  </si>
  <si>
    <t>p28</t>
  </si>
  <si>
    <r>
      <rPr>
        <b/>
        <sz val="11"/>
        <color rgb="FF000000"/>
        <rFont val="Arial"/>
        <family val="2"/>
      </rPr>
      <t xml:space="preserve">Cheetah  </t>
    </r>
    <r>
      <rPr>
        <b/>
        <sz val="9"/>
        <color rgb="FF000000"/>
        <rFont val="Arial"/>
        <family val="2"/>
      </rPr>
      <t>KFC Fidelización</t>
    </r>
  </si>
  <si>
    <t>cheetah  KFC Fidelización (Lealtad Simple, puntos y tiers) + (cupones avanzandos) 
Recepción de órdenes con descuentos y lealtad ***
Validar si BIG DATA se pega a CHEETAH. El POS va a tener afectación.</t>
  </si>
  <si>
    <t>Colombia</t>
  </si>
  <si>
    <t>Chile</t>
  </si>
  <si>
    <t>Venezuela</t>
  </si>
  <si>
    <t>Alejandro - CX</t>
  </si>
  <si>
    <t>p29</t>
  </si>
  <si>
    <t>APP</t>
  </si>
  <si>
    <t>Igualar Funcionalidades APP Venezuela</t>
  </si>
  <si>
    <t>Igualar funcionalidades de mxp y capacitaciones al equipo -venezuela (Cupones QR Local y Kiosko, Cupones de descuento, pick up, precios de fantasia, DriveThru, Upsell, Horarios por categoría, Cupones por Horario, orden de cupones y cupones digitales precargados)</t>
  </si>
  <si>
    <t>p25</t>
  </si>
  <si>
    <t>Inyección V3 Descuentos en Delivery</t>
  </si>
  <si>
    <t>Puesta en producción para la recepción de cupones de descuento y monto, como de productos con descuento (Ecuador, Colombia y Venezuela, Argentina y Chile)
Migración de todos los canales a inyección v3, tanto propio como agregadores (Chile Argentina)
Puesta en producción para la recepción de cupones de descuento y monto, como de productos con descuento (Chile y Argentina)
Migración a V3 del canal de Xone</t>
  </si>
  <si>
    <t>P23</t>
  </si>
  <si>
    <t>Pendiente definiciones de Tranformación digital para el inicio del desarrollo</t>
  </si>
  <si>
    <t>Ronny</t>
  </si>
  <si>
    <t>Kiosco V3 (Nueva Api Tiendas)</t>
  </si>
  <si>
    <t>Migracion del canal de kioscos a V3 para poder contar las funcionalidades de cupones, descuentos y propinas</t>
  </si>
  <si>
    <t>p20</t>
  </si>
  <si>
    <t>Se tiene comprometido en el sprint 1 la compatibilidad con Pedidos v3</t>
  </si>
  <si>
    <t>Darwin
Se necesita alguien más?</t>
  </si>
  <si>
    <t>Fidelización JV, (QA Formas de pago)</t>
  </si>
  <si>
    <t>TRADE</t>
  </si>
  <si>
    <t xml:space="preserve">Paymentez Diners y Discover.
</t>
  </si>
  <si>
    <t>p26</t>
  </si>
  <si>
    <t>Funcionalidades KioscoCrosell Modificadores</t>
  </si>
  <si>
    <t>dentro del json el TYPE de pregunta, ahora venga con un TYPE CROSELL, para que el motor de recomendaciones pueda estar incluido ahí
Tag Crosell Inyección para poder tener info en el sistema para analitica
Enviar el campo de UpSell desde el Kiosco</t>
  </si>
  <si>
    <t>p44</t>
  </si>
  <si>
    <t>Sprint 6</t>
  </si>
  <si>
    <t>Funcionalidades Kiosko y app</t>
  </si>
  <si>
    <t>Envío estructura de preguntas de 3er nivel en menú e inyección  (Kiosko  &amp; App)
Mejorar la densidad de los cupones   (App)
Enviar un flag con idioma del menú en inglés en el mismo menú del Kiosco (kiosko)
envio de presas por receta dentro de la imyección / Pruebas   (Kiosko  &amp; App)
Integración RC Kiosco RUT (kisoko)</t>
  </si>
  <si>
    <t>p61</t>
  </si>
  <si>
    <t>Ley de protección - Kioskos (optim)</t>
  </si>
  <si>
    <t>Recepción de aceptaciones de la ley de protección de datos de los kioscos Ecuador, Recepcion de aceptación por separado</t>
  </si>
  <si>
    <t>p19</t>
  </si>
  <si>
    <t>Pickup</t>
  </si>
  <si>
    <t>Inyección V3 - Descuentos Pick up</t>
  </si>
  <si>
    <t>Recepción de descuentos desde inyección V3 hacia Pickup en las tiendas</t>
  </si>
  <si>
    <t>p10</t>
  </si>
  <si>
    <t>Sprint 0</t>
  </si>
  <si>
    <t>Unificación QR Kiosco &amp; Local (Ec)</t>
  </si>
  <si>
    <t xml:space="preserve">
Unificación de Cupones QR y Online
Mejorar la densidad de todos los códigos QR</t>
  </si>
  <si>
    <t>Unificación QR Kiosco &amp; Local (Ec) (new)</t>
  </si>
  <si>
    <t>p75</t>
  </si>
  <si>
    <t>El desarrollo se encuentra finalizado, pendiente realizar certificación, piloto y despliegue.</t>
  </si>
  <si>
    <t>Jean Meza</t>
  </si>
  <si>
    <t>KFC Fulfillment  Aceptar pago de propinas para el motorizado desde la app</t>
  </si>
  <si>
    <t xml:space="preserve">Recepción de propinas en v3 y Maxpoint </t>
  </si>
  <si>
    <t>p51</t>
  </si>
  <si>
    <t>Delivery time</t>
  </si>
  <si>
    <t xml:space="preserve">KFC Fulfillment Campo Delivery time </t>
  </si>
  <si>
    <t>Implementacion del Campo delivery time en la sincro de v3 para que se pueda enviar el tiempo de entrega</t>
  </si>
  <si>
    <t>p21</t>
  </si>
  <si>
    <t>KFC Fulfillment Incluir Pickup Curbside (pedir desde el auto en un lote de estacionamiento)</t>
  </si>
  <si>
    <t>Recepción de lote de estacionamiento</t>
  </si>
  <si>
    <t>p50</t>
  </si>
  <si>
    <t>KFC Fulfillment Incluir Pickup Tableside (pedir desde la mesa con un número de mesa)</t>
  </si>
  <si>
    <t xml:space="preserve">Recepción de número de mesa </t>
  </si>
  <si>
    <t>p67</t>
  </si>
  <si>
    <t>KFC Fulfillment KFC Flash* pendiente definición con ops</t>
  </si>
  <si>
    <t>Implementar la opción de que por un cargo Extra, el pedido pueda llegar en 20 minutos  / Recibir el campo de costo de envio adicional</t>
  </si>
  <si>
    <t>p34</t>
  </si>
  <si>
    <t>KFC Fulfillment Tiempo rango de entrega</t>
  </si>
  <si>
    <t>Enviar el rango de entrega de los locales , para que la app pueda indicarle entre que hora le va a llegar el pedido**** dragon tail</t>
  </si>
  <si>
    <t>p47</t>
  </si>
  <si>
    <t>KFC Fulfillment UI Pickup (ya estoy aquí)</t>
  </si>
  <si>
    <t xml:space="preserve">Receptar el pedido cuando el cliente haya llegado al restaurante </t>
  </si>
  <si>
    <t>p66</t>
  </si>
  <si>
    <t>Se tiene un desfase de 1 semana, esto debido a que el QA detectó inconvenientes en los casos de descuento sobre descuento en pickup. Se debe validar si se encuentra corregido el inconveniente hasta el 06/05 y continuar con las pruebas. Por lo que las nuevas fechas de piloto se sugiere que sea 16/05 y despliegue nacional el 27/05</t>
  </si>
  <si>
    <t>En cuanto a pickup se encuentra pendiente por TD cuando se puede continuar. Se debe validar si se requiere pruebas adicionales. Por lo que las nuevas fechas de piloto se sugiere que sea 15/05 y despliegue nacional el 22/05</t>
  </si>
  <si>
    <t>No se realizó en el sprint 1. Si se prioriza en el sprint 2 se termina a finales de junio</t>
  </si>
  <si>
    <t>Jean</t>
  </si>
  <si>
    <t>Modificadores por Default</t>
  </si>
  <si>
    <t xml:space="preserve">Modificadores Por Default Que los modificadores vengan con una opción ya predeterminada, que mxp pueda enviar los modificadores ya establecidos (APP KFC) </t>
  </si>
  <si>
    <t>p60</t>
  </si>
  <si>
    <t xml:space="preserve">Nuevas funcionalidades Up / Cross sell Appedir </t>
  </si>
  <si>
    <t>Configurar el envío de menú Upsell y crosssell en APPEDIR</t>
  </si>
  <si>
    <t>QA  KFC Fulfillment Incluir Pickup para Autorápido, con un diferente menú</t>
  </si>
  <si>
    <t xml:space="preserve">Envío de menú y recepción en la terminal de autorápido </t>
  </si>
  <si>
    <t>p49</t>
  </si>
  <si>
    <t>QA KFC Métodos de Pago</t>
  </si>
  <si>
    <t xml:space="preserve">Implementación OneClick Checkout Chile Transbank; Pruebas y códigos de forma de pago </t>
  </si>
  <si>
    <t>Smart routing (Recepcion formas de pago)</t>
  </si>
  <si>
    <t>MAX LEGACY
TRADE</t>
  </si>
  <si>
    <t>Appedir Integración Paymentez Visa y Mastercard Appedir; Kushki Diners y Discover Appedir</t>
  </si>
  <si>
    <t>p18</t>
  </si>
  <si>
    <t>Unificación de Cupones QR y Online</t>
  </si>
  <si>
    <t>Mejorar la densidad de todos los códigos QR</t>
  </si>
  <si>
    <t>Mejorar la densidad de todos los códigos QR (cambiar)</t>
  </si>
  <si>
    <t>Upsell (Analítica)</t>
  </si>
  <si>
    <t>Redcibir el TAG upselling dentro de inyección V3, para sistema de Analítica</t>
  </si>
  <si>
    <t>p17</t>
  </si>
  <si>
    <t>Recibir el TAG upselling dentro de inyección V3, para sistema de Analítica</t>
  </si>
  <si>
    <t>Integraciones Automáticas - Canales Propios</t>
  </si>
  <si>
    <t>Compromiso Matriz Regional  (Argentina)
 -  Web DUNA 
Cambios de Estado</t>
  </si>
  <si>
    <t>Cambios de estado para la web</t>
  </si>
  <si>
    <t>1. Hacerlo como está en Ecuador
Migración de tecnologías últimas millas a una nueva tecnología</t>
  </si>
  <si>
    <t>NO APROBADO</t>
  </si>
  <si>
    <t>TableSide Juan Valdez</t>
  </si>
  <si>
    <t>Actualización del api de consumo de tarjetas
Validación orden Diners Web Ecuador</t>
  </si>
  <si>
    <t xml:space="preserve">Se detalla el tiempo de SIR y Canales Digitales. Con la consideración que DEUNA envíe el medio. Considerar los tiempos de desarrollo y pruebas de DEUNA. Campo adicional para diferenciar si es web o si es movi por parte de DEUNA.
Procesar a traves de la web para cobro con Diners aplica a todo multimarca. Recibir la forma de pago y guardarla en MXP. Se requiere que todas las ordenes suba el origen como web y no app movil.
Si no me envia el medio sigue el flujo y si me envia se direccione web o movil.
Mapear la columna nueva que deberia existir en el SIR para enviar la información.
SIR: Modificar el triger para afectar al switch transaccional que se identifique las transacciones y se inserte de manera correcta.
1 semana 1 día, 1 semana
</t>
  </si>
  <si>
    <t>Proceso de EP Facturación Electrónica (Campos FIDE)</t>
  </si>
  <si>
    <t>Sistemas Internos</t>
  </si>
  <si>
    <t>Imprimir en MXP el número de teléfono del usuario de la aplicación en pedido delivery</t>
  </si>
  <si>
    <t>Facturación Kioscos Cédula por default KFC</t>
  </si>
  <si>
    <t>Descuentos bancos por Bines kioscos</t>
  </si>
  <si>
    <t>Descuentos exclusivos por tarjeta de crédito</t>
  </si>
  <si>
    <t>Davis Nuñez</t>
  </si>
  <si>
    <t>davis.nunez@degasa.cl</t>
  </si>
  <si>
    <t>p36</t>
  </si>
  <si>
    <t>Solicitud de Colombia y Chile.
Falta definición de alcance con el proveedor.</t>
  </si>
  <si>
    <t>Control Motorizados/Agregadores [2] - Picking Agregadores QR V2</t>
  </si>
  <si>
    <t>Nuevo Requerimiento (Ya levantado a Juan Daniel, documentación adjunta)</t>
  </si>
  <si>
    <t>B2B Materiales</t>
  </si>
  <si>
    <t>Nuevo módulo - Flujo de materiales en B2B</t>
  </si>
  <si>
    <t>Diego Diaz</t>
  </si>
  <si>
    <t>diego.diaz@kfc.com.ec</t>
  </si>
  <si>
    <t>Automatización de cajas chicas - tipos de cuenta y diarios de venta</t>
  </si>
  <si>
    <t>en SIR con inclusión de listado de conceptos para:
CCH locales,
CCH administrativas</t>
  </si>
  <si>
    <t>Mejoras Contabilidad</t>
  </si>
  <si>
    <t>Implementación SAP Analytic Cloud + Datasphere</t>
  </si>
  <si>
    <t>Contar con una herramienta de reporteria facil de implemantar y puedan utilizar los usuarios de SAP, sin mayor aporte del area de tecnologia</t>
  </si>
  <si>
    <t>Reportería Regional SAP ANALYTIC CLOUD</t>
  </si>
  <si>
    <t>Órdenes de compra en SIR para proveedores de Inventario (Tesalia, ARCA)</t>
  </si>
  <si>
    <t xml:space="preserve">Proveedor - Santiago Erazo </t>
  </si>
  <si>
    <t>Creación de ordenes de compra en SIR para proveedores externos, validar integración con proveedor y solicitud de productos por sabores</t>
  </si>
  <si>
    <t>Pasar mayor contable de SAP a SIR e incluir respaldos digitales</t>
  </si>
  <si>
    <t>Respaldo Digital Mayor Contable</t>
  </si>
  <si>
    <t>Separación del diario de ventas (interfaz locales SIR a SAP)</t>
  </si>
  <si>
    <t>UAT</t>
  </si>
  <si>
    <t>Otros - Presupuesto 2023</t>
  </si>
  <si>
    <t>SISTEMAS INTERNOS</t>
  </si>
  <si>
    <t>Sistema Aprobaciones OCs: Interfaz con SAP</t>
  </si>
  <si>
    <t>Lo estaba proponiendo Davis N fase 1 (Regional) más ajustes a EC</t>
  </si>
  <si>
    <t>Aprobación orden de compra - CAR</t>
  </si>
  <si>
    <t>Ingresar las Facturas Relacionadas  Log de Errores Y Doc Preliminares -SAP</t>
  </si>
  <si>
    <t>Corregir los motivos por los que se generan log de errores , gasto fabril, particion de lotes, cambio de precios.</t>
  </si>
  <si>
    <t>Optimización Procesos Plantas</t>
  </si>
  <si>
    <t>Realizar cruce de suministros que se encuentran para el débito bancario para evitar cortes y recargos adicionales</t>
  </si>
  <si>
    <t>Hacer el registro con una matriz y revisar el debito con Robot que usa actualmente tesoreria</t>
  </si>
  <si>
    <t>RPA: Cruce Suministros</t>
  </si>
  <si>
    <t>Atar Notas de crédito de empresas Relacionadas  - Cliente Proveedor en SAP</t>
  </si>
  <si>
    <t xml:space="preserve">Compensacion Automatica de Facturas con Notas de credito Cliente, se ejecuta un bot en Clt y PROV, proceso semanal, 5 pax </t>
  </si>
  <si>
    <t>Liberacion de Facturas Bloqueadas MRBR - FBL1H-SAP</t>
  </si>
  <si>
    <t>Desbloqueo Automatico, INTERCOMPANY. Particion de lotes, al calcular gasto fabril da una diferencia de 1 o 2 ctvos. LA MIRO tiene una tolerancia de l5%, contabiliza pero da un bloque automático,LEs toca desbloquear todos los dias y tesoreira no puede ejeuctar los pagos</t>
  </si>
  <si>
    <t>Nivel de Ocupación de camiones</t>
  </si>
  <si>
    <t>Mediante este desarollo se optimizara el cubicaje del camión y</t>
  </si>
  <si>
    <t>Control Ocupación Camiones</t>
  </si>
  <si>
    <t>Pedidos Planta: Control de Cupos por empleado</t>
  </si>
  <si>
    <t>Redimencionamiento de requerimiento para control de cupos en Planta</t>
  </si>
  <si>
    <t>Talento Humano Planta</t>
  </si>
  <si>
    <t>Picking Lotes consolidados</t>
  </si>
  <si>
    <t>Contar con sistema de despacho mediante consolidacion de lotes Packing</t>
  </si>
  <si>
    <t>Planificación de la Producción (MPS)</t>
  </si>
  <si>
    <t>Implementar la Planificación de Producción para Plantas (Master Production Schedule)</t>
  </si>
  <si>
    <t>Implementacion Modelo MPS Plantas</t>
  </si>
  <si>
    <t>Reabastecimiento</t>
  </si>
  <si>
    <t>Pedidos para planta,  Reabastecimiento WMS: 
*Reaprovisionamiento de nivel bajo mediante máximos y mínimos por ubicación (considera stock del material en ubicación)
*Reaprovisionamiento de nivel bajo mediante máximos y mínimos por tipo de almacén (considera el stock del material en todo el tipo de almacén)</t>
  </si>
  <si>
    <t>Revision / Cierre de Pedidos Abiertos VA05-SAP</t>
  </si>
  <si>
    <t>Cierre Automatico de ordenes de venta no tratadas en 48 horas 
Se crean pedidos y no se tratan toca obtener un reporte y eliminar los mismos
JOB automatico</t>
  </si>
  <si>
    <t>Sistema Aprobaciones OCs: Manejo de Items/Materiales creados en SAP</t>
  </si>
  <si>
    <t>Creación de OCs a SAP de Materiales</t>
  </si>
  <si>
    <t>Aprobación orden de compra - Planta</t>
  </si>
  <si>
    <t>Vaciado de materiales en Centro de Transito - SAP</t>
  </si>
  <si>
    <t>Consumo sea totalmente Automatico, hay un job que corre en automático, todos los dias 1 pax, baja disponible e49,e41, e20, e51, zmmtansito trx.
se quedan a dirio 1500 , y en zcosumo quedan 30. migo manual realizan cada responsable, en e20 pide lote y eso demora</t>
  </si>
  <si>
    <t>Cajas Chicas Admin: Conciliacion de Facturas</t>
  </si>
  <si>
    <t>Nuevo desarrollo que permite empatar gastos de Facturas declaradas vs documentos que llegan a Carga Masiva</t>
  </si>
  <si>
    <t>Administración Caja Chica</t>
  </si>
  <si>
    <t xml:space="preserve">Creación de módulo de Administración de devoluciones </t>
  </si>
  <si>
    <t>Asentar devoluciones de manera masiva no local por local</t>
  </si>
  <si>
    <t xml:space="preserve">Digitacion de pedidos Mensajes, desarrollos por mail </t>
  </si>
  <si>
    <t>Mediante SIR sean solicitados los pedidos  que se digitan en planta.</t>
  </si>
  <si>
    <t>Nueva Versión Turnero v.3</t>
  </si>
  <si>
    <r>
      <rPr>
        <b/>
        <sz val="9"/>
        <color rgb="FF000000"/>
        <rFont val="Arial"/>
        <family val="2"/>
      </rPr>
      <t xml:space="preserve">Mejora de UX del Turnero para estandarización regional
Mejoras en turnero
</t>
    </r>
    <r>
      <rPr>
        <sz val="8"/>
        <color rgb="FF000000"/>
        <rFont val="Arial"/>
        <family val="2"/>
      </rPr>
      <t xml:space="preserve">Uso en modo vertical
Turnero en pantalla completa.
</t>
    </r>
  </si>
  <si>
    <t>Celula Operaciones Maxpoint 2024</t>
  </si>
  <si>
    <t>francisco.lopez@kfc.com.ec</t>
  </si>
  <si>
    <t>Migración Plataforma B2b a Genexus</t>
  </si>
  <si>
    <t>Migrar plataforma B2B a Genexus</t>
  </si>
  <si>
    <t>Jaime Rodriguez</t>
  </si>
  <si>
    <t>jaime.rodriguez@kfc.com.ec</t>
  </si>
  <si>
    <t>Integración Directo a Agregadores KFC</t>
  </si>
  <si>
    <t>Envío Menús Agregadores KFC</t>
  </si>
  <si>
    <t>Integración con Agregadores (Regional)</t>
  </si>
  <si>
    <t>p38</t>
  </si>
  <si>
    <t>SAP Disaster Recovery</t>
  </si>
  <si>
    <t xml:space="preserve">CONTAR CON UN PLAN DE RECUPERACION ANTE DESASTERES Y PLAN DE CONTINUIDAD DE NEGOCIO </t>
  </si>
  <si>
    <t>Implementar DRP / BCP SAP Países</t>
  </si>
  <si>
    <t>Jhustin Vergara</t>
  </si>
  <si>
    <t>jhustin.vergara@kfc.com.ve</t>
  </si>
  <si>
    <t>Integración Maxpoint con Agregadores (Yummy)</t>
  </si>
  <si>
    <t>Homologar integración a través de trade.  (Integraccion Agregador Yummy)</t>
  </si>
  <si>
    <t>p45</t>
  </si>
  <si>
    <t>Compromiso Matriz Regional  ( venezuela)</t>
  </si>
  <si>
    <t>DragonTail</t>
  </si>
  <si>
    <t>Mxp Delivery - Dragon Tail</t>
  </si>
  <si>
    <t xml:space="preserve">Mxp Delivery - Dragon Tail (Seguimiento)
Compromiso Matriz Regional  (Venezuela, Ecuador, Chile, Colombia y Argentina)
Implementación de KDS en el counter con dragontale para todos los pedido
</t>
  </si>
  <si>
    <t>p8</t>
  </si>
  <si>
    <t>Validar tiempo con Mike</t>
  </si>
  <si>
    <t>Digitalización del Proceso de Canje de Cupones para Socios Corporativos en el Aeropuerto</t>
  </si>
  <si>
    <t xml:space="preserve">- El cliente no utilizaría cupón físico, la propuesta sería explorar código QR y registro automático en el sistema.
- Carga de base de datos para eliminar registro de firmas para constancia de consumo
- proceso de cuadre para facturación de cupones automático
- 12 empresas - 400 Personal del aereopuerto + aerolíneas (Pasajeros )
- 
Aeropuerto UIO
Se tiene una valor inicial de al menos aprox 4k en pedidas en un AÑO alcance emision factura </t>
  </si>
  <si>
    <t>Validar con ambos aeropuertos, pendiente confirmacion Jose Luis Tello</t>
  </si>
  <si>
    <t>Pendiente definición de Aereopuertos Quito / Gye</t>
  </si>
  <si>
    <t>Mantenimiento Legacy Ecuador 2024</t>
  </si>
  <si>
    <t>Ver Anexo A3</t>
  </si>
  <si>
    <t>José Fernández</t>
  </si>
  <si>
    <t>jose.fernandez@kfc.com.ec</t>
  </si>
  <si>
    <t>Identificado Grupo de Soporte</t>
  </si>
  <si>
    <t>Replica de información v2.0</t>
  </si>
  <si>
    <t>Funcionalidades País</t>
  </si>
  <si>
    <t>Upgrade de versión a .net 8 del aplicativo de impresión</t>
  </si>
  <si>
    <t>validar fech</t>
  </si>
  <si>
    <t>Alertas de caducidad para productos inventario restaurante</t>
  </si>
  <si>
    <t>Revisar con los pedidos ingresados con planta y operaciones (Socializar desarrollo SIR)</t>
  </si>
  <si>
    <t>Célula de Operaciones SIR 2024</t>
  </si>
  <si>
    <t>joseluis.tello@kfc.com.ec</t>
  </si>
  <si>
    <t>Mayores Contables por Cco</t>
  </si>
  <si>
    <t>Alcance presupuesto anterior mejoras contabilidad- pedido equipo ERP</t>
  </si>
  <si>
    <t>Juan Alejandro</t>
  </si>
  <si>
    <t>juan.alejandro@kfc.com.ec</t>
  </si>
  <si>
    <t>Integración con maxpoint v2 para modulo de productos</t>
  </si>
  <si>
    <t>MXP 2.0 
CANALES DIGITALES</t>
  </si>
  <si>
    <t>juan.estevez@kfc.com.ec</t>
  </si>
  <si>
    <t>Devoluciones - Agregar observaciones planta</t>
  </si>
  <si>
    <t xml:space="preserve">Catalogo de obervaciones planta </t>
  </si>
  <si>
    <t>Mauricio Andrade</t>
  </si>
  <si>
    <t>mauricio.andrade@kfc.com.ec</t>
  </si>
  <si>
    <t>Contabilizar las ordentes de trabajo por activo q ingresan y ponerlas como reprocesos - cambio de alcance</t>
  </si>
  <si>
    <t>El reproceso se da porque el tecnico va mas de dos veces a realizar un mismo trabajo en el mismo equipo, generando gastos inecesarios o paros prolongados de el equipo.</t>
  </si>
  <si>
    <t>Miguel Lincango</t>
  </si>
  <si>
    <t>miguel.lincango@kfc.com.ec</t>
  </si>
  <si>
    <t>Incluir una alerta cuando ingresen un activo ya utilizado en una orden de trabajo - cambio de alcance</t>
  </si>
  <si>
    <t>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t>
  </si>
  <si>
    <t>Incluir 2 selecciones adicionales en Landing Page para la marca KFC</t>
  </si>
  <si>
    <t>Botones adicionales solicitados por mkt kfc</t>
  </si>
  <si>
    <t>Landing Page</t>
  </si>
  <si>
    <t>María Paula Tapia 
José Fernandez</t>
  </si>
  <si>
    <t>mpaula.tapia@kfc.com.ec</t>
  </si>
  <si>
    <t>Gestión de Contratos de Arriendos</t>
  </si>
  <si>
    <t>Alertas</t>
  </si>
  <si>
    <t>narciza.espin@kfc.com.ec</t>
  </si>
  <si>
    <t>Integración Herramientas SatCon: Otros Negocios</t>
  </si>
  <si>
    <t>Estabilización proceso de fidelizacion juan valdez</t>
  </si>
  <si>
    <t>renato.loayza@kfc.com.ec</t>
  </si>
  <si>
    <t>Modificación Reporte: Administración de facturas</t>
  </si>
  <si>
    <t>Incluir campos en reportes de administración de factura - Filtros Generales: Facturas y equipos POS - Incluir en el reporte de Facturas el estado Equipo Pos 
Incluir en los reportes los estados de Vigente Uilizado y De Baja 
Mostrar información de acuerdo a los filtros seleccionados en los reportes de facturas</t>
  </si>
  <si>
    <t>ruben.guanoluisa@kfc.com.ec</t>
  </si>
  <si>
    <t>Reingeniería Payroll</t>
  </si>
  <si>
    <t xml:space="preserve">Esquema de administración - kfc
Migración de bases a la nube
reingeniería funcional
</t>
  </si>
  <si>
    <t>Reingeniería Payroll - Cambio a AKS</t>
  </si>
  <si>
    <t>sabrina.chinchin@kfc.com.ec</t>
  </si>
  <si>
    <t>Plataforma Etraining: Operaciones</t>
  </si>
  <si>
    <t>Desarrollo interno de plataforma Elearning, actualmente se tiene un proveedor externo con un costo de 20 usd por local (presupuesto anual 86 k anual)</t>
  </si>
  <si>
    <t>Elearning Varios Clientes</t>
  </si>
  <si>
    <t>Con datos del costo actual a proveedor</t>
  </si>
  <si>
    <t>Cambio en Reportes (Pedidos, Usos&amp;Consumos, Listado de Articulos)</t>
  </si>
  <si>
    <t>Ver Anexo A4</t>
  </si>
  <si>
    <t>sandra.paillacho@kfc.com.ec</t>
  </si>
  <si>
    <t>Célula Operaciones</t>
  </si>
  <si>
    <t>Cierre automático de Pedidos segun Configuracion por Proveedor</t>
  </si>
  <si>
    <t>Código de Barras ( Español)</t>
  </si>
  <si>
    <t>Cupones de Dinero y Descuentos</t>
  </si>
  <si>
    <r>
      <rPr>
        <sz val="9"/>
        <color rgb="FF000000"/>
        <rFont val="Arial"/>
        <family val="2"/>
      </rPr>
      <t xml:space="preserve">Definir Modelo de Costos en SIR ( </t>
    </r>
    <r>
      <rPr>
        <u/>
        <sz val="9"/>
        <color rgb="FF000000"/>
        <rFont val="Arial"/>
        <family val="2"/>
      </rPr>
      <t>S</t>
    </r>
    <r>
      <rPr>
        <sz val="9"/>
        <color rgb="FF000000"/>
        <rFont val="Arial"/>
        <family val="2"/>
      </rPr>
      <t>ug. Promedio ponderado similar a SAP)</t>
    </r>
  </si>
  <si>
    <t>Digitalización de Toma Fisica de Inventario</t>
  </si>
  <si>
    <t>Digitalizar toma fisica de activos fijos</t>
  </si>
  <si>
    <t>Inclusión de PLUS en LUNCH, MERMAS y  DEGUSTACIÓN</t>
  </si>
  <si>
    <t>Ingreso de Proyeccion Ventas y Gastos (pyg) - Real y avance</t>
  </si>
  <si>
    <t>Pedidos Sugeridos con interface SAP - Extensión BI</t>
  </si>
  <si>
    <t>Planificación de Recetas y subrecetas para degustación  y Lunch (productos, articulos y presupuesto total al mes)(Calculadora) (calendario)</t>
  </si>
  <si>
    <t>Rediseño Estructura de Recetas ( Optimización Plus por Canales)</t>
  </si>
  <si>
    <t xml:space="preserve">Reporte de Stock V2 Cambio de alcance </t>
  </si>
  <si>
    <t>V2. Calculo de proyecciones sugeridas de PyG</t>
  </si>
  <si>
    <t xml:space="preserve"> La digitación es muy lenta  para digital posible problema de de red</t>
  </si>
  <si>
    <t>Ver Anexo A2
 La digitación es muy lenta  para digital posible problema de de red</t>
  </si>
  <si>
    <t>Célula Operaciones
Es un requerimiento de configuraciones
Proceso ya realizado en el 2023</t>
  </si>
  <si>
    <t>Activar en todas las marcas los descuentos que ya utiliza El Español</t>
  </si>
  <si>
    <t>Ver Anexo A2</t>
  </si>
  <si>
    <t>Se necesita mayor contexto del cliente</t>
  </si>
  <si>
    <t>Célula Operaciones
Es un requerimiento de configuraciones</t>
  </si>
  <si>
    <t>Agregar número de ficha la orden de la cocina y en el RIDE que sea el mismo número</t>
  </si>
  <si>
    <t>Habilitar completamente el proceso de desasignado del cajero en el backoffice de la tienda</t>
  </si>
  <si>
    <t>Identificar extras/modificadores asociados al producto padre en la pantalla de toma de pedido y la impresión de la orden de la cocina</t>
  </si>
  <si>
    <t>Imprimir reporte de desmontado de cajero en la impresora de la caja cuando se realice el proceso desde el backoffice</t>
  </si>
  <si>
    <t>Ver Anexo A2
Arqueo, Retiros, proceso de cuadre de caja se lo haga en la oficina y no el en fronting POS, pero Imprimir la cinta en el POS caja, agrupador UX de formas de pago, BACK y Front</t>
  </si>
  <si>
    <t>Mejora de UX de pantalla de datos en toma de pedido (landing page)</t>
  </si>
  <si>
    <t>Ver Anexo A2
Eliminar la pantallla de Datos de Delivery CONFIGURACION</t>
  </si>
  <si>
    <t>Mejora de UX para agilizar selección de menú en moódulo de toma de pedido</t>
  </si>
  <si>
    <t>Mejora de UX para el proceso de recuperación de pedidos kiosko/pickup</t>
  </si>
  <si>
    <t xml:space="preserve">Ver Anexo A2
PICKUP / Pantalla mesas-&gt; boton pickup: Mejorar la experiencia del usuario. Actualmente se debe realizar muchos clicks </t>
  </si>
  <si>
    <t>Nuevo servicio de tarjetas v2.0</t>
  </si>
  <si>
    <t>Nuevo servicio de tarjetas por api netcore</t>
  </si>
  <si>
    <t>Servicio de tarjetas en netCore</t>
  </si>
  <si>
    <t>Nuevo UX de pantalla de desmontado de cajero</t>
  </si>
  <si>
    <t xml:space="preserve">EL proyecto puedo continuar con el desarrollo si el presupuesto es aprobado antes del inicio de sprint 2 </t>
  </si>
  <si>
    <t>Optimización de la velocidad de carga del menú luego de loguear al cajero</t>
  </si>
  <si>
    <t>Ver Anexo A2
Al ingresar a max point tarda en cargar para el ingreso de claves</t>
  </si>
  <si>
    <t>Optimización en algoritmo de búsqueda de productos</t>
  </si>
  <si>
    <t xml:space="preserve">Ver Anexo A2
No hay busqueda compleja de productos por nombres </t>
  </si>
  <si>
    <t>Permitir ingreso de cedulas de extranjeros</t>
  </si>
  <si>
    <t>Ver Anexo A2
Al realizar facturas hay cedulas de extranjeros que no permite ingresar</t>
  </si>
  <si>
    <t>Incluir el valor de la propina al total de la transacción en las notas de crédito - dolce incontro</t>
  </si>
  <si>
    <t>Anulaciones/notas de crédito en transacciones que cuentan con propina - dolce incontro</t>
  </si>
  <si>
    <t>Notas de Crédito</t>
  </si>
  <si>
    <t xml:space="preserve">Santiago Erazo </t>
  </si>
  <si>
    <t>santiago.erazo@kfc.com.ec</t>
  </si>
  <si>
    <t>FACTIBILIDAD TÉCNICA SRI POR VALIDAR</t>
  </si>
  <si>
    <t>Homologar la versión del maxpoint en la cadena de dolce incontro</t>
  </si>
  <si>
    <t>Implementar versión de maxpoint domicilio para dolce;</t>
  </si>
  <si>
    <t>sebastian.jara@kfc.com.ec</t>
  </si>
  <si>
    <t>Identificar en la impresión de la comanda a los pedidos de salón y llevar</t>
  </si>
  <si>
    <t>REVISAR DARWIN</t>
  </si>
  <si>
    <t>Se debe incluir el medio del canal a los pedidos de salon, llevar ya que actualmente solo funciona para los pedidos de delivery.
Revisar que en multimarca llegue la información en el orden correcto como lo hace mdn.
Homologar en formato de impresión de la comanda en todas las marcas</t>
  </si>
  <si>
    <t>Notificación de estado cancelado de los pedidos de agregadores hacia maxpoint</t>
  </si>
  <si>
    <t xml:space="preserve">Se necesita una alerta en maxpoint en la pantalla de despachos la cual notifique de manera visual y auditiva que un pedido de agregador ha sido cancelado, esto con la finalidad de que el cajero pueda realizar la nota de crédito una vez que se haya emitido la factura. </t>
  </si>
  <si>
    <t>Notificación de pedido listo hacia los agregadores</t>
  </si>
  <si>
    <t>Incluir el botón "El pedido está listo" en maxpoint en la pantalla de despachos para notificar al agregador que el pedido se encuentra listo para ser retirado y de esta manera optimizar los tiempos de entrega del pedido con lo cual mejoramos la experiencia de nuestros clientes.</t>
  </si>
  <si>
    <t>Confirmar con Darwin o con el equipo de Colombia si se tiene esta funcionalidad en Colombia</t>
  </si>
  <si>
    <t>Rediseño del algoritmo para clasificar el medio de venta de una transacción</t>
  </si>
  <si>
    <t xml:space="preserve">- Actualmente se realiza ingreso mensual en la caja  (se registra en menú llamadas)
- Dolce Incontro: no dispones de botón de pago, se utiliza salón
 - Botones de Pago Inyección (Otros Agregadores Provincias): </t>
  </si>
  <si>
    <t>Plataforma Elearning: Planta</t>
  </si>
  <si>
    <t>herramienta que permita entrenar al personal operativo para ejecución de procesos productivos. - Relación con solicitud de capacitación otras marcas (Español)</t>
  </si>
  <si>
    <t>shuber,aguirre@kfc.com.ec</t>
  </si>
  <si>
    <t>Administración Artículos -  Validación de campos</t>
  </si>
  <si>
    <t>Vanessa Soria</t>
  </si>
  <si>
    <t>vanessa.soria@degasa.cl</t>
  </si>
  <si>
    <t>Administración cuentas de banco</t>
  </si>
  <si>
    <t>Administración de Tarjetas crédito Kioskos</t>
  </si>
  <si>
    <t>REGIONAL*</t>
  </si>
  <si>
    <t>Administración Restaurante - Regional</t>
  </si>
  <si>
    <t>validación campo swt</t>
  </si>
  <si>
    <t>Automatización de asignación de permisos PDA</t>
  </si>
  <si>
    <t>Evaluar, creación de pantalla, o login contra payroll</t>
  </si>
  <si>
    <t>Automatización de proveedores de cajas chicas Ecuador</t>
  </si>
  <si>
    <t>Automatización en el proceso de envío de notificación de pedidos planta</t>
  </si>
  <si>
    <t>Revisión y mejora de procesos de pedidos</t>
  </si>
  <si>
    <t>Colombia - Articulos sin conversión</t>
  </si>
  <si>
    <t>Igualar versión costo articulos Colombia</t>
  </si>
  <si>
    <t>Incluir auditoría en Gastos cajas chicas</t>
  </si>
  <si>
    <t>Remediación MaxPoint</t>
  </si>
  <si>
    <t>Correcciones y mejoras de estabilización del proceso de facturación counter y delivery.</t>
  </si>
  <si>
    <t>CL</t>
  </si>
  <si>
    <t>Sitio SIR Historico</t>
  </si>
  <si>
    <t>Sistema Aprobaciones OCs: Control de Cupos por Solicitantes e interfaz de CM ( Mercadeo )</t>
  </si>
  <si>
    <t>Limitación en sistema de los valores aprobados para compra en ordenes de compra (Disponible para Jefe de marca)
Simplificación de la aprobación de ordenes de compra para mercadeo otras marcas. Permite comparar el mayor de cada marca con los rubros que se están aprobando. y muestra en un solo archivo el desglose del presupuesto en función del gasto ejecutado.</t>
  </si>
  <si>
    <t>Aprobación orden de compra - Mercadeo</t>
  </si>
  <si>
    <t>veronica.maranon@kfc.com.ec</t>
  </si>
  <si>
    <t>MXP NUEVO</t>
  </si>
  <si>
    <t>Restructura de manejo de Plu´s y MasterPlu</t>
  </si>
  <si>
    <t>Validar con la operación si este requerimiento puede esperar a la nueva versión de maxpoint</t>
  </si>
  <si>
    <t>APP Gestiona: Mejoras en Reporteria y administración de Fomularios</t>
  </si>
  <si>
    <t>aprobado - revisar el presupuesto ajustado - revisar alcance levantado por Mario. Actualmente quieren revisar una herramienta que se está utilizando en gus para utilizar en otras marcas. 
Adicional incluye registro de observaciones  limpieza en planta. tiene vinculo con BI para dashboard de seguimiento</t>
  </si>
  <si>
    <t>Mejoras App Gestiona</t>
  </si>
  <si>
    <t>veronica.ramos@kfc.com.ec</t>
  </si>
  <si>
    <t>N/A</t>
  </si>
  <si>
    <t>VERO RAMOS</t>
  </si>
  <si>
    <t>Pedidos Planta: Reclamos Proveedores</t>
  </si>
  <si>
    <t>Generar aplicación para dar seguimiento reclamos a proveedores, conexión con SAP para obtener código de material y código de proveedor</t>
  </si>
  <si>
    <t>Calidad Planta</t>
  </si>
  <si>
    <t>Incluir los tipos de diarios para los reportes de Ventas no exportadas</t>
  </si>
  <si>
    <t>veronica.suntaxi@kfc.com.ec</t>
  </si>
  <si>
    <t>Reporte de Compras consolidado</t>
  </si>
  <si>
    <t>Reporte consolidado de compras, filtro por proveedor</t>
  </si>
  <si>
    <t xml:space="preserve">Agrupar tarjetas a una sola forma de pago </t>
  </si>
  <si>
    <r>
      <rPr>
        <sz val="9"/>
        <color rgb="FF000000"/>
        <rFont val="Arial"/>
        <family val="2"/>
      </rPr>
      <t xml:space="preserve">Agrupar en una sola forma de pago por tarjeta
</t>
    </r>
    <r>
      <rPr>
        <sz val="8"/>
        <color rgb="FF000000"/>
        <rFont val="Arial"/>
        <family val="2"/>
      </rPr>
      <t>- Interfaz de venta
- Interfaz de sir y guardar información</t>
    </r>
  </si>
  <si>
    <t>Mejoras Auditoría</t>
  </si>
  <si>
    <t>vladimir.morillo@kfc.com.ec</t>
  </si>
  <si>
    <t>Ejecución del proyecto de conciliador de tarjetas que está a cargo de Canales Digitales</t>
  </si>
  <si>
    <t>Automatizar el registro de las ventas de campaña solidaria</t>
  </si>
  <si>
    <t xml:space="preserve">Automatizar las campañas solidarias en MAX POINT Y SIR que realiza EL GRUPO KFC </t>
  </si>
  <si>
    <t>Mejoras Maxpoint Auditoría 2024</t>
  </si>
  <si>
    <t>Se debe también hacer un cambio en SIR</t>
  </si>
  <si>
    <t>Campaña sonrisa - nueva forma de pago</t>
  </si>
  <si>
    <t>Control de cambio de Claves  de Usuarios Maxpoint</t>
  </si>
  <si>
    <t>MAX POINT, debería solicitar automáticamente en un periodo CAMBIO DE CLAVES DE USUARIOS</t>
  </si>
  <si>
    <t>Validar con Mike porque se esta ejecutando esta HU para Venezuela</t>
  </si>
  <si>
    <t>Control de modificación de inventarios en SIR</t>
  </si>
  <si>
    <t xml:space="preserve">Una vez cerrados el inventario Diario, no permita ingresar ningún movimiento de días anteriores . </t>
  </si>
  <si>
    <t>Cuadre de Fondo de Caja SIR</t>
  </si>
  <si>
    <t>Cuadre del fondo de Caja chica, incorporado en el SIR.</t>
  </si>
  <si>
    <t>Sacrificable</t>
  </si>
  <si>
    <t>Incluir 2 opciones en el proceso de pago con credito relacionado</t>
  </si>
  <si>
    <t>Las venta de CREDITO RELACIONADO en MP.  Deben crear una opción de ingreso desplegando la selección de: centros de costos, quien autoriza y generar mail de Autorización. 
- Se debe crear 2 opciones en el proceso para ingreasar la persona que autoriza y el centro de costo</t>
  </si>
  <si>
    <t>De sistema payroll para que exponga emdiante api la información del personal</t>
  </si>
  <si>
    <t>Incluir columna de Número de Mesa en reporte Maxpoint</t>
  </si>
  <si>
    <t>Al reporte de transacciones MAX POINT,  Incluir una columna el numero de mesa</t>
  </si>
  <si>
    <t>Incluir en el reporte de transacciones la visualización detallada de items facturados en maxpoint</t>
  </si>
  <si>
    <t>Al reporte de transacciones MAX POINT,  nos permita visulaizar la factura con sus detalles</t>
  </si>
  <si>
    <t>Modificación Reporte: Crédito sin Cupon SIR</t>
  </si>
  <si>
    <t>En el SIR - MODULO CREDITO SIN CUPON, incluir una opción de selección varios clientes</t>
  </si>
  <si>
    <t>Módulo de Auditoría en SIR</t>
  </si>
  <si>
    <t xml:space="preserve">Desarrollar un modulo de auditoria en el SIR donde se incorpore. Evaluación Auditoria </t>
  </si>
  <si>
    <t>Nuevo reporte de retiros, arqueos y desmontajes de usuarios</t>
  </si>
  <si>
    <t xml:space="preserve">Generar un reporte en MAX POINT, donde se pueda visulizar los retiros, arqueos y desmotanjes por usuarios. </t>
  </si>
  <si>
    <t>Nuevo Reporte de Ventas Baskin y Cinnabon</t>
  </si>
  <si>
    <t>Al reporte de transacciones MAX POINT,  Incluir UN REPORTE DE LA VENTA DE BASKIN Y CINNABON con todas las transacciones</t>
  </si>
  <si>
    <t>Restricción de digitación de formas de pago de agregadores</t>
  </si>
  <si>
    <t xml:space="preserve">Bloquear la forma de pago de AGREGADORES EN SIR Y MAX POINT (Uber / Rappi / Pedidos Ya /  Appedir). - 
Crear un acceso directo para inyectar ventas cuando se caiga el sistema.  (Solo CDC debería poder hacer inyecciones)
- Desactivar de manera masiva las formas de pago agregadores y activarlas únicamente en caso de emergencias. Mismo flujo se debe realizar en el portal que utiliza el CDC para realizar las reinyecciones. </t>
  </si>
  <si>
    <t>Socializar con auditoría que este proceso ya se encuentra implementado</t>
  </si>
  <si>
    <t>pruebas</t>
  </si>
  <si>
    <t>Usos y Consumos: Sobrantes y Faltantes</t>
  </si>
  <si>
    <t>Segmentación de Sobrantes y Faltantes en el Reporte SIR: USOS Y CONSUMOS MERMAS.</t>
  </si>
  <si>
    <t>falta poner en produccion</t>
  </si>
  <si>
    <t>Visualización resaltada en notas de crédito por concepto de cambio de datos</t>
  </si>
  <si>
    <t>Resaltar NC en Maxpoint que sean por CAMBIO DE DATOS</t>
  </si>
  <si>
    <t>Descuadres de Cupones CCC. Entre MP Y SIR</t>
  </si>
  <si>
    <t xml:space="preserve">Identificar el motivo por el cual existe diferencias al ingreso de cupones en  Max Point. </t>
  </si>
  <si>
    <t>Ingresar REQ a MNT Maxpoint 24</t>
  </si>
  <si>
    <t>Cambio de datos de clientes de transacciones de días anteriores</t>
  </si>
  <si>
    <t>Genera molestia en clientes por reportar a oficina el cambio y proceso operativo de varias personas en oficinas</t>
  </si>
  <si>
    <t xml:space="preserve">Vladimir Morillo
Diego Díaz </t>
  </si>
  <si>
    <t>Definición del proceso por parte de Contabilidad y Auditoría</t>
  </si>
  <si>
    <t>Vinculo con pedido que se contrapone de auditoría</t>
  </si>
  <si>
    <t>Kioskos - Pagos en Efectivo con cambio automatico</t>
  </si>
  <si>
    <t>Complemento de kioskos para poder cobrar en efectivo desde el kiosko</t>
  </si>
  <si>
    <t>vladimir.salazar@kfc.com.ec</t>
  </si>
  <si>
    <t>p76</t>
  </si>
  <si>
    <t>Mxp Delivery - Dragon Tail (Integración)
Compromiso Matriz Regional  (Venezuela, Ecuador, Chile, Colombia y Argentina)
Implementación de KDS en el counter con dragontale para todos los pedido</t>
  </si>
  <si>
    <t>Notificación Cliente de llegada a destino</t>
  </si>
  <si>
    <t>Aplica para KFC Ecuador, cuando el motorizado llegue a la casa del cliente</t>
  </si>
  <si>
    <t>p59</t>
  </si>
  <si>
    <t>Tracking</t>
  </si>
  <si>
    <t xml:space="preserve">Pantalla para rastreo de pedidos (Tracking) motorizados en CDC </t>
  </si>
  <si>
    <t>Aplica para KFC Ecuador</t>
  </si>
  <si>
    <t>p58</t>
  </si>
  <si>
    <t>SMS tracking pedido vía llamada</t>
  </si>
  <si>
    <t>p57</t>
  </si>
  <si>
    <t>flujo para controlar los pagos en efectivo entregados por el motorizado a personal del restaurante</t>
  </si>
  <si>
    <t>William Villegas</t>
  </si>
  <si>
    <t>william.villegas@kfc.co</t>
  </si>
  <si>
    <t>Compromiso Matriz Regional  (Colombia)
 - + TicTuk + Trade​</t>
  </si>
  <si>
    <t>Multinube</t>
  </si>
  <si>
    <t>Multinube para pedidos de domicilio</t>
  </si>
  <si>
    <t>Implmentación de redundancia en servicio de nube de Google</t>
  </si>
  <si>
    <t>p31</t>
  </si>
  <si>
    <t>Mxp Delivery - Dragon Tail (Envío de TrackingID)
Envío del  trackingID hacia TRADE para que se muestre el mapa de seguimiento de dragonTail desde la App</t>
  </si>
  <si>
    <t xml:space="preserve">consultar requerimiento </t>
  </si>
  <si>
    <t>Digitalización de cupones de cortesía, dinero y empleados desde SIR</t>
  </si>
  <si>
    <t>AR</t>
  </si>
  <si>
    <t>CO</t>
  </si>
  <si>
    <t>Arqueo de tiendas</t>
  </si>
  <si>
    <t xml:space="preserve">reporte detallado que muestre los retiros y arqueos realizados por los locales, Billete, cantidad y valor </t>
  </si>
  <si>
    <t>Descuentos bancos por Bines counter</t>
  </si>
  <si>
    <t>Descuentos de banco Falabella</t>
  </si>
  <si>
    <t>Envío de Pedidos Pick Up V3</t>
  </si>
  <si>
    <t>pruebas con tarjetas de crédito</t>
  </si>
  <si>
    <t>Flujo de Caja Chica Locales</t>
  </si>
  <si>
    <t>Implementación de flujo de caja chica en curso, con vinculo a maxpoint y sir</t>
  </si>
  <si>
    <t>PROYECTO MXP</t>
  </si>
  <si>
    <t>Integración de Credibanco</t>
  </si>
  <si>
    <t>Nueva red de datafonos</t>
  </si>
  <si>
    <t>pendiente resoplver bug, por desplegar version</t>
  </si>
  <si>
    <t>Mantenimiento Colombia</t>
  </si>
  <si>
    <t xml:space="preserve">MCO-1. Activación Modulo Aceite quemado </t>
  </si>
  <si>
    <t>Activación Modulo Aceite quemado</t>
  </si>
  <si>
    <t>finalizado</t>
  </si>
  <si>
    <t>MCO-2. Horarios Mayores Contables</t>
  </si>
  <si>
    <t xml:space="preserve">REGIONAL </t>
  </si>
  <si>
    <t>MCO-4. Modificación Reporte Relación de Cajas</t>
  </si>
  <si>
    <t>MCO-5. Reporte de compras consolidado Artículo SAP regional</t>
  </si>
  <si>
    <t>MCO-3. Compras Bloqueo de Proveedor INT</t>
  </si>
  <si>
    <t>Bloqueo del proveedor Inversiones INT para el ingreso de compras</t>
  </si>
  <si>
    <t>Desarrollo de nueva versión de turnero para solucionar problemas en el counter (ligado con la implementación de KDS)</t>
  </si>
  <si>
    <t>Nuevos Reportes Maxpoint</t>
  </si>
  <si>
    <t>Reportes a pedido de auditoría</t>
  </si>
  <si>
    <t xml:space="preserve">Herramienta para CDC que permite ver todos los pedidos de domicilio, incluye tranking y ubicación del motorizado. no supero el piloto por carga </t>
  </si>
  <si>
    <t>adrian.gadja@kfc.ar</t>
  </si>
  <si>
    <t>Sprint 8</t>
  </si>
  <si>
    <t>Mantenimiento Maxpoint</t>
  </si>
  <si>
    <t>Mejoras y corrección bugs</t>
  </si>
  <si>
    <t>Cupones QR - Empresariales</t>
  </si>
  <si>
    <t>Compromiso Matriz Regional  (Argentina) (api v3 cupones)</t>
  </si>
  <si>
    <t>Remedación Dynatrace</t>
  </si>
  <si>
    <t>Implementación de Dynatrace, analisis  de resultados y ejecución del plan de acción.</t>
  </si>
  <si>
    <t>Desarrollo para cambio de pindpad por posnet</t>
  </si>
  <si>
    <t>Vinculo con implementación de kioskos</t>
  </si>
  <si>
    <t>Facturas Tipo A (con datos)</t>
  </si>
  <si>
    <t>Cambio de facturas Tipo A con datos</t>
  </si>
  <si>
    <t>Mantenimiento Argentina</t>
  </si>
  <si>
    <t>Migración de Wendys al MaxPoint Legacy</t>
  </si>
  <si>
    <t>Compra de nuevos POS</t>
  </si>
  <si>
    <t>Migración del Sistema SIR a última versión</t>
  </si>
  <si>
    <t>Vinculo con los compromisos de la matriz regional</t>
  </si>
  <si>
    <t>El proyecto se inciio el año pasado, por decisión del cliente se retoman pruebas este año</t>
  </si>
  <si>
    <t>Mxp Delivery - Turneros v3.0 
Compromiso Matriz Regional  (Chile Argentina)</t>
  </si>
  <si>
    <t>programadores en Angular</t>
  </si>
  <si>
    <t>Mxp Delivery- Core Integraciones Ultimas Millas - Shipday</t>
  </si>
  <si>
    <t>Mxp Delivery- Core Integraciones Ultimas Millas
Compromiso Matriz Regional  (Argentina</t>
  </si>
  <si>
    <t>Venta IRSA</t>
  </si>
  <si>
    <t>Interfaces ERP - Maxpoint - SIR</t>
  </si>
  <si>
    <t>CONSULTAR ADRIAN</t>
  </si>
  <si>
    <t>Consume información de SIR y actualiza en SAP (Validar con Operaciones). Justificación en base a ahorros en stocks de seguridad</t>
  </si>
  <si>
    <t>Adrian Gadja / Juan Carlos Benalcazar</t>
  </si>
  <si>
    <t>THEOBALD Estabilización de procesamiento y calidad de datos SAP</t>
  </si>
  <si>
    <t>Extracción de información desde SAP con THEOBALD</t>
  </si>
  <si>
    <t>Optimizar envío de data a Blob Storage</t>
  </si>
  <si>
    <t>Tiempos de Cambios de estado en todos los canales Maxpoint</t>
  </si>
  <si>
    <t>Tiempos de Cambios de estado en todos los canales Maxpoint - TRansformación Digital</t>
  </si>
  <si>
    <t>Flujos de Caja</t>
  </si>
  <si>
    <t>Reporte de Flujo de Caja que se estaba trabajando con TD, verificar estatus y si podemos  aportar para avanzar</t>
  </si>
  <si>
    <t>Debe mantenerse reunion con el área de BA y Negocio</t>
  </si>
  <si>
    <t>FIONA: Registro y procesamiento de control de calidad en planta</t>
  </si>
  <si>
    <t>Permite llevar control del cumplimiento de especificaciones de producción a partir de los datos de los muestreo de calidad.</t>
  </si>
  <si>
    <t>Proceso para Firmas Digitales de Contratos</t>
  </si>
  <si>
    <t>Flujo de firma digital para contratos. (Revisar alcance a nivel corporativo) pendiente levantar a fondo, ya existe una herramienta de firma, requiere una licencia Anual y se ha dejado de pagar, se tiene que gestionar retomar este tema, (MERCADEO OTRAS MARCAS)</t>
  </si>
  <si>
    <t>Firma Digitales Contratos</t>
  </si>
  <si>
    <t>Pendiente Conversar con proveedor</t>
  </si>
  <si>
    <t>RollOut Venezuela</t>
  </si>
  <si>
    <t>Implementar SAP en Venezuela</t>
  </si>
  <si>
    <t>Antonio Sampayo</t>
  </si>
  <si>
    <t>antonio.sampayo@kfc.om.ve</t>
  </si>
  <si>
    <t>VE</t>
  </si>
  <si>
    <t>Mayores contables - mensaje de ejecución</t>
  </si>
  <si>
    <t>byron.realpe@kfc.com.ec</t>
  </si>
  <si>
    <t>Proyecto 2023</t>
  </si>
  <si>
    <t>Datos dinamicos de facturación en Kioscos</t>
  </si>
  <si>
    <t>Enviar en un EndPoint los datos que debe solicitar el kiosko segun el pais</t>
  </si>
  <si>
    <t>p73</t>
  </si>
  <si>
    <t xml:space="preserve">KFC Fulfillment  Appedir flash - de acuerdo a zona de pedido del cliente se active las tiendas mas cercanas y que el envío sea en menos de xxxx minutos </t>
  </si>
  <si>
    <t>La App debe detectar el lugar en donde se encuentra el cliente y ofrecer el pedido en menos de 20 minutos.</t>
  </si>
  <si>
    <t>p53</t>
  </si>
  <si>
    <t xml:space="preserve">KFC Fulfillment  Propinas  Appedir </t>
  </si>
  <si>
    <t>La app acepte propinas para motorizados, evaluar si es posible realizar esto con Pediods Ya</t>
  </si>
  <si>
    <t>p54</t>
  </si>
  <si>
    <t>Metodo de pago  - Kiosko Integración DEUNA B.P</t>
  </si>
  <si>
    <t>Integrar el API Formas de Pago Deuna</t>
  </si>
  <si>
    <t>Metodo de pago APP</t>
  </si>
  <si>
    <t>Habilitar a Maxpoint para que ingrese el pago desde la aplicación con un QR (counter y Kiosco) Chile</t>
  </si>
  <si>
    <t>p72</t>
  </si>
  <si>
    <t>Pedidos programados</t>
  </si>
  <si>
    <t xml:space="preserve">Receptar pedidos </t>
  </si>
  <si>
    <t>p48</t>
  </si>
  <si>
    <t xml:space="preserve">QA KFC Fulfillment  Compensaciones  Appedir </t>
  </si>
  <si>
    <t>En la App al colocar una queja textual el cdc deberá contactarse y  analizar la misma para realizar una compensación en base al pedido realizado.
Si un cliente ha hecho muchas solicitudes de comida y ha tenido malas experiencias se debe tener todo su historial, con el fin de otorgarle una compensación
Si el cliente llama a CDC  por mala entrega de comida el cdc debe crear cupones a través del Xone como compensación.</t>
  </si>
  <si>
    <t>p55</t>
  </si>
  <si>
    <t>Integración API CORE Formas PAGO en Kioskos</t>
  </si>
  <si>
    <t>Davis</t>
  </si>
  <si>
    <t>davis.nunez@kfc.com.ec</t>
  </si>
  <si>
    <t>Gestión de ambientes de pruebas</t>
  </si>
  <si>
    <t>Maxpoint Delivery CW</t>
  </si>
  <si>
    <t>Terminar implementación y corrección de bug</t>
  </si>
  <si>
    <t>Dependencia estabilización en KFC</t>
  </si>
  <si>
    <t>Monitor de Pedidos Motorizados DY Propios</t>
  </si>
  <si>
    <t>Nuevo Requerimiento</t>
  </si>
  <si>
    <t>p77</t>
  </si>
  <si>
    <t>Contexto.</t>
  </si>
  <si>
    <t>Mxp Delivery - Dragon Tail (Integración)
Compromiso Matriz Regional  (Venezuela, Ecuador, Chile, Colombia y Argentina)   
Implementación de KDS en el counter con dragontale para todos los pedido, envío de tracking ID.</t>
  </si>
  <si>
    <t>Nuevo Requerimiento de mejoras de rendimiento y seguridades.</t>
  </si>
  <si>
    <t>Depende del análisis ed Dytrace, para establecer el plan. Validar si es a nivel de server o caja.</t>
  </si>
  <si>
    <t>Cajas Chicas Administrativas: Control Fondos por Rendir Chile</t>
  </si>
  <si>
    <t>Cambio de Logica de Cajas Chicas, Fondos por Rendir para justificar valores en lugar de pedir reposición de Cajas Chicas</t>
  </si>
  <si>
    <t>01/0/2024</t>
  </si>
  <si>
    <t>Convenio con los bancos para dar descuentos al total de la factura. (Comunicación con el pinpad)</t>
  </si>
  <si>
    <t>Dependencia documentación Hassar.</t>
  </si>
  <si>
    <t>DGEN: Cargas masivas de documentos tributarios a SAP (boletas de honorarios, facturas de arriendo y servicios básicos)</t>
  </si>
  <si>
    <t>Contabilización de Documentos que no pasan por ACEPTA</t>
  </si>
  <si>
    <t>01/12/12024</t>
  </si>
  <si>
    <t>Interfaz de activos fijos SAP-SIR</t>
  </si>
  <si>
    <t>Contar con Integración de Activos Fijos SAP - SIR</t>
  </si>
  <si>
    <t>Interfaz de centralización de remuneraciones SAP-REX+ (nómina)</t>
  </si>
  <si>
    <t>Contar con una integración entre el sistema de Nómina REX+ y SAP</t>
  </si>
  <si>
    <t>Interfaz SAP-SIR: Mayores Contables y Usos y Consumos</t>
  </si>
  <si>
    <t>Nuevo Requerimiento - Activación y adecuación</t>
  </si>
  <si>
    <t>Mantenimiento Chile</t>
  </si>
  <si>
    <t>Maxpoint Delivery WD</t>
  </si>
  <si>
    <t>MCL-1. Administración de Gavetas</t>
  </si>
  <si>
    <t>Mxp - Impresión v2.1 NETCORE</t>
  </si>
  <si>
    <t>de Boletas (Reducción) - Compromiso Matriz Regional  (Ecuador, Colombia, Chile y Argentina)</t>
  </si>
  <si>
    <t>Dependencia de una impresora con el modelo, confirmar el inventario</t>
  </si>
  <si>
    <t>Plataforma Elearning: Paises Chile</t>
  </si>
  <si>
    <t>Nuevo Requerimiento - Levantar</t>
  </si>
  <si>
    <t>Proyecto Elearning</t>
  </si>
  <si>
    <t>Propinas desde el pinpad</t>
  </si>
  <si>
    <t>Ambientes de desarrollo, y pinpad de test.</t>
  </si>
  <si>
    <t xml:space="preserve">Sistema Aprobaciones OCs: Fase 1 </t>
  </si>
  <si>
    <t>Sistema de Conciliaciones: Depósitos (SIR-Bancos Chile)</t>
  </si>
  <si>
    <t>Conciliacion de depositos de Tiendas vs lo Reflejado en Bancos</t>
  </si>
  <si>
    <t>Sistema de Conciliaciones: Facturas Electronica vs Venta</t>
  </si>
  <si>
    <t>Consumo al Servicio de ACEPTA para Sacar las Facturas y hacer la comparación contra la data de Venta de MXP o BI Se necesita apoyo de ERP para incluir Bots y jalar la data de ACEPTA</t>
  </si>
  <si>
    <t>Sistema de Conciliaciones</t>
  </si>
  <si>
    <t>Sistema de Conciliaciones: Switch Transaccional vs Venta</t>
  </si>
  <si>
    <t>Transbank es el banco de Tarjetas: Hassar Intermediario de Switch Transaccional de Chile contra SIR y BI</t>
  </si>
  <si>
    <t>Topes en Descuentos</t>
  </si>
  <si>
    <t>Validación para el descuentos por colaborador, se valida con el serviciowebsir. (validar el total por mes)</t>
  </si>
  <si>
    <t>Dependencia campo en SIR de validación, enpoints consulta y actualización.
Confirmar anulación?</t>
  </si>
  <si>
    <t>Ventas de Producto por formas de pago</t>
  </si>
  <si>
    <t xml:space="preserve">Nuevo Requerimiento (Ya levantado a Juan Daniel, documentación adjunta)
</t>
  </si>
  <si>
    <t>Ambiente de pruebas de EDENRED.</t>
  </si>
  <si>
    <t>Compromiso Matriz Regional  (Chile Argentina)</t>
  </si>
  <si>
    <t>Davis Nuñez / Adrian Gadja</t>
  </si>
  <si>
    <t>Conciliaciones Tarjetas</t>
  </si>
  <si>
    <t>Conciliador de Tarjetas de Crédito  Delivery  que incluya información depurada de ventas del swt </t>
  </si>
  <si>
    <t>Max Point enviar transacciones POS a conciliador</t>
  </si>
  <si>
    <t>Cotejamiento de Listado de Suministros de Servicios Básicos vs Debitos Bancarios</t>
  </si>
  <si>
    <t>Recepción de Pollos por Lotes</t>
  </si>
  <si>
    <t>Seguimiento Gestion de Cartera / Gestion de Cobro -SAP</t>
  </si>
  <si>
    <t>Clasificación Automatizada de Facturas de Autoconsumo vs Descarga de Inventarios</t>
  </si>
  <si>
    <t>Automatización para la clasificación y transferencia de Inventarios para pedidos de Servicios Internos
Se está asumiendo IVA de Autoconsumo si no se hace este movimiento le cuesta al año $3000</t>
  </si>
  <si>
    <t>Traspaso de Sistemas Internos a SAP para analizar</t>
  </si>
  <si>
    <t>Registro de descuentos a transportistas ( Cuentas por Cobrar- Rastreo Satelital-Fumigacion)-SAP</t>
  </si>
  <si>
    <t>Capacitacion Prorrateos - Automatizacion de descuentos, LA FAC QUEDA EN UNA CUENTA TRANSITORIA Y SE GENERAN LAS FACTURAS A CADA UNO DE LOS PROVEEDORES. lUEGO DESDE FIONA SE INTEGRE CON SAP Y GENERE ASIENTEO CONTABLE
uN DIA L MES 2 PAX NACIONAL</t>
  </si>
  <si>
    <t>FIONA: Coordinación de Movilización Colaboradores</t>
  </si>
  <si>
    <t>Creación de Solicitudes al departamento de logística para que puedan consolidar según transportes y derivar los costos a cada CC según el empleado y solicitante al que corresponda, Manejo de Transportistas, Catalogo de Zonas y de Coordinaciones o superiores, Interfaz con SAP</t>
  </si>
  <si>
    <t>FIONA: Mejoras Operativas</t>
  </si>
  <si>
    <t>Pendiente Levantamiento con Diego Diaz</t>
  </si>
  <si>
    <t>FIONA: Ventas Clientes Externos Cerrados Subproductos Planta</t>
  </si>
  <si>
    <t xml:space="preserve">Mediante Fiona la creacion de pedidos de clientes externos y comedor con un perfil para el supervisor del área, suprimir papel de solicitud </t>
  </si>
  <si>
    <t>DEUNA BANCO DEL PICHINCHA Multimarca</t>
  </si>
  <si>
    <t xml:space="preserve">el proceso está programado para tener una duración de 31 días, durante los cuales estaremos trabajando en diferentes fases para asegurar un resultado exitoso.
A continuación, te proporciono un resumen del calendario de actividades:
Inicio del Desarrollo: 08/01/2024
Duración del Desarrollo: 31 días
Pruebas en Producción: Semana del 19 de febrero
Durante este período, estaremos dedicados a asegurar la calidad y eficiencia del proyecto, y nos esforzaremos por cumplir con los plazos establecidos. Estaremos atentos a cualquier comentario o sugerencia que puedas tener a lo largo del proceso. </t>
  </si>
  <si>
    <t>domenica.bucheli@kfc.com.ec</t>
  </si>
  <si>
    <t>p16</t>
  </si>
  <si>
    <t>Compromiso Matriz Regional  (Ecuador) (api v3 cupones)</t>
  </si>
  <si>
    <t>APP Gestiona: Indicadores de sostenibilidad - dashboard y registro decentralizado V4</t>
  </si>
  <si>
    <t>Toma de indicadores de diversas fuentas (Reportes manuales y automáticos) de consumo de energía, gestión de desechos, reciclaje de aceite, consumo de paper, reciclaje.</t>
  </si>
  <si>
    <t>javier.cruz@kfc.com.ec</t>
  </si>
  <si>
    <t>APP Somos repotenciar (Objetivo engagement)-&gt; administrar en DSI</t>
  </si>
  <si>
    <t>Pendiente de Levantamiento, nuevos features y posible Rework de la aplicación de Trade</t>
  </si>
  <si>
    <t>Mejoras App Somos</t>
  </si>
  <si>
    <t xml:space="preserve">Validar con Javier Cruz costos de mantemiento actual / Daniel Barreno </t>
  </si>
  <si>
    <t>Integración SIR con SAGE</t>
  </si>
  <si>
    <t>Integración Ventas</t>
  </si>
  <si>
    <t>España</t>
  </si>
  <si>
    <t>Jeison Caguana</t>
  </si>
  <si>
    <t>jeison.caguana@foodventuresgroup.com</t>
  </si>
  <si>
    <t>ES</t>
  </si>
  <si>
    <t>Mantenimiento España</t>
  </si>
  <si>
    <t>Mejoras de integración del servicio de impresión MXP España</t>
  </si>
  <si>
    <t>Configurable de canales de impresión, pre cuenta, factura, abono, Corte de X, desmontar cajero, fin de día y comandas.</t>
  </si>
  <si>
    <t>Mejoras MaxPoint Azure ( integración de países)</t>
  </si>
  <si>
    <t>Corrección de bugs pantalla de estaciones, botones, preguntas sugeridas, descuentos, y pantalla de replica.</t>
  </si>
  <si>
    <t>Mejoras POS MaxPoint España</t>
  </si>
  <si>
    <t>Lunch y mermas en MaxPoint / Nuevos reportes App MaxPoint</t>
  </si>
  <si>
    <t>MES-2. Carga Masiva de Costos Artículos</t>
  </si>
  <si>
    <t>MES-3. Estilos en recetas</t>
  </si>
  <si>
    <t>MES-1. Bloqueo de costos proveedor</t>
  </si>
  <si>
    <t>Configuración por proveedor y cuidad para el bloqueo de costo en compras</t>
  </si>
  <si>
    <t>Nuevos procesos en el flujo de Facturación.</t>
  </si>
  <si>
    <t>El negocio requiere añadir a su flujo de facturación el incremento del secuencial de facturas simplificadas centralizado por empresa.</t>
  </si>
  <si>
    <t>App Encuestas Fase 2</t>
  </si>
  <si>
    <t>Asesoramiento a Equipo interno de Desarrollo Venezuela</t>
  </si>
  <si>
    <t>Cargas Masivas: Contabilización de Facturas Fisicas Venezuel</t>
  </si>
  <si>
    <t>Dependencia de SAP Venezuela</t>
  </si>
  <si>
    <t>Presupuesto de proyecto SAP</t>
  </si>
  <si>
    <t>Integración de Herramientas SatCon: Venezuela</t>
  </si>
  <si>
    <t>Presupuesto incluido en poryecto SAP</t>
  </si>
  <si>
    <t>Envío Menús Agregadores KFC
*PEYA*</t>
  </si>
  <si>
    <t>Correcciones y mejoras en MaxPoint</t>
  </si>
  <si>
    <t>Migración de Aplicativo de Reclutamiento a AKS</t>
  </si>
  <si>
    <t>Coordinar en un AKS</t>
  </si>
  <si>
    <t>Payrol: Integración Venezuela</t>
  </si>
  <si>
    <t>Implementación de Payrol e Integraciones, Se puso un macro pero este proyecto maneja los costos de Dennis y Sabri</t>
  </si>
  <si>
    <t>Cancelado el 40%</t>
  </si>
  <si>
    <t>Plataforma Elearning: Paises Venezuela</t>
  </si>
  <si>
    <t>Fase de despliegue a Paises para E-Learning</t>
  </si>
  <si>
    <t>Base de datos de Curriculums para Reclutamiento</t>
  </si>
  <si>
    <t>Revisar con Amarilis</t>
  </si>
  <si>
    <t>Integracion Pinpad SITEF (Reemplazo de Megasoft)</t>
  </si>
  <si>
    <t>KDS DragonTail Salon - Kiosko - Pickup</t>
  </si>
  <si>
    <t>Realizar un piloto para adaptar a la operación al KDS</t>
  </si>
  <si>
    <t>Mantenimiento Venezuela</t>
  </si>
  <si>
    <t>Master Data de Clientes para MaxPoint y Kiosko</t>
  </si>
  <si>
    <t>Base central de clientes para el uso en canales de MaxPoint y Kioskos.</t>
  </si>
  <si>
    <t>Validar con BigData para la integración de la master data de clientes.</t>
  </si>
  <si>
    <t>Migración de Aplicativo Integracion KFC a SIR Integration</t>
  </si>
  <si>
    <t>Revisión de Zetas Fiscales, validación de Asientos Contables de Ventas de SIR</t>
  </si>
  <si>
    <t>Multimoneda en Maxpoint</t>
  </si>
  <si>
    <t>Pantalla de cobro para facilitar el cobro en varias monedas (Actualmente la conversión se realiza de manera manual por fuera del sistema) - Efectivo - Trazabilidad de retiros por cada moneda.</t>
  </si>
  <si>
    <t>MVE-3. Corrección de Ajustes</t>
  </si>
  <si>
    <t>Defecto</t>
  </si>
  <si>
    <t>MVE-2. Modificación Reporte Relación de Caja</t>
  </si>
  <si>
    <t>Añadir nueva forma de pago</t>
  </si>
  <si>
    <t>marzo</t>
  </si>
  <si>
    <t>MVE-1. Homologación Reporte Inventario</t>
  </si>
  <si>
    <t>Homologar con Ecuador la columna de diferencia en el registro de inventario de SIR (revisar si va directo a soporte)</t>
  </si>
  <si>
    <t>Retiros Motorizados Multimoneda</t>
  </si>
  <si>
    <t>control de retiros solicitados con distintas formas de pago desde delivery.</t>
  </si>
  <si>
    <t>Se ejecutaría si el retiro de motorizados regional no cumple con la operación multimoneda de Venezuela</t>
  </si>
  <si>
    <t>Compromiso Matriz Regional  (Ecuador, Colombia, Chile y Argentina)</t>
  </si>
  <si>
    <t>Pendientes Matriz Regional 2023</t>
  </si>
  <si>
    <t>José Fernandez - Darwin Mora</t>
  </si>
  <si>
    <t>Optimizacion de desarrollos Z en SAP Regional</t>
  </si>
  <si>
    <t>Mejorar los desarrollos en SAP</t>
  </si>
  <si>
    <t>Juan Alejadro</t>
  </si>
  <si>
    <t>SAP(Licencias, Servicios Externos)</t>
  </si>
  <si>
    <t>PAM Basis</t>
  </si>
  <si>
    <t>Obtención y Consolidación de reportes de compras. 
Reporte de cierre de compras, KPIs de compras.</t>
  </si>
  <si>
    <t>El origen de la base depende del ERP utilizado en cada país, el mismo genera espera de 2 a 3 semanas. (VEN - CHILE - ARG)</t>
  </si>
  <si>
    <t>Pendiente Juan Carlos B</t>
  </si>
  <si>
    <t>juanc.benalcazar@kfc.com.ec</t>
  </si>
  <si>
    <t>Productos Importados - Reporte de costo de Negociación y variables de Costeo</t>
  </si>
  <si>
    <t>En lugar del costo de negociación se trabaje con: costo de compra,  variables (transporte internacional, aranceles, aduana, bodega, agente afianzado, transporte interno) y  costo final (suma de costo de compra + variables)</t>
  </si>
  <si>
    <t>Control Costos Productos Importados</t>
  </si>
  <si>
    <t xml:space="preserve">Desarrollo PMV </t>
  </si>
  <si>
    <t>Se debe validar con Darwin ya que la fecha de fin debe ser mediados de abril</t>
  </si>
  <si>
    <t>Automatización de Drive through</t>
  </si>
  <si>
    <t>Reconocer la placa del cliente para mediante api obtener datos del mismo y referencia de ultimos consumos realizados (permite modificar el speach comercial en la atención)</t>
  </si>
  <si>
    <t>Justin Vergara</t>
  </si>
  <si>
    <t>Fidelización del cliente en MXP.  API de placas. División en 2 fases.</t>
  </si>
  <si>
    <t>Implementar B2B en Depto. Tesorería</t>
  </si>
  <si>
    <t>Maria A Stay</t>
  </si>
  <si>
    <t>maria.stay@degasa.cl</t>
  </si>
  <si>
    <t>RollOut Chile - Logistica</t>
  </si>
  <si>
    <t>Implementar SAP Logistica Chile</t>
  </si>
  <si>
    <t>Martin Iparraguirre</t>
  </si>
  <si>
    <t>martin.lparraguirre@degasa.cl</t>
  </si>
  <si>
    <t>Generar  Orden de trabajo Directa a SAP desde SIR locales.</t>
  </si>
  <si>
    <t>Actualmente , el locla gerena requerimiento atreves de SIR y luego la administradora de mantenimiento  trata este requerimiento y genrea Orden de trabajo en SAP, generando doble trabajo en la apertura y en el cierre de orden y requerimiento . Impacto: 4000 ordenes 2 min = 133h/mes</t>
  </si>
  <si>
    <t>Vinculo con SIR</t>
  </si>
  <si>
    <t>Cashless multiples formas de pago</t>
  </si>
  <si>
    <t>A cargo de Javier Sánchez, se tiene un avance del 70%. Se ofreció entregar para  el 2 de enero.</t>
  </si>
  <si>
    <t>Operaciones Aeropuerto 2024</t>
  </si>
  <si>
    <t>Veronica Jácome indica que este proceso se encuentra suspendido por temas legales.</t>
  </si>
  <si>
    <t>Eliminar</t>
  </si>
  <si>
    <t xml:space="preserve">Reporte Actualizado de Inversión a Directorio - Proyectos Construcción </t>
  </si>
  <si>
    <t xml:space="preserve"> Reporte diario a descargar a la intranet presenta errores
- Alertas de límite presupuestario
- actualizar información se mantiene manual.</t>
  </si>
  <si>
    <t>Reunión con Requisidor, obtener mas información</t>
  </si>
  <si>
    <t>rodrigo.burbano@kfc.com.ec</t>
  </si>
  <si>
    <t>Repositorio de Proyectos Centralizado</t>
  </si>
  <si>
    <t>Control de Cupos en Fiona, desarrollo de BOT en SAP para Generación de Asientos y Debitos en Rol para Payroll</t>
  </si>
  <si>
    <t>52 semanas diario y semanal</t>
  </si>
  <si>
    <t>UAT - BI</t>
  </si>
  <si>
    <t>Célula de Operaciones SIR 2023</t>
  </si>
  <si>
    <t>Automatización de Compras Automaticas PLT-TIENDAS</t>
  </si>
  <si>
    <t>Cambio de costo maximo y minimo costo configurado en artículo y Usos y Consumos</t>
  </si>
  <si>
    <t>Presupuesto 2023</t>
  </si>
  <si>
    <t>Flujo Pedido productos No Despachados ( Restaurantes)</t>
  </si>
  <si>
    <t xml:space="preserve">Ver Anexo A4 - Espera de nueva definición </t>
  </si>
  <si>
    <t>Hoja de Proyeccion de Pre-Producción Articulos Materia primas</t>
  </si>
  <si>
    <t>Agrupación de Plus para armar picadas (El Español)</t>
  </si>
  <si>
    <t>Jaime va a evaluar el proceso (MAXPOINT)
No se tiene contexto del requerimiento, evaluar si se lo realiza en nuevo maxpoint</t>
  </si>
  <si>
    <t>Pedidos Sugeridos con interface SAP</t>
  </si>
  <si>
    <t>Usos y Consumos Resumido por Grupo de Articulos</t>
  </si>
  <si>
    <t>VAR (Real + Proyeccion)</t>
  </si>
  <si>
    <t>Visualizar lo que planta tiene en stock y fecha de caducidad para tener datos reales</t>
  </si>
  <si>
    <t>-</t>
  </si>
  <si>
    <t>Usos y Consumos con grupo de artículos cadena</t>
  </si>
  <si>
    <t>Modelar la selección del canal en una misma transacción por producto</t>
  </si>
  <si>
    <t>Ver Anexo A2
Desglosar el pedido y mediante popup seleccionar el medio del producto</t>
  </si>
  <si>
    <t>Asignacion de Modificadores mendiante Popup y otros como la división de sándwiches</t>
  </si>
  <si>
    <t xml:space="preserve"> Desacoplar las preguntas de los productos, y crear preguntas del macro al micro por categorías y subcategorías de forma general para poder asociar los modificadores</t>
  </si>
  <si>
    <t>Ordenar botones por reglas de negocio por definirse</t>
  </si>
  <si>
    <t>Que aparezcan en las pantallas de publicidad el valor de la factura a  pagar</t>
  </si>
  <si>
    <t>Asignación de tamaños a de productividad ctos a botones para selección mediante popup de tamanos (Ej.: Café 8onz 12Onz 16Onz., Cola 12onz 16onz 22onz.</t>
  </si>
  <si>
    <t>Al momento de cobrar el sistema  tiene muchas preguntas / simplificar</t>
  </si>
  <si>
    <t>Incorporar venta detallada de complementos (productos) por cajeros</t>
  </si>
  <si>
    <t>Poder imprimir en la orden el canal SALÓN - LLEVAR de forma separada e identificada con trazabilidad al BI</t>
  </si>
  <si>
    <t>Semáforo venta inteligente en los Menús, Se desea colocar colores en los botones por relevancia de venta de PODUCTIVIDAD ctos por venta inteligente VERDE&gt; contribución AMARILLO = ROJO &lt; contribución (actualmente hay muchos colores)</t>
  </si>
  <si>
    <t>Toma de pedido en Tablet debe ser amigable, rehacer repensar todo el sistema para lograr el efecto</t>
  </si>
  <si>
    <t>3T 24</t>
  </si>
  <si>
    <t>Reporte de pedidos no despachados por no disponibilidad</t>
  </si>
  <si>
    <t>Reporte para controlar aquellos despachos que no realizan por falta de productos (vinculo con proveedor y capacidad de la planta. (Costo de oportunidad) (Consultar con Juan Celi) - Total por área - vinculo con pedido de compras.</t>
  </si>
  <si>
    <t>Juan Celi</t>
  </si>
  <si>
    <t>shuber.aguirre@kfc.com.ec</t>
  </si>
  <si>
    <t>Mantenimiento MaxPoint</t>
  </si>
  <si>
    <t>Mantenimiento y remediaciones en MaxPoint</t>
  </si>
  <si>
    <t>Devsecops</t>
  </si>
  <si>
    <t>WAF Fortinet</t>
  </si>
  <si>
    <t>Verificar las URL modificadas producto de la migración de WAF Radware a WAF Fortinet -&gt; Salida a producción en Febrero</t>
  </si>
  <si>
    <t xml:space="preserve">Cambio de alncace duplicidad de ordenes de mantenimiento </t>
  </si>
  <si>
    <t>Dependencia de lienas79-25</t>
  </si>
  <si>
    <t>LOPDP - Adaptación del proceso de cupones app a la master data de clientes</t>
  </si>
  <si>
    <t>08/04
Estimar el tiempo para presupuesto</t>
  </si>
  <si>
    <t>LOPDP - Adaptación del proceso de motorizados a la master data de clientes</t>
  </si>
  <si>
    <t>Integración de cupones empresariales</t>
  </si>
  <si>
    <t>Se debe integrar a la versión de Ecuador la funcionalidad de cupones digitales desde la versión de Colombia
Compromiso Matriz Regional  (Ecuador)</t>
  </si>
  <si>
    <t>A pesar de ser un requerimiento del 2023 y asociado a la matriz regional sin embargo, ya no existe fondos en este proyecto razón por la cual se debe incluir en la matriz de operaciones ?</t>
  </si>
  <si>
    <t>5</t>
  </si>
  <si>
    <t>15/04
Validar si se puede ajustar el presupuesto</t>
  </si>
  <si>
    <t>22/04
Estimar el tiempo adicional para establecer el origen web en el reporte del SIR. Como se manejaba en la web.
Aprobar requerimiento con Marketing.</t>
  </si>
  <si>
    <t>15/04
Carlos Ortega debe realizar una validación de caracteres y posterior a ello si se requiere estimar por parte de CD</t>
  </si>
  <si>
    <t xml:space="preserve">Generar pedido automatico de Consumibles que se disponen en Planta </t>
  </si>
  <si>
    <t>Actualmente  el pedido es de manera Manual y dependemos de una persona para que sean subidos a una orden de trabajo, de lo contrario no se despachan, y el objetivo es automatizar para despacho inmediato .</t>
  </si>
  <si>
    <t>Validar TV reunión con el equipo de datos maestros + Kimberly Ayala + Andrés Rigoli</t>
  </si>
  <si>
    <t>16/04
Estimar el tiempo para presupuesto</t>
  </si>
  <si>
    <t>Orden de mantenimiento añadir sociedad SAP</t>
  </si>
  <si>
    <t xml:space="preserve">Solicitado por ERP </t>
  </si>
  <si>
    <t xml:space="preserve">29/04
Estimar el tiempo para presupuesto
</t>
  </si>
  <si>
    <t>Servidor Capacitación</t>
  </si>
  <si>
    <t>Pruebas aplicaciones web migración FortiWeb</t>
  </si>
  <si>
    <t>API Créditos Sin Cupon - Nómina</t>
  </si>
  <si>
    <t>Error en el reporte de usos y consumos, signo negativo</t>
  </si>
  <si>
    <t>Exportación Activos Fijos</t>
  </si>
  <si>
    <t>Rappi Turbo para Chile</t>
  </si>
  <si>
    <t>Que las ordenes lleguen con un medio diferente</t>
  </si>
  <si>
    <t>TBD</t>
  </si>
  <si>
    <t>Appedir Revisión de transacciones con puntos</t>
  </si>
  <si>
    <t>Plan de acción para remediar en conjunto con Trade. Si está listo el punto anterior ya no se requiere la reunión</t>
  </si>
  <si>
    <t>Titulo</t>
  </si>
  <si>
    <t>Etiquetas de fila</t>
  </si>
  <si>
    <t>Suma de TOTAL</t>
  </si>
  <si>
    <t>Definir Modelo de Costos en SIR ( Sug. Promedio ponderado similar a SAP)</t>
  </si>
  <si>
    <t>Total general</t>
  </si>
  <si>
    <t>Cuenta de Sprint</t>
  </si>
  <si>
    <t>(Varios elementos)</t>
  </si>
  <si>
    <t>Etiquetas de columna</t>
  </si>
  <si>
    <t>Suma de TOTAL2</t>
  </si>
  <si>
    <t>Fecho Inicio</t>
  </si>
  <si>
    <t>Fecho Fin</t>
  </si>
  <si>
    <t>Eliminados</t>
  </si>
  <si>
    <t>Cuenta de Año</t>
  </si>
  <si>
    <t>Total Argentina</t>
  </si>
  <si>
    <t>Total Chile</t>
  </si>
  <si>
    <t>Total Colombia</t>
  </si>
  <si>
    <t>Total Venezuela</t>
  </si>
  <si>
    <t>Presupuesto</t>
  </si>
  <si>
    <t>planta</t>
  </si>
  <si>
    <t>% Presupuesto</t>
  </si>
  <si>
    <t>Cuenta de Frente</t>
  </si>
  <si>
    <t>Observación</t>
  </si>
  <si>
    <t>A tiempo</t>
  </si>
  <si>
    <t>Pendiente aprobación directorio</t>
  </si>
  <si>
    <t>Retirado por postulante</t>
  </si>
  <si>
    <t>|||||</t>
  </si>
  <si>
    <t>Detalles para Cuenta de Frente - Prioridad
PO: Q1</t>
  </si>
  <si>
    <t>Requiere 
Presupuesto</t>
  </si>
  <si>
    <t>Columna2</t>
  </si>
  <si>
    <t>PROYECTO SAP</t>
  </si>
  <si>
    <t>Detalles para Presupuesto - PROYECTO SAP: DSI, Área: DSI, Frente: CAR</t>
  </si>
  <si>
    <t>Detalles para Presupuesto - PROYECTO SAP: Celula Operaciones Maxpoint 2024, Área: DSI, Frente: CAR</t>
  </si>
  <si>
    <t>Detalles para Presupuesto - PROYECTO SAP: DSI, Área: DSI, Frente: DSI</t>
  </si>
  <si>
    <t>Detalles para Presupuesto - PROYECTO SAP: Servicio de tarjetas en netCore, Área: OPERACIONES, Frente: OPER</t>
  </si>
  <si>
    <t>Detalles para Suma de TOTAL - Prioridad
PO: Q2, Producto: MXP LEGACY, País: Ecuador</t>
  </si>
  <si>
    <t>Vínculo</t>
  </si>
  <si>
    <t>Mejora de UX del Turnero para estandarización regional</t>
  </si>
  <si>
    <t xml:space="preserve">Mejoras en turnero
Uso en modo vertical
Turnero en pantalla completa
</t>
  </si>
  <si>
    <t xml:space="preserve"> $       28.990</t>
  </si>
  <si>
    <t xml:space="preserve"> $       99.110</t>
  </si>
  <si>
    <t xml:space="preserve"> $     164.165</t>
  </si>
  <si>
    <t xml:space="preserve"> $     203.775</t>
  </si>
  <si>
    <t xml:space="preserve"> $     496.040</t>
  </si>
  <si>
    <t xml:space="preserve"> $       98.530</t>
  </si>
  <si>
    <t xml:space="preserve"> $          3.330</t>
  </si>
  <si>
    <t xml:space="preserve"> $       95.200</t>
  </si>
  <si>
    <t xml:space="preserve"> $       58.840</t>
  </si>
  <si>
    <t>Servicio de tarjetas V2.0</t>
  </si>
  <si>
    <t xml:space="preserve"> $       31.380</t>
  </si>
  <si>
    <t xml:space="preserve"> $          4.980</t>
  </si>
  <si>
    <t xml:space="preserve"> $       32.540</t>
  </si>
  <si>
    <t xml:space="preserve"> $       23.160</t>
  </si>
  <si>
    <t xml:space="preserve"> $          9.380</t>
  </si>
  <si>
    <t xml:space="preserve"> $       18.970</t>
  </si>
  <si>
    <t xml:space="preserve"> $          4.460</t>
  </si>
  <si>
    <t xml:space="preserve"> $          3.880</t>
  </si>
  <si>
    <t xml:space="preserve"> $          1.680</t>
  </si>
  <si>
    <t xml:space="preserve"> $     160.060</t>
  </si>
  <si>
    <t xml:space="preserve"> $       88.580</t>
  </si>
  <si>
    <t>Detalles para Presupuesto - PROYECTO SAP: Célula de Operaciones SIR 2024, Área: OPERACIONES, Frente: OPER, Año: 2024, Producto: SIR (+)</t>
  </si>
  <si>
    <t>Pruebas</t>
  </si>
  <si>
    <t>Reporte de Stock V2</t>
  </si>
  <si>
    <t>Definir Modelo de Costos en SIR ( sug. Promedio ponderado similar a SAP)</t>
  </si>
  <si>
    <t xml:space="preserve">COMPRAS </t>
  </si>
  <si>
    <t>LOPDP - Revocatoria de clientes con solicitud</t>
  </si>
  <si>
    <t xml:space="preserve"> Poder identificar los extras o modificadores asociados al producto padre en la pantalla y la impresión de la orden de la cocina</t>
  </si>
  <si>
    <t>Mxp - Replica v2</t>
  </si>
  <si>
    <t>Inluir en el reporte de transacciones la visualización detallada de items facturados en maxpoint</t>
  </si>
  <si>
    <t>Canales</t>
  </si>
  <si>
    <t>Título</t>
  </si>
  <si>
    <t>Subtotal
Mano Obra</t>
  </si>
  <si>
    <t>InicioDev</t>
  </si>
  <si>
    <t>FinDev</t>
  </si>
  <si>
    <t>Ajuste reporte 52 semanas (BI)</t>
  </si>
  <si>
    <t>Costo y, %  y Contribución - SIR</t>
  </si>
  <si>
    <t>Identificado</t>
  </si>
  <si>
    <t>control en el reporte para locales que no han estado abierto todo el año</t>
  </si>
  <si>
    <t>Permitir comparar con años anteriores, no unicamente con el periodo -1</t>
  </si>
  <si>
    <t>Daypart que incluya mix de productos - MXP</t>
  </si>
  <si>
    <t>Control de Pautas</t>
  </si>
  <si>
    <t>Capturar datos desde Google An. / Meta para generar reportes / Link con Mix para validar el impacto de las campañas</t>
  </si>
  <si>
    <t>Domenica Bucheli</t>
  </si>
  <si>
    <t xml:space="preserve">Excelencia Operativa Plughtem - </t>
  </si>
  <si>
    <t>vinculo Payroll</t>
  </si>
  <si>
    <t>Remplazo Flujos Intranet subsistemas de gestión humana e integración de subsistemas  - vinculo con payroll - flujo de contratación y selección</t>
  </si>
  <si>
    <t>Reporte de Mix de Ventas del Patio</t>
  </si>
  <si>
    <t>Al momento se cuenta con reportes individuales, para obtener un reporte general consolidado (Validar con TD que presenta los reportes a los usuarios)
- Consultar con Amarilis respecto a los datos faltantes identificados con Op. Aereopuerto. UIO (matriz 52 semanas)</t>
  </si>
  <si>
    <t>Sistema de talento humano sustituto a twins - encuestas - fichas del colaborador -</t>
  </si>
  <si>
    <t>Reporte Consolidado Notas de Crédito MXP</t>
  </si>
  <si>
    <t>Consolidar en la INTRANET EL REPORTE de NOTAS DE CREDITO DEL MAX POINT.</t>
  </si>
  <si>
    <t>Inestabilidad en la  información de Ventas MP en Intranet</t>
  </si>
  <si>
    <t>Es necesario ajustar la programación para tener datos Verídicos y confiables ( a diario).</t>
  </si>
  <si>
    <t>Aprobado</t>
  </si>
  <si>
    <t>Reporte Consolidado Créditos sin Cupon SIR</t>
  </si>
  <si>
    <t>Consolidar en la INTRANET EL REPORTE de CREDITOS SIN CUPON (fuente SIR)</t>
  </si>
  <si>
    <t>Horarios Sugeridos del Personal (TPHH)</t>
  </si>
  <si>
    <t>A partir de los picos por hora, sugerir cantidad de perosonas por horarios para la planificación de gerentes de restaurante</t>
  </si>
  <si>
    <t>Reporte consolidado Transacciones Maxpoint</t>
  </si>
  <si>
    <t>Consolidar en la intranet el reporte de transacciones del maxpoint</t>
  </si>
  <si>
    <t>ERP - Consolidación de información de compras e importaciones para alimentar a dashboard del área</t>
  </si>
  <si>
    <t>Consolidación de información de compras e importaciones para alimentar a dashboard del área</t>
  </si>
  <si>
    <t>Envío de data Tableros BA</t>
  </si>
  <si>
    <t>Reporte Mix  de ventas patio por rango de fecha y hora</t>
  </si>
  <si>
    <t>Actualmente se tiene un reporte cada hora
Permite comparar rangos de periodos
Códigos de Restaurante: ca02, ca01, ca03, f001, b001, cn26 (Verificar alcance para uso en otros restaurantes)
Puede ser a día caido
Vinvulo con BI</t>
  </si>
  <si>
    <t>Dashboard de Producción</t>
  </si>
  <si>
    <t>Dashboard de productividad que integra los datos de producción con el payroll, actualmente se realiza de manera manual. Ya lo está viendo Amarilis</t>
  </si>
  <si>
    <t>PLANTA UIO</t>
  </si>
  <si>
    <t>MEDIO</t>
  </si>
  <si>
    <t>Valor referencial pendiente levantar requerimiento a detalle</t>
  </si>
  <si>
    <t>Gestión Documental Importaciones</t>
  </si>
  <si>
    <t>Repositorio web para información de importaciones</t>
  </si>
  <si>
    <t>Juan Carlos Benalcazar</t>
  </si>
  <si>
    <t>Control de Inventarios desde Restaurantes</t>
  </si>
  <si>
    <t>Informe de Stocks de los Restaurantes en línea, revisar con BI a partir de la información de SIR (inventario) cruce con la venta en MXP.</t>
  </si>
  <si>
    <t>Desarrollos requeridos por Contabilidad 2024</t>
  </si>
  <si>
    <t>Desarrollo</t>
  </si>
  <si>
    <t>Dpto</t>
  </si>
  <si>
    <t>COMENTARIO 1</t>
  </si>
  <si>
    <t>COMENTARIO 2</t>
  </si>
  <si>
    <t>PYG</t>
  </si>
  <si>
    <t>En Proceso, proyecto 2023 no concluido</t>
  </si>
  <si>
    <t>Conciliador de Tarjetas de Crédito que incluya información depurada de ventas del swt  </t>
  </si>
  <si>
    <t>TC</t>
  </si>
  <si>
    <t>DSI / BI</t>
  </si>
  <si>
    <t>Revisar con canales digitales y cambiar fechas</t>
  </si>
  <si>
    <t>Conciliador de Agregadores que incluya información depurada de ventas del swt  </t>
  </si>
  <si>
    <t>Unificación de tarjetas en cierre de locales</t>
  </si>
  <si>
    <t>Auditoria tambien lo tiene</t>
  </si>
  <si>
    <t>Disminuye trabajo Operativo en locales y se evita errores los cuales afectan en tiempos en auditoria y contabilidad</t>
  </si>
  <si>
    <t>Planta</t>
  </si>
  <si>
    <r>
      <t xml:space="preserve">Automatización de </t>
    </r>
    <r>
      <rPr>
        <u/>
        <sz val="11"/>
        <color rgb="FF000000"/>
        <rFont val="72"/>
        <family val="2"/>
      </rPr>
      <t xml:space="preserve">cajas chicas </t>
    </r>
    <r>
      <rPr>
        <sz val="11"/>
        <color rgb="FF000000"/>
        <rFont val="72"/>
        <family val="2"/>
      </rPr>
      <t>en SIR con inclusión de listado de conceptos para:
CCH locales,
CCH administrativas</t>
    </r>
  </si>
  <si>
    <t>Desarrollo de órdenes de compra Ecuador (Considerar los procesos regionales)</t>
  </si>
  <si>
    <t>Desarrollos ya realizados en SIR pero nunca salieron a Prod</t>
  </si>
  <si>
    <t>Proveedores</t>
  </si>
  <si>
    <t>Realizar NC directamente en locales en dias distintos</t>
  </si>
  <si>
    <t>Facturación</t>
  </si>
  <si>
    <t>Realizar cruce de suministros que se encuentran para el débito bancario para evitar cortes y recargos adicionales (revisión con Diego Izurieta)</t>
  </si>
  <si>
    <t>SAP</t>
  </si>
  <si>
    <t>MSP</t>
  </si>
  <si>
    <t>Carga Automatica de Compras a SIR (Estaba listo pendiente salir a Producción)</t>
  </si>
  <si>
    <t>Cambiar el proceso a Consumos ya no realizar descarga de inv mediante  facturas de Autoconsumo  Activos, Menajes para Kfc, Gus - Heladerias - Plantas</t>
  </si>
  <si>
    <t xml:space="preserve">Asentar devoluciones de manera masiva no local por local </t>
  </si>
  <si>
    <t>SIR / SAP</t>
  </si>
  <si>
    <t xml:space="preserve">Indicadores Automaticos con la informacion de devoluciones </t>
  </si>
  <si>
    <t>INTRANET BI</t>
  </si>
  <si>
    <t>Ingresar las Facturas Relacionadas  Log de Errores Y Doc Preliminares</t>
  </si>
  <si>
    <t xml:space="preserve">Revisión en estandar, no tiene mayor retorno ::::Envio Automatico de Estados de Cuenta con valores vencidos de pago </t>
  </si>
  <si>
    <t>Carga de Compras Automaticas de acuerdo a Cronograma</t>
  </si>
  <si>
    <t>Realizar descuentos  de Forma Automatica</t>
  </si>
  <si>
    <t>SAP o Fiona (Analizar)</t>
  </si>
  <si>
    <t>Registro de facturas de Autoconsumos  y  reclasificacion Iva</t>
  </si>
  <si>
    <t>Actualizacion de Precios en Fiona  de acuerdo a lo registrado en SAP</t>
  </si>
  <si>
    <t>FIONA / SAP</t>
  </si>
  <si>
    <t>Asentar las devoluciones de los locales en SIR y enviar automático a SAP</t>
  </si>
  <si>
    <t>FIONA</t>
  </si>
  <si>
    <t>Indicadores de Heramienta de Quejas</t>
  </si>
  <si>
    <t xml:space="preserve">Seguimiento Gestion de Cartera / Gestion de Cobro </t>
  </si>
  <si>
    <t xml:space="preserve">Descuento Rol Nacional </t>
  </si>
  <si>
    <t xml:space="preserve">Automatizacion de descuentos </t>
  </si>
  <si>
    <t>Automatizar firma de ventas a personal</t>
  </si>
  <si>
    <t xml:space="preserve">Revisar que el consumo sea totalmente Automatico </t>
  </si>
  <si>
    <t>Administracion de Fiona Ventas al Personal Plantas (Activacion/ Bloqueos materiales, Cambio de Precios)</t>
  </si>
  <si>
    <t xml:space="preserve">Compensacion Automatica de Facturas con Notas de credito Cliente </t>
  </si>
  <si>
    <t>Administracion de Fiona Usos Internos PLQ ( Activacion de Centros de Costos, Almacenes, Cambio de Precios )</t>
  </si>
  <si>
    <t xml:space="preserve">Actualizacion  de precios Ventas al Personal </t>
  </si>
  <si>
    <t>Registro de descuentos a transportistas ( Cuentas por Cobrar- Rastreo Satelital-Fumigacion)</t>
  </si>
  <si>
    <t xml:space="preserve">Cierre Automatico de ordenes de venta no tratadas en 48 horas </t>
  </si>
  <si>
    <t>Consumo de almacén transitorio</t>
  </si>
  <si>
    <t>Atar las notas de crédito de la relacionadal cliente y proveedor</t>
  </si>
  <si>
    <t>Desbloqueo Automatico del Bloqueo R</t>
  </si>
  <si>
    <t>Ventas Clientes Externos - Subproducto - Reciclaje</t>
  </si>
  <si>
    <t xml:space="preserve">Registro de Facturas y detalle en una sola Base que la base se llene automaticamente de la movilizacion </t>
  </si>
  <si>
    <t>FIONA - SAP</t>
  </si>
  <si>
    <t xml:space="preserve">Digitacion de pedidos Activos, Menajes, Desarrollos x mail </t>
  </si>
  <si>
    <t>Datos Maestros / SAP</t>
  </si>
  <si>
    <t>Revision / Cierre de Pedidos Abiertos VA05</t>
  </si>
  <si>
    <t>Vaciado mensual de los materiales del almacén transitorio</t>
  </si>
  <si>
    <t>Liberacion de Facturas Bloqueadas MRBR - FBL1H</t>
  </si>
  <si>
    <t>Registro de Facturas de Proveedores ( Transporte)</t>
  </si>
  <si>
    <t>Semanas</t>
  </si>
  <si>
    <t>Equipos</t>
  </si>
  <si>
    <t>Upgrade del Maxpoint Tiendas a versión de PHP 8.2</t>
  </si>
  <si>
    <t>EMNT1: DEV +QA</t>
  </si>
  <si>
    <t>Pantalla de replicación: Equipo de mesa de servicios solo debe visualizar los lotes de usuarios - Mejora</t>
  </si>
  <si>
    <t>EMNT2: DEV +QA</t>
  </si>
  <si>
    <t>Modulo Cajeros: No debe permitir grabar/actualizar caracteres especiales ya que genera incidencias en la operación cuando se permite este evento (Bug)</t>
  </si>
  <si>
    <t>EMNT3: DEV +QA</t>
  </si>
  <si>
    <t>Modulo cajeros/usuarios: no permitir duplicar usuarios, es decir si ya existe un usuario con el mismo número de cedula el sistema no debe permitir al usuario continuar con el proceso. Este evento tiene afectación sobre la tienda. (Bug)</t>
  </si>
  <si>
    <t>EMNT4: DEV +QA</t>
  </si>
  <si>
    <t>Notas de crédito: En JV el sistema indica que no se puede realizar notas de creditos con canje pero en las otras marcas si le permite (Bug)</t>
  </si>
  <si>
    <t>EMNT5: DEV +QA</t>
  </si>
  <si>
    <t>Facturación: En la pantalla de facturación no se permite cerrar la transacción ya que indica el mensaje "el valor pagado es mayor al total de la factura", se visualiza que existe mas de 1 forma de pago y en el pagado sale valores en negativo (bug)</t>
  </si>
  <si>
    <t>Dolce, información de restaurante no se muestra en backofficeTarjeta # 19826 (Bug)</t>
  </si>
  <si>
    <t>Preguntas sugeridas en otras cadenas, tarjeta #24306</t>
  </si>
  <si>
    <t>Tarjeta #19809. Cambio de precios mediante carga de documento. (Mejora)</t>
  </si>
  <si>
    <t>Doble control estación en la tabla control_estacion de la misma estación activas. Este evento hace que aparezca 2 botones OK en el asignado de cajero (Bug)</t>
  </si>
  <si>
    <t>No se puede anular una factura que tiene dos formas de pago con tarjeta (Bug)</t>
  </si>
  <si>
    <t>Interface: Venta no sube completa en interface, toca volver a realizar el proceso para que suba completo. Por lo general no suben los cajeros de pickup y domicilio (Bug)</t>
  </si>
  <si>
    <t>Maxpoint azure, pantalla de cajeros: Crear y asignar a tienda correspondiente los cajeros automáticamente cuando se active las políticas de restaurante de domi, kiosko y pickup (Mejora)</t>
  </si>
  <si>
    <t>Crear proceso que valide información entre tiendas vs azure para evitar descuadres de data que afectan a la operación del sistema en las tiendas.</t>
  </si>
  <si>
    <t>Facturación: Reversos automáticos. Aprox 4 casos x semana. Existen reversos de los pagos a pesar de que hay una factura entregada. (Bug)</t>
  </si>
  <si>
    <t>Implementar mejoras de reconexión sobre los servicios socket, kds, impresión, tarjetas, credenciales etc. (Bug)</t>
  </si>
  <si>
    <t>Refatorizar con microservicios la pantalla de despachos</t>
  </si>
  <si>
    <t>Pantalla de pedido / recuperación de pedidos de KIOSKOS se debe mejorar la experiencia del usuario ya que actualmente la pantalla de landing entorpece el flujo de estos pedidos.</t>
  </si>
  <si>
    <t>Nuevo flujo para control de reversos automáticos</t>
  </si>
  <si>
    <t>Replica inicial: se tiene soportes dentro del equipo de app debido a errores en la replica inicial</t>
  </si>
  <si>
    <t>Dockerizar maxpoint pos + aplicativos con los que interactúa</t>
  </si>
  <si>
    <t>Implementar proceso de limpieza de caché en el navegador cuando el sistema detecte que sufrió una actualización</t>
  </si>
  <si>
    <t>Implementar procesos de encolamiento para Interface Marcar Medios de Venta, Plugthem</t>
  </si>
  <si>
    <t>Remediación facturación electrónica</t>
  </si>
  <si>
    <t>Facturas entregadas con un control estación en estado "Salir admin"</t>
  </si>
  <si>
    <t>Doble impresión fin de día</t>
  </si>
  <si>
    <t>Forma de pago errónea en Crédito Relacionado</t>
  </si>
  <si>
    <t>Homologación de configuración de medios en SIR y MAxpoint</t>
  </si>
  <si>
    <r>
      <t>No se puede realizar Arqueos de Producto</t>
    </r>
    <r>
      <rPr>
        <sz val="9"/>
        <color theme="1"/>
        <rFont val="Calibri"/>
        <family val="2"/>
      </rPr>
      <t xml:space="preserve">
Aplicar en todas las cadenas la interface de cambio de turno ( arqueos de producto )</t>
    </r>
  </si>
  <si>
    <r>
      <t>Validar información de venta neta bruta y transacciones en las tablas de venta</t>
    </r>
    <r>
      <rPr>
        <sz val="9"/>
        <color theme="1"/>
        <rFont val="Calibri"/>
        <family val="2"/>
      </rPr>
      <t xml:space="preserve">
no es muy común pero es de alto impacto que en algunos casos no se obtiene el valor de la venta neta.</t>
    </r>
  </si>
  <si>
    <t>REQUERIMIENTOS SISTEMAS GRUPO KFC</t>
  </si>
  <si>
    <t>PROYECTOS ACTUALES</t>
  </si>
  <si>
    <t>DETALLE LEVANTAMIENTO OPORTUNIDADES SISTEMAS GRUPO KFC</t>
  </si>
  <si>
    <t>MAXPOINT REGIONAL</t>
  </si>
  <si>
    <t>Area</t>
  </si>
  <si>
    <t>N.</t>
  </si>
  <si>
    <t>IMPACTO</t>
  </si>
  <si>
    <t>MAX POINT/BACK OFFICE</t>
  </si>
  <si>
    <t>TRIM</t>
  </si>
  <si>
    <t>Esfuerzo (semanas)</t>
  </si>
  <si>
    <t>xD</t>
  </si>
  <si>
    <t>ESTABILIDAD</t>
  </si>
  <si>
    <t>Recuperación de orden en efectivo, datos del cliente se modifican</t>
  </si>
  <si>
    <t>ok</t>
  </si>
  <si>
    <t>mxp</t>
  </si>
  <si>
    <t>bajo</t>
  </si>
  <si>
    <t>MNT</t>
  </si>
  <si>
    <t>EXPERIENCIAIENCIA DE USUARIOS</t>
  </si>
  <si>
    <t>MKT</t>
  </si>
  <si>
    <t>No se puede trasladar productos entre Mesas, se pierde en la Nueva Orden</t>
  </si>
  <si>
    <t>ANALISIS &amp; PODUCTIVIDAD CTIVIDAD</t>
  </si>
  <si>
    <t>Al ingresar la clave en el sistema el navegador mantiene grabada la contrasena</t>
  </si>
  <si>
    <t>En ocaciones no salen detalladas las notas de credito</t>
  </si>
  <si>
    <t xml:space="preserve">Se duplican mesas una vez cerrada y facturadas </t>
  </si>
  <si>
    <t>AUTOMATIZACION DE PROCESOS</t>
  </si>
  <si>
    <t xml:space="preserve">No se actualiza la hora si no se hace ningun movimiento al facturar </t>
  </si>
  <si>
    <t>A veces el sistema carga por mucho tiempo y no permite avanzar</t>
  </si>
  <si>
    <t>ESTABILIDADILIDAD</t>
  </si>
  <si>
    <t>Tiempo para cobro con tarjeta es muy largo por el PinPad</t>
  </si>
  <si>
    <t>EXPERIENCIA</t>
  </si>
  <si>
    <t>Al ingresar a max point tarda en cargar para el ingreso de claves</t>
  </si>
  <si>
    <t>nok</t>
  </si>
  <si>
    <t>medio</t>
  </si>
  <si>
    <t>PRY</t>
  </si>
  <si>
    <t>MAXPOINT</t>
  </si>
  <si>
    <t>Impresión anticipada de orden de pedido en forma de pago efectivo / kiosco</t>
  </si>
  <si>
    <t>AUTOMATIZACIONMATIZACION DE PROCESOS</t>
  </si>
  <si>
    <t>EC</t>
  </si>
  <si>
    <t>No salen comandas completas o de ciertas mesas en hora pico</t>
  </si>
  <si>
    <t xml:space="preserve">ANALISIS &amp; PODUCTIVIDAD </t>
  </si>
  <si>
    <t>En ocasiones no imprime pre cuentas.</t>
  </si>
  <si>
    <t>En algunas ocaciones se pierden las cuentas al momento de cobrar y luego aparecen en la hora del cierre</t>
  </si>
  <si>
    <t>OTRAS PLATAFORMAS</t>
  </si>
  <si>
    <t>Sistema muy lento en los cierres del dia</t>
  </si>
  <si>
    <t xml:space="preserve">PODUCTIVIDAD </t>
  </si>
  <si>
    <t>alto</t>
  </si>
  <si>
    <t xml:space="preserve">En la cuenta de un mesero, el cliente desea agregar otro producto; pero si este se ingresa por la estacion de caja, se vuelve a imprimir toda la orden duplicandose el pedido. </t>
  </si>
  <si>
    <t>ESP</t>
  </si>
  <si>
    <t>Arqueo, Retiros, proceso de cuadre de caja se lo haga en la oficina y no el en fronting POS, pero Imprimir la cinta en el POS caja, agrupador UX de formas de pago, BACK y Front</t>
  </si>
  <si>
    <t>Asignación de tamaños a de PODUCTIVIDAD ctos a botones para selección dmediante popup de tamanos (Ej.: Café 8onz 12Onz 16Onz., Cola 12onz 16onz 22onz.</t>
  </si>
  <si>
    <t>Quitar #mesa en tiendas que no lo usen</t>
  </si>
  <si>
    <t>Al seleccionar la mesa solo dice cantidad y debería decir # Personas en Mesa</t>
  </si>
  <si>
    <t xml:space="preserve">Crear un boton para aplique descuento </t>
  </si>
  <si>
    <t xml:space="preserve"> Ajuste de pantalla en tablet para que aparezcan todos los botones</t>
  </si>
  <si>
    <t>Limpiar todo con un solo botón en caja</t>
  </si>
  <si>
    <t>SISTEMAS</t>
  </si>
  <si>
    <t>Al realizar facturas hay cedulas de extranjeros que no permite ingresar</t>
  </si>
  <si>
    <t>Se desaparece los botones de pantalla para mover Hacia la derecha</t>
  </si>
  <si>
    <t>Eliminar la pantallla de Datos de Delivery CONFIGURACION</t>
  </si>
  <si>
    <t>Agregar comentarios a todas las estaciones de Tablets</t>
  </si>
  <si>
    <t>Detalle de productos  de combos en la orden de despacho</t>
  </si>
  <si>
    <t xml:space="preserve">Seleccionar menú cualquiera mediante Popup que se dispara mediante un evento de boton presionado en estaciónes  </t>
  </si>
  <si>
    <t>Cambio de UX de tiempo de espera</t>
  </si>
  <si>
    <t xml:space="preserve">No hay busqueda compleja de productos por nombres </t>
  </si>
  <si>
    <t>Uso de tablets, deficiencia en red, lento, interfase muy pequeño q los meseros terminan no usando estos equipos</t>
  </si>
  <si>
    <t xml:space="preserve">nok </t>
  </si>
  <si>
    <t>No hay botón para anular Productos en las Tablets</t>
  </si>
  <si>
    <t>Botones de opciones no aparecen en la parte inferior</t>
  </si>
  <si>
    <t>En Android no se muestra la los botones de opciones de maxpoint para guardar cuenta, eliminar, etc en modo horizontal</t>
  </si>
  <si>
    <t>PAYROLL</t>
  </si>
  <si>
    <t>AUTOMATIZACION</t>
  </si>
  <si>
    <t>REU</t>
  </si>
  <si>
    <t>sir</t>
  </si>
  <si>
    <t>Incorporar BACKOFFICE MXP al SIR (reportes, cierres, cajeros, motorizados)</t>
  </si>
  <si>
    <t>Visualizar Reportes de la Intranet en SIR</t>
  </si>
  <si>
    <t xml:space="preserve">Cupones Digitales para Empleados, integracion con Nomina </t>
  </si>
  <si>
    <t>CH</t>
  </si>
  <si>
    <t>Reporte preliminar de Diario de Ventas SAP</t>
  </si>
  <si>
    <t>Diarios de Inventario hacia SAP</t>
  </si>
  <si>
    <t>Actualizacion Automática de Costos de Pedidos no asociados a Compras</t>
  </si>
  <si>
    <t>ERP-PRY</t>
  </si>
  <si>
    <t>Recuperacion de Cantidades de Pedidos NO Despachados para Creacion de Pedidos</t>
  </si>
  <si>
    <t>Control Cambio de Moneda, Validaciones de Datos</t>
  </si>
  <si>
    <t>Integracion SIR-SAP 100%</t>
  </si>
  <si>
    <t>FINANZAS</t>
  </si>
  <si>
    <t>Banco de Alimentos (Cambio en Guia Generica)</t>
  </si>
  <si>
    <t xml:space="preserve">Hoja de Proyeccion </t>
  </si>
  <si>
    <t>Guias Electronicas (Tranf. Activos Fijos)</t>
  </si>
  <si>
    <t>Control de Aceite (Agregar Peso de Grasa)</t>
  </si>
  <si>
    <t xml:space="preserve">Inclusion de PLUS en el LUNCH </t>
  </si>
  <si>
    <t>52 semanas diario y semanal ( plantilla en SIR para ingreso manual real y proyeccion)</t>
  </si>
  <si>
    <t xml:space="preserve">Proyeccion de Pre-Producción Articulos Materia primas y PLUS </t>
  </si>
  <si>
    <t>Proyeccion Ventas y Gastos (pyg) - Real y avance</t>
  </si>
  <si>
    <t>Automatización Degustación (Lunch, Mermas) (Calculadora)</t>
  </si>
  <si>
    <t>Codigo de Barras ( Español)</t>
  </si>
  <si>
    <t>Visualizar lo que planta tiene en stock para tener datos reales</t>
  </si>
  <si>
    <t>INTRANET</t>
  </si>
  <si>
    <t>PRODUCTIVIDAD</t>
  </si>
  <si>
    <t>Unificar reportes SIR/Max Point/Intranet</t>
  </si>
  <si>
    <t>Intraner</t>
  </si>
  <si>
    <t>OTRAS PLATAFORMAS - ACTIVIDADES ADMINISTRATIVAS CAR</t>
  </si>
  <si>
    <t>Tablet de meseros no responden en hora pico, se cuelgan</t>
  </si>
  <si>
    <t>sistemas internos</t>
  </si>
  <si>
    <t>Planificacion de Compras en base a Demanda (Planta, Cocina, Compras)</t>
  </si>
  <si>
    <t>Unificar clave para acceder a diferentes plataforma (actual 7 claves diferentes para el Gerente de Restaurante)</t>
  </si>
  <si>
    <t>Tablet de plataformas (agregadores) no emiten sonidos en la recepcion de pedidos</t>
  </si>
  <si>
    <t>Plataforma de Gestión; hay dias que no se puede ingresar el registro de la trampa de grasa</t>
  </si>
  <si>
    <t>Plataforma de excelencia Operativa a veces, no guarda información y se repetir el plan de acción.</t>
  </si>
  <si>
    <t>KDS no registran las mismas ordenes que se digitan en la tablet.</t>
  </si>
  <si>
    <t>Qr de plugvoc hay dias que no imprime.</t>
  </si>
  <si>
    <t>Excelencia Operativa ( no tiene indicadores y reporteria)</t>
  </si>
  <si>
    <t>Despacho  Recepción a locales desde Planta con QR</t>
  </si>
  <si>
    <t>Ordenes de Requerimientos de Repuestos y Menaje (Reporte Macro Consolidados)</t>
  </si>
  <si>
    <t>PAYROLL   (SISTEMA EXTERNO)</t>
  </si>
  <si>
    <t>Distribución de Gastos de centros de costos y mano de obra</t>
  </si>
  <si>
    <t>Distribucion manual de no procesados</t>
  </si>
  <si>
    <t>No existe comunicación  con SIR para subidas de CXC (interface)</t>
  </si>
  <si>
    <t>Depurar horarios que  no se usan en los locales</t>
  </si>
  <si>
    <t>No suben los timbrajes completos ( tienen respaldos físicos)</t>
  </si>
  <si>
    <t xml:space="preserve">Proceso subida de información de marcajes ( semanal) y alerta de novedades </t>
  </si>
  <si>
    <t>Sistema no  es flexible en el reuso  de plantillas innecesarias  vs planificación real</t>
  </si>
  <si>
    <t xml:space="preserve">Planificación presupuesto de nómina </t>
  </si>
  <si>
    <t>Sistema Payroll , es muy lento al momento de asentar plantillas y nomina locales</t>
  </si>
  <si>
    <t>PROYECTOS ADICIONALES</t>
  </si>
  <si>
    <t>SEGURIDAD YUM BRANDS</t>
  </si>
  <si>
    <t>LEY PROTECCION DE DATOS</t>
  </si>
  <si>
    <t>m</t>
  </si>
  <si>
    <t>d</t>
  </si>
  <si>
    <t>f</t>
  </si>
  <si>
    <t>g</t>
  </si>
  <si>
    <t>e</t>
  </si>
  <si>
    <t>c</t>
  </si>
  <si>
    <t>b</t>
  </si>
  <si>
    <t>a</t>
  </si>
  <si>
    <t>Columna1</t>
  </si>
  <si>
    <t>Impacto</t>
  </si>
  <si>
    <t>AREA</t>
  </si>
  <si>
    <t>OBSERVACIÓN</t>
  </si>
  <si>
    <t>PRIORIDAD CLIENTE</t>
  </si>
  <si>
    <t>PRIORIDAD PO</t>
  </si>
  <si>
    <t>dependencia</t>
  </si>
  <si>
    <t>COMPLEJIDAD</t>
  </si>
  <si>
    <t>SEMANAS</t>
  </si>
  <si>
    <t>PERSONAS</t>
  </si>
  <si>
    <t>VALOR sem</t>
  </si>
  <si>
    <t>Costo Operación</t>
  </si>
  <si>
    <t>DiferenciaDev</t>
  </si>
  <si>
    <t>Columna3</t>
  </si>
  <si>
    <t>Canales Digitales</t>
  </si>
  <si>
    <t>Envío de Menú con Descuentos</t>
  </si>
  <si>
    <t>Envío de Menú V3
Integrar las pantallas del backoffice de Mxp</t>
  </si>
  <si>
    <t>OTROS PEDIDOS PAÍSES CANALES DIGITALES</t>
  </si>
  <si>
    <t>Depende de Inyección para inicio de configuraciones</t>
  </si>
  <si>
    <t>Inyección V3 + desc</t>
  </si>
  <si>
    <t>Implmentado, Pendiente Capacitacion</t>
  </si>
  <si>
    <t>Integtración Billeteras Virtuales (Api Wallet)</t>
  </si>
  <si>
    <t>Integrar dentro del flujo de pago las billeteras virtuales:  Nequi y Daviplata - vinculo con ECOMERCE</t>
  </si>
  <si>
    <t>Inició Martes 30 Enero con nequi</t>
  </si>
  <si>
    <t>Api Kiosko</t>
  </si>
  <si>
    <t>Se debe modificar la api kiosko que se tiene actuamente en colombia,
* Salida a producción Con dependencia de prioridad para despliegue por parte de William</t>
  </si>
  <si>
    <t>PEDIDOS CAR CANALES DIGITALES</t>
  </si>
  <si>
    <t>Compromiso Matriz Regional  (Argentina, venezuela)</t>
  </si>
  <si>
    <t>Matriz Regional 2024</t>
  </si>
  <si>
    <t>Regional</t>
  </si>
  <si>
    <t>REGIÓN</t>
  </si>
  <si>
    <t>matriz regional</t>
  </si>
  <si>
    <t>(servicios websir)
* Api de cupones central creada por Victor
* Ecuador, Colombia y Chile tienen la funcionalidad.</t>
  </si>
  <si>
    <t xml:space="preserve">Integraciones Automáticas - Canales Propios -  Web DUNA </t>
  </si>
  <si>
    <t>Compromiso Matriz Regional  (Argentina)</t>
  </si>
  <si>
    <t>Integraciones Automáticas- Agregadores - + TicTuk + Trade​</t>
  </si>
  <si>
    <t>Compromiso Matriz Regional  (Colombia)</t>
  </si>
  <si>
    <t>Mxp Delivery - Dragon Tail Ecuador</t>
  </si>
  <si>
    <t>Compromiso Matriz Regional  (Venezuela, Ecuador, Chile, Colombia y Argentina)
Implementación de KDS en el counter con dragontale para todos los pedido</t>
  </si>
  <si>
    <t>ALTO</t>
  </si>
  <si>
    <t>Mxp Delivery - Dragon Tail Venezuela</t>
  </si>
  <si>
    <t>Recepción de Descuentos - APP - Pick up y kioskos</t>
  </si>
  <si>
    <t>Nuevo proyecto Kioskos</t>
  </si>
  <si>
    <t>Es decuentos, Esta en Ecuador; Confirmar Chile</t>
  </si>
  <si>
    <t>Control Motorizados/Agregadores [2] - Picking Agregadores QR</t>
  </si>
  <si>
    <t>Cl y Col: Producción  
COL: Inactivo, por que no se adapta a su operación
Ven, Ec: Pruebas
Arg: falta integración</t>
  </si>
  <si>
    <t>Control Motorizados/Agregadores [2] - Retiros de Efectivo</t>
  </si>
  <si>
    <t>Cl y Col: Producción
Ven, Ec: Pruebas
Arg: falta integración</t>
  </si>
  <si>
    <t>Inyección V3 + desc (para funcionar en produccion)</t>
  </si>
  <si>
    <t>Pendiente Arg.
En espera de priorirdad</t>
  </si>
  <si>
    <t>Upsell</t>
  </si>
  <si>
    <t>Tag Upsell inyección para poder tener info en el sistema para analitica</t>
  </si>
  <si>
    <t xml:space="preserve">Smart routing </t>
  </si>
  <si>
    <t>*</t>
  </si>
  <si>
    <t xml:space="preserve">Integración de ultima milla </t>
  </si>
  <si>
    <t>Hacer seguimiento</t>
  </si>
  <si>
    <t xml:space="preserve">Nuevas funcionalidades
Up / Cross sell Appedir </t>
  </si>
  <si>
    <t>Desarrollo en proceso Upsell y crosssell en APPEDIR</t>
  </si>
  <si>
    <t>Que debe hacer el proveedor para recibir esto.</t>
  </si>
  <si>
    <t>Ley de protección</t>
  </si>
  <si>
    <t>Recepción de aceptaciones de la ley de protección de datos de los kioscos Ecuador</t>
  </si>
  <si>
    <t>Kiosco V3</t>
  </si>
  <si>
    <t>Nueva Api Kioscos</t>
  </si>
  <si>
    <r>
      <rPr>
        <b/>
        <sz val="11"/>
        <color rgb="FF000000"/>
        <rFont val="Calibri"/>
        <family val="2"/>
      </rPr>
      <t xml:space="preserve">KFC Fulfillment </t>
    </r>
    <r>
      <rPr>
        <sz val="11"/>
        <color rgb="FF000000"/>
        <rFont val="Calibri"/>
        <family val="2"/>
      </rPr>
      <t xml:space="preserve">Campo Delivery time </t>
    </r>
  </si>
  <si>
    <t>BAJO</t>
  </si>
  <si>
    <r>
      <rPr>
        <b/>
        <sz val="10"/>
        <color rgb="FF000000"/>
        <rFont val="Calibri"/>
        <family val="2"/>
      </rPr>
      <t xml:space="preserve">KFC Fulfillment </t>
    </r>
    <r>
      <rPr>
        <sz val="10"/>
        <color rgb="FF000000"/>
        <rFont val="Calibri"/>
        <family val="2"/>
      </rPr>
      <t xml:space="preserve"> Compensaciones  JV</t>
    </r>
  </si>
  <si>
    <t>No</t>
  </si>
  <si>
    <t>p22</t>
  </si>
  <si>
    <t>Inyección v3 y Descuentos</t>
  </si>
  <si>
    <t>Puesta en producción para la recepción de cupones de descuento y monto, como de productos con descuento (Ecuador, Colombia y Venezuela)
Migración de todos los canales a inyección v3, tanto propio como agregadores (Chile Argentina)
Puesta en producción para la recepción de cupones de descuento y monto, como de productos con descuento (Chile y Argentina)
Migración a V3 del canal de Xone</t>
  </si>
  <si>
    <t>Funcionalidades Kiosco Venezuela</t>
  </si>
  <si>
    <t>Igualar funcionalidades de mxp y capacitaciones al equipo -venezuela (Upsell, Categoría por Horario, Cupones QR)</t>
  </si>
  <si>
    <t>p24</t>
  </si>
  <si>
    <t>Funcionalidades APP Venezuela</t>
  </si>
  <si>
    <t>Fidelización JV</t>
  </si>
  <si>
    <t>Paymentez Diners y Discover</t>
  </si>
  <si>
    <t>Juan Valdez Fullfilment</t>
  </si>
  <si>
    <t>p27</t>
  </si>
  <si>
    <t xml:space="preserve">Appedir y KFC cambios de estado </t>
  </si>
  <si>
    <t xml:space="preserve">Al finalizar una orden empiezan a llegar los cambios de estado seguidos, y no en el momento adecuado cuando el pedido esta en proceso. </t>
  </si>
  <si>
    <t>KFC Fidelización (Lealtad Simple, puntos y tiers)</t>
  </si>
  <si>
    <t>Recepción de órdenes con descuentos y lealtad ***</t>
  </si>
  <si>
    <t>KFC Fidelización  (cupones avanzandos)</t>
  </si>
  <si>
    <t>Recepción de órdenes con descuentos y lealtad ***
MXP para el Q3 debe poder receptar puntos</t>
  </si>
  <si>
    <t>p30</t>
  </si>
  <si>
    <t>Kioskos kfc</t>
  </si>
  <si>
    <t>Implementación de kioskos en todas las tiendas KFC y Wendys (40 pts. ventas)</t>
  </si>
  <si>
    <t>Funcionalidad Actualmente solo en Ecuador y Colombia</t>
  </si>
  <si>
    <r>
      <rPr>
        <b/>
        <sz val="11"/>
        <color rgb="FF000000"/>
        <rFont val="Calibri"/>
        <family val="2"/>
      </rPr>
      <t xml:space="preserve">KFC Fulfillment </t>
    </r>
    <r>
      <rPr>
        <sz val="11"/>
        <color rgb="FF000000"/>
        <rFont val="Calibri"/>
        <family val="2"/>
      </rPr>
      <t>KFC Flash* pendiente definición con ops</t>
    </r>
  </si>
  <si>
    <t>Kioskos wendys</t>
  </si>
  <si>
    <t>Depende de que instalen Maxpoint en Wendys</t>
  </si>
  <si>
    <t>Descuentos por Bin de Tarjetas Kioscos</t>
  </si>
  <si>
    <t>APi de BIN Expuesta por MXP</t>
  </si>
  <si>
    <t>Nuevo proyecto de kioskos kfc</t>
  </si>
  <si>
    <t>API V3 (inyeccion)</t>
  </si>
  <si>
    <t>Ya se encuentra mapeada.</t>
  </si>
  <si>
    <t>Compromiso Matriz Regional  (Ecuador, Argentina)</t>
  </si>
  <si>
    <t>Maxpoint</t>
  </si>
  <si>
    <r>
      <t xml:space="preserve">Existen 2 versiones:
Colombia en producción (v2)
Chile, Venezuela (v1)
Ecuador, Argentina (ninguna)
</t>
    </r>
    <r>
      <rPr>
        <b/>
        <sz val="9"/>
        <color rgb="FF000000"/>
        <rFont val="Aptos Narrow"/>
        <family val="2"/>
        <scheme val="minor"/>
      </rPr>
      <t>Todas se deben actualizar a verson 2</t>
    </r>
  </si>
  <si>
    <t>Envío Menús Directo a Agregadores KFC</t>
  </si>
  <si>
    <t>Integraciones Automáticas- Agregadores - + Justo​+Trade</t>
  </si>
  <si>
    <t>Se debe desplegar MXP en KFC y Wendys</t>
  </si>
  <si>
    <t>Mxp Delivery - Dragon Tail Chile</t>
  </si>
  <si>
    <t>Depende de ejecución de proyecto de integración multimarca (aprox marzo)</t>
  </si>
  <si>
    <t>DEUNA BANCO DEL PICHINCHA Gus, Tropi y Menestras</t>
  </si>
  <si>
    <t>Integración Con DeUna Gus, Tropi y Menestras</t>
  </si>
  <si>
    <t>Tracking y Chat de motos</t>
  </si>
  <si>
    <t>Tracking de motos y cambios de estado desde la app con Dragontail
APP KFC CO
APP KFC EC</t>
  </si>
  <si>
    <t>Solicitar contexto a T.D para Chat de motos</t>
  </si>
  <si>
    <t>Metodo de pago Kiosco</t>
  </si>
  <si>
    <t>Integrar el API Wallet en Maxpoint de todos los países para usar las Wallets, en CL, CO y EC prioridad 1, Mercado Pago Pay , Daviplata Colombia, Nequi Colombia, Edenred Chile, Sodexo Chile, Amipass Chile, Deuna Banco Pichincha Ecuador</t>
  </si>
  <si>
    <t>Primero se debe tener nueva api kioskos que termina en Q1</t>
  </si>
  <si>
    <t>p42</t>
  </si>
  <si>
    <t>KFC Métodos de Pago</t>
  </si>
  <si>
    <t>???</t>
  </si>
  <si>
    <t>Funcionalidades Kiosco Upsell y Crosell</t>
  </si>
  <si>
    <t>Integración Maxpoint con Agregadores</t>
  </si>
  <si>
    <t xml:space="preserve">Homologar integración a través de trade. </t>
  </si>
  <si>
    <t xml:space="preserve">Swt transaccional </t>
  </si>
  <si>
    <t>Generar el endpoint para alimentar la data del SIR desde el app delivery</t>
  </si>
  <si>
    <t>p46</t>
  </si>
  <si>
    <r>
      <rPr>
        <b/>
        <sz val="11"/>
        <color rgb="FF000000"/>
        <rFont val="Calibri"/>
        <family val="2"/>
      </rPr>
      <t xml:space="preserve">KFC Fulfillment </t>
    </r>
    <r>
      <rPr>
        <sz val="11"/>
        <color rgb="FF000000"/>
        <rFont val="Calibri"/>
        <family val="2"/>
      </rPr>
      <t>Tiempo rango de entrega</t>
    </r>
  </si>
  <si>
    <r>
      <rPr>
        <b/>
        <sz val="11"/>
        <color rgb="FF000000"/>
        <rFont val="Calibri"/>
        <family val="2"/>
      </rPr>
      <t xml:space="preserve">KFC Fulfillment </t>
    </r>
    <r>
      <rPr>
        <sz val="11"/>
        <color rgb="FF000000"/>
        <rFont val="Calibri"/>
        <family val="2"/>
      </rPr>
      <t>Poder programar pedidos a domicilio en el mismo día.</t>
    </r>
  </si>
  <si>
    <r>
      <rPr>
        <b/>
        <sz val="11"/>
        <color rgb="FF000000"/>
        <rFont val="Calibri"/>
        <family val="2"/>
      </rPr>
      <t>KFC Fulfillment</t>
    </r>
    <r>
      <rPr>
        <sz val="11"/>
        <color rgb="FF000000"/>
        <rFont val="Calibri"/>
        <family val="2"/>
      </rPr>
      <t xml:space="preserve"> Incluir Pickup para Autorápido, con un diferente menú</t>
    </r>
  </si>
  <si>
    <r>
      <rPr>
        <b/>
        <sz val="11"/>
        <color rgb="FF000000"/>
        <rFont val="Calibri"/>
        <family val="2"/>
      </rPr>
      <t>KFC Fulfillment</t>
    </r>
    <r>
      <rPr>
        <sz val="11"/>
        <color rgb="FF000000"/>
        <rFont val="Calibri"/>
        <family val="2"/>
      </rPr>
      <t xml:space="preserve"> Incluir Pickup Curbside (pedir desde el auto en un lote de estacionamiento)</t>
    </r>
  </si>
  <si>
    <r>
      <rPr>
        <b/>
        <sz val="11"/>
        <color rgb="FF000000"/>
        <rFont val="Calibri"/>
        <family val="2"/>
      </rPr>
      <t xml:space="preserve">KFC Fulfillment  </t>
    </r>
    <r>
      <rPr>
        <sz val="11"/>
        <color rgb="FF000000"/>
        <rFont val="Calibri"/>
        <family val="2"/>
      </rPr>
      <t>Aceptar pago de propinas para el motorizado desde la app</t>
    </r>
  </si>
  <si>
    <t xml:space="preserve">KFC Fulfillment  Pedidos programados  Appedir </t>
  </si>
  <si>
    <t>En el home se deberá colocar un botón de diga “programar” o un nombre similar que dirigirá a los clientes directamente a todo el menú durante la compra deberá estar visible que el pedido es programado.
La hora que el cliente coloque será la que él desea su comida en domicilio
Compras con tarjeta o efectivo Trade deberá enviar una notificación a KFC del pedido 40 minutos antes.</t>
  </si>
  <si>
    <t>p52</t>
  </si>
  <si>
    <r>
      <rPr>
        <b/>
        <sz val="10"/>
        <color rgb="FF000000"/>
        <rFont val="Calibri"/>
        <family val="2"/>
      </rPr>
      <t xml:space="preserve">KFC Fulfillment  </t>
    </r>
    <r>
      <rPr>
        <sz val="10"/>
        <color rgb="FF000000"/>
        <rFont val="Calibri"/>
        <family val="2"/>
      </rPr>
      <t xml:space="preserve">Appedir flash - de acuerdo a zona de pedido del cliente se active las tiendas mas cercanas y que el envío sea en menos de xxxx minutos </t>
    </r>
  </si>
  <si>
    <r>
      <rPr>
        <b/>
        <sz val="10"/>
        <color rgb="FF000000"/>
        <rFont val="Calibri"/>
        <family val="2"/>
      </rPr>
      <t xml:space="preserve">KFC Fulfillment  </t>
    </r>
    <r>
      <rPr>
        <sz val="10"/>
        <color rgb="FF000000"/>
        <rFont val="Calibri"/>
        <family val="2"/>
      </rPr>
      <t xml:space="preserve">Propinas  Appedir </t>
    </r>
  </si>
  <si>
    <r>
      <rPr>
        <b/>
        <sz val="10"/>
        <color rgb="FF000000"/>
        <rFont val="Calibri"/>
        <family val="2"/>
      </rPr>
      <t xml:space="preserve">KFC Fulfillment </t>
    </r>
    <r>
      <rPr>
        <sz val="10"/>
        <color rgb="FF000000"/>
        <rFont val="Calibri"/>
        <family val="2"/>
      </rPr>
      <t xml:space="preserve"> Compensaciones  Appedir </t>
    </r>
  </si>
  <si>
    <t>Consola  Administración QR Digitales (Cupones Promocionales)</t>
  </si>
  <si>
    <t>Pantalla para rastreo de pedidos motorizados en CDC</t>
  </si>
  <si>
    <t>Personalización APP</t>
  </si>
  <si>
    <t>Funcionalidades Kiosko</t>
  </si>
  <si>
    <t>Envío estructura de preguntas de 3er nivel en menú e inyección 
Mejorar la densidad de los cupones 
Enviar un flag con idioma del menú en inglés en el mismo menú del Kiosco
envio de presas por receta dentro de la imyección / Pruebas
Integración RC Kiosco RUT</t>
  </si>
  <si>
    <t>Fidelización  Appedir</t>
  </si>
  <si>
    <t xml:space="preserve">Con la app se debe poder escanear un QR que va a estar en cada local, con el fin de acumular puntos así como poder redimir, se actualiza en ese mismo momento cuando se haga las dos acciones. 
Trade debe enviar a MXP un llamado de que un cliente esta en el local, y cuando se factura el pedido se envia la información a Trade para que en el front se muestre los puntos obtenidos. 
</t>
  </si>
  <si>
    <t>Descuentos Kiosco Chile</t>
  </si>
  <si>
    <t>Descuentos en la inyección de Kiosco a Maxpoint 
Implementación de v3 en kioscos y su posterior implemnetación de cupones de descuento y descuentos en productos</t>
  </si>
  <si>
    <t>p63</t>
  </si>
  <si>
    <t>Appedir Fullfilment</t>
  </si>
  <si>
    <t>p64</t>
  </si>
  <si>
    <t>Eficiencia Sync menú</t>
  </si>
  <si>
    <t>Buscar eficiencias para enviar solo los cambios hechos en el menú</t>
  </si>
  <si>
    <t>p65</t>
  </si>
  <si>
    <r>
      <rPr>
        <b/>
        <sz val="11"/>
        <color rgb="FF000000"/>
        <rFont val="Calibri"/>
        <family val="2"/>
      </rPr>
      <t>KFC Fulfillment</t>
    </r>
    <r>
      <rPr>
        <sz val="11"/>
        <color rgb="FF000000"/>
        <rFont val="Calibri"/>
        <family val="2"/>
      </rPr>
      <t xml:space="preserve"> Incluir Pickup Tableside (pedir desde la mesa con un número de mesa)</t>
    </r>
  </si>
  <si>
    <t>Canje de Cupones Cortesia</t>
  </si>
  <si>
    <t>Implementar flujo de proceso que permita generar cupones canjeable desde el SIR, y ejecución en Maxpoint. (incluye cupones generados desde del app / Kioko)</t>
  </si>
  <si>
    <t>p68</t>
  </si>
  <si>
    <t>Mxp Delivery - Dragon Tail Argentina</t>
  </si>
  <si>
    <t>Depende decisión KDS</t>
  </si>
  <si>
    <t>p69</t>
  </si>
  <si>
    <t>Operatividad</t>
  </si>
  <si>
    <t>Habilitar a Maxpoint para que ingrese el pago pagando desde la aplicación con un QR (counter y Kiosco) Chile</t>
  </si>
  <si>
    <t>Funcionalidades Kiosco Facturación</t>
  </si>
  <si>
    <t>Validar el funcionamiento que tendrá el Kiosco con la facturación 
Que puedas enviarnos junto con la configuracion del kiosco, los parametros que se deben pedir segun el tipo de facturación</t>
  </si>
  <si>
    <t>Funcionalidades APP Chile</t>
  </si>
  <si>
    <t xml:space="preserve">Validar el funcionamiento y entrega de la URL para seguimiento </t>
  </si>
  <si>
    <t>p74</t>
  </si>
  <si>
    <t>(Mejorar la densidad de los códigos QR de cupones )</t>
  </si>
  <si>
    <t>Ec</t>
  </si>
  <si>
    <t>12</t>
  </si>
  <si>
    <t>1</t>
  </si>
  <si>
    <t>Canal</t>
  </si>
  <si>
    <t>Fecha</t>
  </si>
  <si>
    <t>Web KFC Argenitna</t>
  </si>
  <si>
    <t>Puestae en producción de la web de Argentina con la integración TRADE -Deuna
Pruebas de inyección</t>
  </si>
  <si>
    <t>WEB Argentina</t>
  </si>
  <si>
    <t xml:space="preserve">APP KFC </t>
  </si>
  <si>
    <t>Kiosco</t>
  </si>
  <si>
    <t>APP KFC Chile</t>
  </si>
  <si>
    <t>Kiosco Ecuador</t>
  </si>
  <si>
    <t>Kiosco Argentina</t>
  </si>
  <si>
    <t xml:space="preserve">Puesta en producción Kiosco Online Argentina; Ambientes, EP, Pruebas </t>
  </si>
  <si>
    <t>KFC Fulfillment</t>
  </si>
  <si>
    <t>Campo Delivery time, Opción Under 20 minutes, Tiempo de rango de entrega, pickup UI, Programas pedidos para el día, Ick up autorápidos, Pick up cubside, pick up table side, Aceptar Propinas.</t>
  </si>
  <si>
    <t>APP KFC</t>
  </si>
  <si>
    <t>KFC Fidelización</t>
  </si>
  <si>
    <t>KFC Fidelización (Lealtad Simple, puntos y tiers) / KFC Fidelización  (cupones avanzandos)
MXP para el Q3 debe poder receptar puntos</t>
  </si>
  <si>
    <t>KFC APP</t>
  </si>
  <si>
    <t>Juan Valdez</t>
  </si>
  <si>
    <t>Puesta en producción para la recepción de cupones de descuento y monto, como de productos con descuento (Ecuador, Colombia y Venezuela)
Migración de todos los canales a inyección v3, tanto propio como agregadores (Chile Argentina)
Puesta en producción para la recepción de cupones de descuento y monto, como de productos con descuento (Chile y Argentina)
Migración a V3 del canal de Xone</t>
  </si>
  <si>
    <t>Inyección V3</t>
  </si>
  <si>
    <t>Inyección API Kiosco</t>
  </si>
  <si>
    <t>Nueva estructura de inyección para kioscos (inyección v3 + todo lo que conlleva)</t>
  </si>
  <si>
    <t xml:space="preserve">Integración con uber direct y flydelivery </t>
  </si>
  <si>
    <t>Multi marca</t>
  </si>
  <si>
    <t>Kiosco Venezuela</t>
  </si>
  <si>
    <t>Kiosco Chile</t>
  </si>
  <si>
    <t>APP KFC Venezuela</t>
  </si>
  <si>
    <t>Todos</t>
  </si>
  <si>
    <t>Kiosco y KFC APP</t>
  </si>
  <si>
    <t>n</t>
  </si>
  <si>
    <t>En la Actualidad</t>
  </si>
  <si>
    <t>Aplicación proyecto</t>
  </si>
  <si>
    <t>Responsable</t>
  </si>
  <si>
    <t>Estatus</t>
  </si>
  <si>
    <t>detalles</t>
  </si>
  <si>
    <t>Intranet</t>
  </si>
  <si>
    <t>inestabilidad en la  información de Ventas MP en Intranet</t>
  </si>
  <si>
    <t>Amarilis - VM</t>
  </si>
  <si>
    <t xml:space="preserve">Realizar pruebas y Certificación de proyecto </t>
  </si>
  <si>
    <t>Maxpoint Legacy</t>
  </si>
  <si>
    <t>Max Point</t>
  </si>
  <si>
    <t>MP permite ingreso Manual  de Agregadores</t>
  </si>
  <si>
    <t>Bloquear la forma de pago de AGREGADORES EN SIR Y MAX POINT (Uber / Rappi / Pedidos Ya /  Appedir). - 
Crear un acceso directo para inyectar ventas cuando se caiga el sistema.  (Solo CDC debería poder hacer inyecciones)</t>
  </si>
  <si>
    <t>Jose - Jaime - VM</t>
  </si>
  <si>
    <t>SOLICITADO (PROYECTO CELULA - PRESUPUESTO)</t>
  </si>
  <si>
    <t>Sir</t>
  </si>
  <si>
    <t>Dificultad en análisis - Datos no segmentados producto</t>
  </si>
  <si>
    <t>Naty - VM</t>
  </si>
  <si>
    <t xml:space="preserve">verificar en producción </t>
  </si>
  <si>
    <t xml:space="preserve">Existe varias tarjetas, lo cual dificulta la Operación y control </t>
  </si>
  <si>
    <t xml:space="preserve">Centralizar la información en el cierre de caja del SIR en una sola cuenta contable. </t>
  </si>
  <si>
    <t>CON - AUD - SIS</t>
  </si>
  <si>
    <t xml:space="preserve">Solicitar PROYECTO </t>
  </si>
  <si>
    <t>Verficar con soporte</t>
  </si>
  <si>
    <t xml:space="preserve">No se puede realizar Arqueos de Producto </t>
  </si>
  <si>
    <t>Aplicar en todas las cadenas la interface de cambio de turno ( arqueos de producto )</t>
  </si>
  <si>
    <t xml:space="preserve">kfc esta listo </t>
  </si>
  <si>
    <t>INICIADO</t>
  </si>
  <si>
    <t>MP - SIR</t>
  </si>
  <si>
    <t>Jose - Naty - VM</t>
  </si>
  <si>
    <t xml:space="preserve">Ajuste al sistema </t>
  </si>
  <si>
    <t>Verificar uso a través de la VPN y Consultar a Stalin</t>
  </si>
  <si>
    <t>Varios</t>
  </si>
  <si>
    <t xml:space="preserve">No existe </t>
  </si>
  <si>
    <t>Implementar una APP,  donde el auditor pueda acceder a los diferentes sistemas en el celular: SIR / MAX POINT / FACTURACION ELECTRONICA. (Solo Android) - Verificar acceso a través de la VPN</t>
  </si>
  <si>
    <t>Jaime - WM</t>
  </si>
  <si>
    <t>Jose - VM</t>
  </si>
  <si>
    <t xml:space="preserve">NC. Sin tiempo de proceso - Genera posibles fraudes </t>
  </si>
  <si>
    <t xml:space="preserve">Configurar en MAX POINT tiempo limite para realizar la NOTA DE CREDITO </t>
  </si>
  <si>
    <t>Darwin  - VM.</t>
  </si>
  <si>
    <t>Créditos relacionados: Todo es manual, carga laboral</t>
  </si>
  <si>
    <t xml:space="preserve">Las venta de CREDITO RELACIONADO en MP.  Deben crear una opción de ingreso desplegando la selección de: centros de costos, quien autoriza y generar mail de Autorización. </t>
  </si>
  <si>
    <t>Campaña Solidaria: todos los procesos son manuales</t>
  </si>
  <si>
    <t>Ajuste al sistema  SIR</t>
  </si>
  <si>
    <t xml:space="preserve">Desarrollar un modulo de auditoria en el SIR son donde se incorpore  Evaluación Auditoria </t>
  </si>
  <si>
    <t xml:space="preserve">En el Modulo de: SEGURIDAD / REPORTE AUDITORIA / se pueda identificar detalles del movimiento. </t>
  </si>
  <si>
    <t>MAX POINT</t>
  </si>
  <si>
    <t xml:space="preserve"> </t>
  </si>
  <si>
    <t>Comentarios</t>
  </si>
  <si>
    <t>Levantar listado de reportes adicionales de los que se necesita realizar cambios</t>
  </si>
  <si>
    <t>1.1</t>
  </si>
  <si>
    <t>1.2</t>
  </si>
  <si>
    <t>FINALIZADO: Compra V4 pendiente la fecha de activación por capacitación Andres V.</t>
  </si>
  <si>
    <t>reu</t>
  </si>
  <si>
    <t>Esperar la reunión de pedidos sugeridos para validar la mejor solución</t>
  </si>
  <si>
    <t>Pendiente reunión 05/02</t>
  </si>
  <si>
    <t>FINALIZADO: Pantalla lista, falta OK de Mario de los cambios en SAP // Antes del paso a producción validarlo con Sandrita para aprovación de operaciones</t>
  </si>
  <si>
    <t>A espera de desarrollo BI</t>
  </si>
  <si>
    <r>
      <rPr>
        <b/>
        <sz val="11"/>
        <color theme="1"/>
        <rFont val="Aptos Narrow"/>
        <family val="2"/>
        <scheme val="minor"/>
      </rPr>
      <t>Pendiente Sandrita:</t>
    </r>
    <r>
      <rPr>
        <sz val="11"/>
        <color theme="1"/>
        <rFont val="Aptos Narrow"/>
        <family val="2"/>
        <scheme val="minor"/>
      </rPr>
      <t xml:space="preserve"> enviar archivo unificado de proyecciones para subir a SIR</t>
    </r>
  </si>
  <si>
    <t>Proyección de producción</t>
  </si>
  <si>
    <t>Vladimir S. - Agregar a la reunión del 5/02 para armar un solo requerimiento</t>
  </si>
  <si>
    <t>Cambio de costo maximo y minimo costo configurado en la compra y Usos y Consumos</t>
  </si>
  <si>
    <t>SIR Movile - Piloto en Venezuela</t>
  </si>
  <si>
    <t>Inclusión de PLUS en el LUNCH, MERMAS y  DEGUSTACIÓN</t>
  </si>
  <si>
    <t>A espera de desarrollo MXP</t>
  </si>
  <si>
    <t xml:space="preserve">Planificación de Recetas y subrecetas para Lunch </t>
  </si>
  <si>
    <t>productos, articulos y presupuesto total al mes</t>
  </si>
  <si>
    <t>Pantalla de administración en SIR para ingreso y administración</t>
  </si>
  <si>
    <t>Reunión con SAP para entender el calculo de costo que realiza</t>
  </si>
  <si>
    <t xml:space="preserve">Sistema de Facturación  Sir Móvil </t>
  </si>
  <si>
    <t>(SIR MOVILE)</t>
  </si>
  <si>
    <t>Por revisar el requerimiento - Sandrita</t>
  </si>
  <si>
    <t>Pedidos Servicios Horneado</t>
  </si>
  <si>
    <t>Jaime va a evaluar el proceso (MAXPOINT)</t>
  </si>
  <si>
    <t>Pantalla para realizar la planificación de plus y subrecetas. Que se carge el detalle automaticamente según planificación y se pueden agregar más artículos y subrecetas</t>
  </si>
  <si>
    <t>V2. Calculo de proyecciones sugeridas de pyg</t>
  </si>
  <si>
    <t>Reunión con Sandrita en marzo para ver cálculos</t>
  </si>
  <si>
    <t>Prioridad baja - A espera de nuevo MXP</t>
  </si>
  <si>
    <t>?? Sandrita pendiente por levantar el flujo</t>
  </si>
  <si>
    <t>Usos y Consumos sobrantes/faltantes</t>
  </si>
  <si>
    <t>en desarrollo - enero</t>
  </si>
  <si>
    <t>Vladimir M</t>
  </si>
  <si>
    <t>Cashless Aeropuero - nueva forma de pago</t>
  </si>
  <si>
    <t>Migración de servicios de payroll</t>
  </si>
  <si>
    <t>Cupones de Nomina</t>
  </si>
  <si>
    <t>Ajustes - Interfaz parcial</t>
  </si>
  <si>
    <t>Actualización Versión SIR Regional</t>
  </si>
  <si>
    <t>Costos compra</t>
  </si>
  <si>
    <t>jorge.samaniego@kfc.com.ec</t>
  </si>
  <si>
    <t>sandra.pailLacho@kfc.com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</si>
</sst>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6" formatCode="&quot;$&quot;#,##0;[Red]&quot;$&quot;\-#,##0"/>
    <numFmt numFmtId="44" formatCode="_ &quot;$&quot;* #,##0.00_ ;_ &quot;$&quot;* \-#,##0.00_ ;_ &quot;$&quot;* &quot;-&quot;??_ ;_ @_ "/>
    <numFmt numFmtId="164" formatCode="&quot;$&quot;#,##0.00"/>
    <numFmt numFmtId="165" formatCode="_ &quot;$&quot;* #,##0_ ;_ &quot;$&quot;* \-#,##0_ ;_ &quot;$&quot;* &quot;-&quot;??_ ;_ @_ "/>
    <numFmt numFmtId="166" formatCode="_-[$$-409]* #,##0_ ;_-[$$-409]* \-#,##0\ ;_-[$$-409]* &quot;-&quot;??_ ;_-@_ "/>
    <numFmt numFmtId="167" formatCode="[$-C0A]d\-mmm;@"/>
    <numFmt numFmtId="168" formatCode="0.0"/>
  </numFmts>
  <fonts count="93">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9"/>
      <color indexed="81"/>
      <name val="Tahoma"/>
      <family val="2"/>
    </font>
    <font>
      <b/>
      <sz val="9"/>
      <color indexed="81"/>
      <name val="Tahoma"/>
      <family val="2"/>
    </font>
    <font>
      <sz val="11"/>
      <color rgb="FF000000"/>
      <name val="Calibri"/>
      <family val="2"/>
    </font>
    <font>
      <sz val="11"/>
      <color theme="1"/>
      <name val="Calibri"/>
      <family val="2"/>
    </font>
    <font>
      <sz val="10"/>
      <color theme="1"/>
      <name val="Arial"/>
      <family val="2"/>
    </font>
    <font>
      <sz val="10"/>
      <color rgb="FF000000"/>
      <name val="Calibri"/>
      <family val="2"/>
    </font>
    <font>
      <sz val="12"/>
      <color rgb="FF1F497D"/>
      <name val="Calibri"/>
      <family val="2"/>
    </font>
    <font>
      <sz val="11"/>
      <color rgb="FF1F497D"/>
      <name val="Calibri"/>
      <family val="2"/>
    </font>
    <font>
      <sz val="11"/>
      <color rgb="FF1F497D"/>
      <name val="Aptos Narrow"/>
      <family val="2"/>
      <scheme val="minor"/>
    </font>
    <font>
      <sz val="11"/>
      <color rgb="FFC00000"/>
      <name val="Aptos Narrow"/>
      <family val="2"/>
      <scheme val="minor"/>
    </font>
    <font>
      <b/>
      <sz val="10"/>
      <color theme="1"/>
      <name val="Aptos Narrow"/>
      <family val="2"/>
      <scheme val="minor"/>
    </font>
    <font>
      <b/>
      <sz val="11"/>
      <color theme="1"/>
      <name val="Aptos Display"/>
      <family val="2"/>
      <scheme val="major"/>
    </font>
    <font>
      <b/>
      <sz val="14"/>
      <color theme="0"/>
      <name val="Aptos Narrow"/>
      <family val="2"/>
      <scheme val="minor"/>
    </font>
    <font>
      <b/>
      <sz val="16"/>
      <color theme="1"/>
      <name val="Aptos Narrow"/>
      <family val="2"/>
      <scheme val="minor"/>
    </font>
    <font>
      <b/>
      <sz val="12"/>
      <color theme="1"/>
      <name val="Aptos Narrow"/>
      <family val="2"/>
      <scheme val="minor"/>
    </font>
    <font>
      <sz val="20"/>
      <color theme="1"/>
      <name val="Aptos Display"/>
      <family val="2"/>
      <scheme val="major"/>
    </font>
    <font>
      <sz val="16"/>
      <color theme="1"/>
      <name val="Aptos Narrow"/>
      <family val="2"/>
      <scheme val="minor"/>
    </font>
    <font>
      <b/>
      <sz val="18"/>
      <color theme="0"/>
      <name val="Aptos Narrow"/>
      <family val="2"/>
      <scheme val="minor"/>
    </font>
    <font>
      <sz val="14"/>
      <color theme="1"/>
      <name val="Aptos Narrow"/>
      <family val="2"/>
      <scheme val="minor"/>
    </font>
    <font>
      <sz val="26"/>
      <name val="Microsoft JhengHei UI Light"/>
      <family val="2"/>
    </font>
    <font>
      <sz val="9"/>
      <color theme="1"/>
      <name val="Aptos Narrow"/>
      <family val="2"/>
      <scheme val="minor"/>
    </font>
    <font>
      <b/>
      <u/>
      <sz val="11"/>
      <color theme="1"/>
      <name val="Aptos Narrow"/>
      <family val="2"/>
      <scheme val="minor"/>
    </font>
    <font>
      <b/>
      <sz val="11"/>
      <color rgb="FF000000"/>
      <name val="Calibri"/>
      <family val="2"/>
    </font>
    <font>
      <sz val="9"/>
      <color theme="1"/>
      <name val="Calibri"/>
      <family val="2"/>
    </font>
    <font>
      <sz val="9"/>
      <color rgb="FF000000"/>
      <name val="Calibri"/>
      <family val="2"/>
    </font>
    <font>
      <sz val="8"/>
      <name val="Aptos Narrow"/>
      <family val="2"/>
      <scheme val="minor"/>
    </font>
    <font>
      <b/>
      <sz val="10"/>
      <color rgb="FF000000"/>
      <name val="Calibri"/>
      <family val="2"/>
    </font>
    <font>
      <b/>
      <sz val="9"/>
      <color rgb="FF000000"/>
      <name val="Aptos Narrow"/>
      <family val="2"/>
      <scheme val="minor"/>
    </font>
    <font>
      <sz val="11"/>
      <color rgb="FF444444"/>
      <name val="Calibri"/>
      <family val="2"/>
      <charset val="1"/>
    </font>
    <font>
      <sz val="9"/>
      <color rgb="FF000000"/>
      <name val="Aptos Narrow"/>
      <family val="2"/>
      <scheme val="minor"/>
    </font>
    <font>
      <b/>
      <sz val="16"/>
      <color theme="0"/>
      <name val="Aptos Narrow"/>
      <family val="2"/>
      <scheme val="minor"/>
    </font>
    <font>
      <sz val="9"/>
      <color theme="1"/>
      <name val="Arial"/>
      <family val="2"/>
    </font>
    <font>
      <sz val="9"/>
      <color rgb="FF000000"/>
      <name val="Arial"/>
      <family val="2"/>
    </font>
    <font>
      <sz val="9"/>
      <color rgb="FFC00000"/>
      <name val="Arial"/>
      <family val="2"/>
    </font>
    <font>
      <b/>
      <sz val="9"/>
      <color theme="1"/>
      <name val="Arial"/>
      <family val="2"/>
    </font>
    <font>
      <b/>
      <sz val="9"/>
      <color rgb="FF000000"/>
      <name val="Arial"/>
      <family val="2"/>
    </font>
    <font>
      <sz val="10"/>
      <color theme="1"/>
      <name val="Aptos Narrow"/>
      <family val="2"/>
      <scheme val="minor"/>
    </font>
    <font>
      <sz val="9"/>
      <color theme="1"/>
      <name val="Lato"/>
      <family val="2"/>
    </font>
    <font>
      <b/>
      <sz val="9"/>
      <color theme="1"/>
      <name val="Lato"/>
      <family val="2"/>
    </font>
    <font>
      <sz val="9"/>
      <color rgb="FFFF0000"/>
      <name val="Arial"/>
      <family val="2"/>
    </font>
    <font>
      <b/>
      <sz val="9"/>
      <color rgb="FFFF0000"/>
      <name val="Arial"/>
      <family val="2"/>
    </font>
    <font>
      <sz val="10"/>
      <color theme="1"/>
      <name val="Aptos Display"/>
      <family val="2"/>
      <scheme val="major"/>
    </font>
    <font>
      <sz val="11"/>
      <color theme="1"/>
      <name val="72"/>
      <family val="2"/>
    </font>
    <font>
      <sz val="11"/>
      <color rgb="FF000000"/>
      <name val="72"/>
      <family val="2"/>
    </font>
    <font>
      <u/>
      <sz val="11"/>
      <color rgb="FF000000"/>
      <name val="72"/>
      <family val="2"/>
    </font>
    <font>
      <b/>
      <sz val="11"/>
      <color theme="1"/>
      <name val="72"/>
      <family val="2"/>
    </font>
    <font>
      <sz val="11"/>
      <color rgb="FFFFFFFF"/>
      <name val="72"/>
      <family val="2"/>
    </font>
    <font>
      <b/>
      <sz val="11"/>
      <color rgb="FFFFFFFF"/>
      <name val="72"/>
      <family val="2"/>
    </font>
    <font>
      <b/>
      <sz val="20"/>
      <color theme="1"/>
      <name val="72"/>
      <family val="2"/>
    </font>
    <font>
      <strike/>
      <sz val="11"/>
      <color theme="1"/>
      <name val="Aptos Narrow"/>
      <family val="2"/>
      <scheme val="minor"/>
    </font>
    <font>
      <sz val="11"/>
      <name val="Aptos Narrow"/>
      <family val="2"/>
      <scheme val="minor"/>
    </font>
    <font>
      <sz val="9"/>
      <color rgb="FF3F3F76"/>
      <name val="Arial"/>
      <family val="2"/>
    </font>
    <font>
      <sz val="9"/>
      <color theme="7" tint="-0.499984740745262"/>
      <name val="Arial"/>
      <family val="2"/>
    </font>
    <font>
      <sz val="11"/>
      <color rgb="FF006100"/>
      <name val="Calibri"/>
      <family val="2"/>
    </font>
    <font>
      <u/>
      <sz val="11"/>
      <color theme="10"/>
      <name val="Aptos Narrow"/>
      <family val="2"/>
      <scheme val="minor"/>
    </font>
    <font>
      <sz val="11"/>
      <color rgb="FF000000"/>
      <name val="Calibri"/>
      <family val="2"/>
      <charset val="1"/>
    </font>
    <font>
      <sz val="11"/>
      <color theme="8" tint="0.79998168889431442"/>
      <name val="Aptos Narrow"/>
      <family val="2"/>
      <scheme val="minor"/>
    </font>
    <font>
      <strike/>
      <sz val="11"/>
      <color theme="8" tint="0.79998168889431442"/>
      <name val="Aptos Narrow"/>
      <family val="2"/>
      <scheme val="minor"/>
    </font>
    <font>
      <b/>
      <sz val="11"/>
      <color rgb="FF000000"/>
      <name val="Arial"/>
      <family val="2"/>
    </font>
    <font>
      <sz val="11"/>
      <color rgb="FFFF0000"/>
      <name val="72"/>
    </font>
    <font>
      <b/>
      <sz val="11"/>
      <color rgb="FFC00000"/>
      <name val="Aptos Narrow"/>
      <family val="2"/>
      <scheme val="minor"/>
    </font>
    <font>
      <sz val="9"/>
      <color theme="0"/>
      <name val="Arial"/>
      <family val="2"/>
    </font>
    <font>
      <b/>
      <sz val="9"/>
      <color rgb="FFC00000"/>
      <name val="Arial"/>
      <family val="2"/>
    </font>
    <font>
      <sz val="8"/>
      <color rgb="FF000000"/>
      <name val="Arial"/>
      <family val="2"/>
    </font>
    <font>
      <sz val="11"/>
      <color rgb="FF000000"/>
      <name val="Aptos Narrow"/>
      <family val="2"/>
    </font>
    <font>
      <b/>
      <sz val="11"/>
      <color rgb="FF000000"/>
      <name val="Aptos Narrow"/>
      <family val="2"/>
    </font>
    <font>
      <sz val="11"/>
      <color rgb="FF000000"/>
      <name val="Calibri Light"/>
      <family val="2"/>
    </font>
    <font>
      <b/>
      <sz val="9"/>
      <color theme="1"/>
      <name val="Lato"/>
    </font>
    <font>
      <b/>
      <sz val="9"/>
      <color rgb="FF00B050"/>
      <name val="Arial"/>
      <family val="2"/>
    </font>
    <font>
      <u/>
      <sz val="9"/>
      <color rgb="FF000000"/>
      <name val="Arial"/>
      <family val="2"/>
    </font>
    <font>
      <sz val="9"/>
      <name val="Arial"/>
      <family val="2"/>
    </font>
    <font>
      <b/>
      <sz val="9"/>
      <name val="Arial"/>
      <family val="2"/>
    </font>
    <font>
      <sz val="9"/>
      <color theme="1"/>
      <name val="Arial"/>
    </font>
    <font>
      <sz val="9"/>
      <color theme="7" tint="-0.499984740745262"/>
      <name val="Arial"/>
    </font>
    <font>
      <b/>
      <sz val="9"/>
      <color rgb="FF000000"/>
      <name val="Arial"/>
    </font>
  </fonts>
  <fills count="7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499984740745262"/>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FFFF"/>
        <bgColor rgb="FF000000"/>
      </patternFill>
    </fill>
    <fill>
      <patternFill patternType="solid">
        <fgColor theme="5" tint="0.79998168889431442"/>
        <bgColor indexed="64"/>
      </patternFill>
    </fill>
    <fill>
      <patternFill patternType="solid">
        <fgColor theme="0"/>
        <bgColor indexed="64"/>
      </patternFill>
    </fill>
    <fill>
      <patternFill patternType="solid">
        <fgColor rgb="FFFFC000"/>
        <bgColor indexed="64"/>
      </patternFill>
    </fill>
    <fill>
      <patternFill patternType="solid">
        <fgColor theme="0" tint="-4.9989318521683403E-2"/>
        <bgColor indexed="64"/>
      </patternFill>
    </fill>
    <fill>
      <patternFill patternType="solid">
        <fgColor rgb="FFC00000"/>
        <bgColor indexed="64"/>
      </patternFill>
    </fill>
    <fill>
      <patternFill patternType="solid">
        <fgColor rgb="FF00B050"/>
        <bgColor indexed="64"/>
      </patternFill>
    </fill>
    <fill>
      <patternFill patternType="solid">
        <fgColor theme="4" tint="0.39997558519241921"/>
        <bgColor indexed="64"/>
      </patternFill>
    </fill>
    <fill>
      <patternFill patternType="solid">
        <fgColor theme="7"/>
        <bgColor indexed="64"/>
      </patternFill>
    </fill>
    <fill>
      <patternFill patternType="solid">
        <fgColor rgb="FF92D050"/>
        <bgColor indexed="64"/>
      </patternFill>
    </fill>
    <fill>
      <patternFill patternType="solid">
        <fgColor theme="7" tint="0.79998168889431442"/>
        <bgColor indexed="64"/>
      </patternFill>
    </fill>
    <fill>
      <patternFill patternType="solid">
        <fgColor rgb="FFFF0000"/>
        <bgColor indexed="64"/>
      </patternFill>
    </fill>
    <fill>
      <patternFill patternType="solid">
        <fgColor theme="6" tint="-0.499984740745262"/>
        <bgColor indexed="64"/>
      </patternFill>
    </fill>
    <fill>
      <patternFill patternType="solid">
        <fgColor theme="8" tint="0.7999816888943144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1"/>
        <bgColor indexed="64"/>
      </patternFill>
    </fill>
    <fill>
      <patternFill patternType="solid">
        <fgColor theme="3"/>
        <bgColor indexed="64"/>
      </patternFill>
    </fill>
    <fill>
      <patternFill patternType="solid">
        <fgColor theme="2" tint="-9.9978637043366805E-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5" tint="0.39997558519241921"/>
        <bgColor indexed="64"/>
      </patternFill>
    </fill>
    <fill>
      <patternFill patternType="solid">
        <fgColor rgb="FF00B0F0"/>
        <bgColor indexed="64"/>
      </patternFill>
    </fill>
    <fill>
      <patternFill patternType="solid">
        <fgColor theme="4" tint="0.79998168889431442"/>
        <bgColor theme="4" tint="0.79998168889431442"/>
      </patternFill>
    </fill>
    <fill>
      <patternFill patternType="solid">
        <fgColor theme="4"/>
        <bgColor theme="4"/>
      </patternFill>
    </fill>
    <fill>
      <patternFill patternType="solid">
        <fgColor theme="3" tint="9.9978637043366805E-2"/>
        <bgColor indexed="64"/>
      </patternFill>
    </fill>
    <fill>
      <patternFill patternType="solid">
        <fgColor theme="7" tint="-0.499984740745262"/>
        <bgColor indexed="64"/>
      </patternFill>
    </fill>
    <fill>
      <patternFill patternType="solid">
        <fgColor theme="5" tint="0.59999389629810485"/>
        <bgColor indexed="64"/>
      </patternFill>
    </fill>
    <fill>
      <patternFill patternType="solid">
        <fgColor rgb="FF000000"/>
        <bgColor indexed="64"/>
      </patternFill>
    </fill>
    <fill>
      <patternFill patternType="solid">
        <fgColor rgb="FFFFCC99"/>
        <bgColor rgb="FF000000"/>
      </patternFill>
    </fill>
    <fill>
      <patternFill patternType="solid">
        <fgColor rgb="FF8EA9DB"/>
        <bgColor rgb="FF000000"/>
      </patternFill>
    </fill>
    <fill>
      <patternFill patternType="solid">
        <fgColor theme="8" tint="-0.249977111117893"/>
        <bgColor indexed="64"/>
      </patternFill>
    </fill>
    <fill>
      <patternFill patternType="solid">
        <fgColor rgb="FFC6EFCE"/>
        <bgColor rgb="FF000000"/>
      </patternFill>
    </fill>
    <fill>
      <patternFill patternType="solid">
        <fgColor theme="8" tint="0.59999389629810485"/>
        <bgColor indexed="64"/>
      </patternFill>
    </fill>
    <fill>
      <patternFill patternType="solid">
        <fgColor theme="0" tint="-0.14999847407452621"/>
        <bgColor indexed="64"/>
      </patternFill>
    </fill>
    <fill>
      <patternFill patternType="solid">
        <fgColor theme="2" tint="-0.499984740745262"/>
        <bgColor indexed="64"/>
      </patternFill>
    </fill>
    <fill>
      <patternFill patternType="solid">
        <fgColor theme="3" tint="0.89999084444715716"/>
        <bgColor indexed="64"/>
      </patternFill>
    </fill>
    <fill>
      <patternFill patternType="solid">
        <fgColor theme="9" tint="0.79998168889431442"/>
        <bgColor indexed="64"/>
      </patternFill>
    </fill>
    <fill>
      <patternFill patternType="solid">
        <fgColor rgb="FFC0E6F5"/>
        <bgColor rgb="FF000000"/>
      </patternFill>
    </fill>
    <fill>
      <patternFill patternType="solid">
        <fgColor rgb="FFC0E6F5"/>
        <bgColor rgb="FFC0E6F5"/>
      </patternFill>
    </fill>
    <fill>
      <patternFill patternType="solid">
        <fgColor rgb="FFFFFFCC"/>
        <bgColor rgb="FF000000"/>
      </patternFill>
    </fill>
    <fill>
      <patternFill patternType="solid">
        <fgColor theme="9"/>
        <bgColor indexed="64"/>
      </patternFill>
    </fill>
  </fills>
  <borders count="5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hair">
        <color theme="3"/>
      </left>
      <right style="hair">
        <color theme="3"/>
      </right>
      <top style="hair">
        <color theme="3"/>
      </top>
      <bottom style="hair">
        <color theme="3"/>
      </bottom>
      <diagonal/>
    </border>
    <border>
      <left style="hair">
        <color theme="3"/>
      </left>
      <right style="hair">
        <color theme="3"/>
      </right>
      <top/>
      <bottom style="hair">
        <color theme="3"/>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bottom/>
      <diagonal/>
    </border>
    <border>
      <left/>
      <right/>
      <top style="thin">
        <color rgb="FFFFC000"/>
      </top>
      <bottom style="thin">
        <color rgb="FFFFC000"/>
      </bottom>
      <diagonal/>
    </border>
    <border>
      <left/>
      <right/>
      <top style="thin">
        <color theme="4" tint="0.39997558519241921"/>
      </top>
      <bottom style="thin">
        <color theme="4" tint="0.39997558519241921"/>
      </bottom>
      <diagonal/>
    </border>
    <border>
      <left/>
      <right style="thin">
        <color rgb="FF000000"/>
      </right>
      <top style="thin">
        <color rgb="FF000000"/>
      </top>
      <bottom style="thin">
        <color rgb="FF000000"/>
      </bottom>
      <diagonal/>
    </border>
    <border>
      <left/>
      <right/>
      <top style="double">
        <color theme="4"/>
      </top>
      <bottom style="thin">
        <color theme="4" tint="0.39997558519241921"/>
      </bottom>
      <diagonal/>
    </border>
    <border>
      <left style="thin">
        <color rgb="FF000000"/>
      </left>
      <right style="thin">
        <color rgb="FF000000"/>
      </right>
      <top style="thin">
        <color theme="4" tint="0.39997558519241921"/>
      </top>
      <bottom style="thin">
        <color rgb="FF000000"/>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
      <left/>
      <right style="thin">
        <color rgb="FF000000"/>
      </right>
      <top style="thin">
        <color theme="4" tint="0.39997558519241921"/>
      </top>
      <bottom style="thin">
        <color rgb="FF000000"/>
      </bottom>
      <diagonal/>
    </border>
    <border>
      <left style="thin">
        <color theme="0" tint="-0.34998626667073579"/>
      </left>
      <right style="thin">
        <color theme="0" tint="-0.34998626667073579"/>
      </right>
      <top style="thin">
        <color indexed="64"/>
      </top>
      <bottom style="thin">
        <color theme="0" tint="-0.34998626667073579"/>
      </bottom>
      <diagonal/>
    </border>
    <border>
      <left style="thin">
        <color theme="0" tint="-0.34998626667073579"/>
      </left>
      <right style="thin">
        <color rgb="FF000000"/>
      </right>
      <top style="thin">
        <color indexed="64"/>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rgb="FF7F7F7F"/>
      </left>
      <right style="thin">
        <color rgb="FF7F7F7F"/>
      </right>
      <top/>
      <bottom style="thin">
        <color rgb="FF7F7F7F"/>
      </bottom>
      <diagonal/>
    </border>
    <border>
      <left style="thin">
        <color theme="0" tint="-0.34998626667073579"/>
      </left>
      <right style="thin">
        <color theme="0" tint="-0.34998626667073579"/>
      </right>
      <top style="thin">
        <color theme="4" tint="0.39997558519241921"/>
      </top>
      <bottom style="thin">
        <color theme="0" tint="-0.34998626667073579"/>
      </bottom>
      <diagonal/>
    </border>
    <border>
      <left/>
      <right/>
      <top/>
      <bottom style="thin">
        <color theme="4" tint="0.39997558519241921"/>
      </bottom>
      <diagonal/>
    </border>
    <border>
      <left style="thin">
        <color rgb="FF000000"/>
      </left>
      <right style="thin">
        <color rgb="FF000000"/>
      </right>
      <top/>
      <bottom/>
      <diagonal/>
    </border>
    <border>
      <left/>
      <right style="thin">
        <color rgb="FF000000"/>
      </right>
      <top/>
      <bottom/>
      <diagonal/>
    </border>
    <border>
      <left style="thin">
        <color rgb="FFAEAAAA"/>
      </left>
      <right style="thin">
        <color rgb="FFAEAAAA"/>
      </right>
      <top style="thin">
        <color rgb="FFAEAAAA"/>
      </top>
      <bottom style="thin">
        <color rgb="FFAEAAAA"/>
      </bottom>
      <diagonal/>
    </border>
    <border>
      <left style="thin">
        <color theme="0" tint="-0.34998626667073579"/>
      </left>
      <right style="thin">
        <color rgb="FF000000"/>
      </right>
      <top style="thin">
        <color indexed="64"/>
      </top>
      <bottom/>
      <diagonal/>
    </border>
    <border>
      <left style="thin">
        <color rgb="FF7F7F7F"/>
      </left>
      <right style="thin">
        <color rgb="FF7F7F7F"/>
      </right>
      <top style="thin">
        <color rgb="FF44B3E1"/>
      </top>
      <bottom style="thin">
        <color rgb="FF7F7F7F"/>
      </bottom>
      <diagonal/>
    </border>
    <border>
      <left/>
      <right/>
      <top/>
      <bottom style="thin">
        <color rgb="FF44B3E1"/>
      </bottom>
      <diagonal/>
    </border>
    <border>
      <left/>
      <right/>
      <top style="thin">
        <color rgb="FF44B3E1"/>
      </top>
      <bottom/>
      <diagonal/>
    </border>
    <border>
      <left style="thin">
        <color rgb="FF7F7F7F"/>
      </left>
      <right/>
      <top style="thin">
        <color rgb="FF7F7F7F"/>
      </top>
      <bottom style="thin">
        <color rgb="FF7F7F7F"/>
      </bottom>
      <diagonal/>
    </border>
    <border>
      <left/>
      <right style="thin">
        <color rgb="FF7F7F7F"/>
      </right>
      <top style="thin">
        <color rgb="FF7F7F7F"/>
      </top>
      <bottom style="thin">
        <color rgb="FF7F7F7F"/>
      </bottom>
      <diagonal/>
    </border>
    <border>
      <left style="thin">
        <color rgb="FF7F7F7F"/>
      </left>
      <right style="thin">
        <color rgb="FF7F7F7F"/>
      </right>
      <top style="thin">
        <color rgb="FF7F7F7F"/>
      </top>
      <bottom/>
      <diagonal/>
    </border>
    <border>
      <left/>
      <right/>
      <top style="thin">
        <color theme="4" tint="0.39997558519241921"/>
      </top>
      <bottom/>
      <diagonal/>
    </border>
    <border>
      <left style="thin">
        <color indexed="64"/>
      </left>
      <right/>
      <top style="thin">
        <color indexed="64"/>
      </top>
      <bottom style="thin">
        <color indexed="64"/>
      </bottom>
      <diagonal/>
    </border>
    <border>
      <left style="thin">
        <color theme="0" tint="-0.34998626667073579"/>
      </left>
      <right/>
      <top/>
      <bottom style="thin">
        <color theme="0" tint="-0.34998626667073579"/>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72" fillId="0" borderId="0" applyNumberFormat="0" applyFill="0" applyBorder="0" applyAlignment="0" applyProtection="0"/>
    <xf numFmtId="0" fontId="72" fillId="0" borderId="0" applyNumberFormat="0" applyFill="0" applyBorder="0" applyAlignment="0" applyProtection="0"/>
  </cellStyleXfs>
  <cellXfs count="731">
    <xf numFmtId="0" fontId="0" fillId="0" borderId="0" xfId="0"/>
    <xf numFmtId="1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left" indent="1"/>
    </xf>
    <xf numFmtId="0" fontId="16" fillId="0" borderId="10" xfId="0" applyFont="1" applyBorder="1" applyAlignment="1">
      <alignment vertical="center" wrapText="1"/>
    </xf>
    <xf numFmtId="0" fontId="16" fillId="0" borderId="10" xfId="0" applyFont="1" applyBorder="1" applyAlignment="1">
      <alignment horizontal="left" vertical="center" wrapText="1"/>
    </xf>
    <xf numFmtId="0" fontId="16" fillId="0" borderId="10" xfId="0" applyFont="1" applyBorder="1" applyAlignment="1">
      <alignment vertical="center"/>
    </xf>
    <xf numFmtId="0" fontId="0" fillId="0" borderId="10" xfId="0" applyBorder="1" applyAlignment="1">
      <alignment vertical="center" wrapText="1"/>
    </xf>
    <xf numFmtId="0" fontId="20" fillId="0" borderId="10" xfId="0" applyFont="1" applyBorder="1" applyAlignment="1">
      <alignment vertical="center" wrapText="1"/>
    </xf>
    <xf numFmtId="0" fontId="20" fillId="0" borderId="10" xfId="0" applyFont="1" applyBorder="1" applyAlignment="1">
      <alignment horizontal="left" vertical="center" wrapText="1"/>
    </xf>
    <xf numFmtId="0" fontId="0" fillId="0" borderId="10" xfId="0" applyBorder="1" applyAlignment="1">
      <alignment vertical="center"/>
    </xf>
    <xf numFmtId="0" fontId="0" fillId="0" borderId="10" xfId="0" applyBorder="1" applyAlignment="1">
      <alignment horizontal="left" vertical="center" wrapText="1"/>
    </xf>
    <xf numFmtId="0" fontId="21" fillId="0" borderId="10" xfId="0" applyFont="1" applyBorder="1" applyAlignment="1">
      <alignment wrapText="1" readingOrder="1"/>
    </xf>
    <xf numFmtId="0" fontId="22" fillId="0" borderId="10" xfId="0" applyFont="1" applyBorder="1" applyAlignment="1">
      <alignment wrapText="1" readingOrder="1"/>
    </xf>
    <xf numFmtId="0" fontId="21" fillId="0" borderId="10" xfId="0" applyFont="1" applyBorder="1" applyAlignment="1">
      <alignment readingOrder="1"/>
    </xf>
    <xf numFmtId="0" fontId="0" fillId="35" borderId="10" xfId="0" applyFill="1" applyBorder="1" applyAlignment="1">
      <alignment vertical="center"/>
    </xf>
    <xf numFmtId="0" fontId="23" fillId="36" borderId="10" xfId="0" applyFont="1" applyFill="1" applyBorder="1" applyAlignment="1">
      <alignment vertical="center" wrapText="1"/>
    </xf>
    <xf numFmtId="0" fontId="24" fillId="38" borderId="11" xfId="0" applyFont="1" applyFill="1" applyBorder="1" applyAlignment="1">
      <alignment horizontal="center" vertical="center" wrapText="1"/>
    </xf>
    <xf numFmtId="0" fontId="24" fillId="38" borderId="11" xfId="0" applyFont="1" applyFill="1" applyBorder="1" applyAlignment="1">
      <alignment vertical="center" wrapText="1"/>
    </xf>
    <xf numFmtId="0" fontId="25" fillId="38" borderId="11" xfId="0" applyFont="1" applyFill="1" applyBorder="1" applyAlignment="1">
      <alignment vertical="center" wrapText="1"/>
    </xf>
    <xf numFmtId="0" fontId="26" fillId="38" borderId="11" xfId="0" applyFont="1" applyFill="1" applyBorder="1" applyAlignment="1">
      <alignment vertical="center" wrapText="1"/>
    </xf>
    <xf numFmtId="0" fontId="0" fillId="38" borderId="11" xfId="0" applyFill="1" applyBorder="1" applyAlignment="1">
      <alignment horizontal="center" vertical="center"/>
    </xf>
    <xf numFmtId="0" fontId="24" fillId="39" borderId="11" xfId="0" applyFont="1" applyFill="1" applyBorder="1" applyAlignment="1">
      <alignment horizontal="center" vertical="center"/>
    </xf>
    <xf numFmtId="0" fontId="24" fillId="38" borderId="11" xfId="0" applyFont="1" applyFill="1" applyBorder="1" applyAlignment="1">
      <alignment horizontal="center" vertical="center"/>
    </xf>
    <xf numFmtId="0" fontId="24" fillId="38" borderId="12" xfId="0" applyFont="1" applyFill="1" applyBorder="1" applyAlignment="1">
      <alignment horizontal="center" vertical="center"/>
    </xf>
    <xf numFmtId="0" fontId="0" fillId="0" borderId="0" xfId="0" applyAlignment="1">
      <alignment horizontal="center"/>
    </xf>
    <xf numFmtId="9" fontId="0" fillId="0" borderId="0" xfId="0" applyNumberFormat="1" applyAlignment="1">
      <alignment horizontal="center"/>
    </xf>
    <xf numFmtId="0" fontId="16" fillId="0" borderId="0" xfId="0" applyFont="1" applyAlignment="1">
      <alignment horizontal="center"/>
    </xf>
    <xf numFmtId="0" fontId="0" fillId="34" borderId="13" xfId="0" applyFill="1" applyBorder="1"/>
    <xf numFmtId="0" fontId="16" fillId="0" borderId="13" xfId="0" applyFont="1" applyBorder="1" applyAlignment="1">
      <alignment horizontal="center"/>
    </xf>
    <xf numFmtId="0" fontId="0" fillId="0" borderId="13" xfId="0" applyBorder="1"/>
    <xf numFmtId="0" fontId="28" fillId="0" borderId="0" xfId="0" applyFont="1" applyAlignment="1">
      <alignment horizontal="center" vertical="center"/>
    </xf>
    <xf numFmtId="0" fontId="28" fillId="0" borderId="13" xfId="0" applyFont="1" applyBorder="1" applyAlignment="1">
      <alignment horizontal="center" vertical="center"/>
    </xf>
    <xf numFmtId="0" fontId="0" fillId="0" borderId="13" xfId="0" applyBorder="1" applyAlignment="1">
      <alignment horizontal="center" vertical="center"/>
    </xf>
    <xf numFmtId="0" fontId="29" fillId="40" borderId="14" xfId="0" applyFont="1" applyFill="1" applyBorder="1" applyAlignment="1">
      <alignment horizontal="center" vertical="center"/>
    </xf>
    <xf numFmtId="0" fontId="30" fillId="41" borderId="15" xfId="0" applyFont="1" applyFill="1" applyBorder="1"/>
    <xf numFmtId="0" fontId="0" fillId="38" borderId="0" xfId="0" applyFill="1" applyAlignment="1">
      <alignment horizontal="center" vertical="center"/>
    </xf>
    <xf numFmtId="0" fontId="0" fillId="0" borderId="16" xfId="0" applyBorder="1"/>
    <xf numFmtId="0" fontId="28" fillId="42" borderId="0" xfId="0" applyFont="1" applyFill="1" applyAlignment="1">
      <alignment horizontal="center" vertical="center"/>
    </xf>
    <xf numFmtId="0" fontId="16" fillId="43" borderId="0" xfId="0" applyFont="1" applyFill="1" applyAlignment="1">
      <alignment horizontal="center"/>
    </xf>
    <xf numFmtId="0" fontId="16" fillId="43" borderId="13" xfId="0" applyFont="1" applyFill="1" applyBorder="1" applyAlignment="1">
      <alignment horizontal="center"/>
    </xf>
    <xf numFmtId="0" fontId="0" fillId="34" borderId="13" xfId="0" applyFill="1" applyBorder="1" applyAlignment="1">
      <alignment vertical="center"/>
    </xf>
    <xf numFmtId="0" fontId="28" fillId="44" borderId="0" xfId="0" applyFont="1" applyFill="1" applyAlignment="1">
      <alignment horizontal="center" vertical="center"/>
    </xf>
    <xf numFmtId="0" fontId="28" fillId="44" borderId="13" xfId="0" applyFont="1" applyFill="1" applyBorder="1" applyAlignment="1">
      <alignment horizontal="center" vertical="center"/>
    </xf>
    <xf numFmtId="0" fontId="0" fillId="0" borderId="13" xfId="0" applyBorder="1" applyAlignment="1">
      <alignment wrapText="1"/>
    </xf>
    <xf numFmtId="0" fontId="28" fillId="42" borderId="13" xfId="0" applyFont="1" applyFill="1" applyBorder="1" applyAlignment="1">
      <alignment horizontal="center" vertical="center"/>
    </xf>
    <xf numFmtId="0" fontId="28" fillId="43" borderId="0" xfId="0" applyFont="1" applyFill="1" applyAlignment="1">
      <alignment horizontal="center" vertical="center"/>
    </xf>
    <xf numFmtId="0" fontId="28" fillId="43" borderId="13" xfId="0" applyFont="1" applyFill="1" applyBorder="1" applyAlignment="1">
      <alignment horizontal="center" vertical="center"/>
    </xf>
    <xf numFmtId="0" fontId="0" fillId="35" borderId="13" xfId="0" applyFill="1" applyBorder="1" applyAlignment="1">
      <alignment vertical="center" wrapText="1"/>
    </xf>
    <xf numFmtId="0" fontId="16" fillId="37" borderId="0" xfId="0" applyFont="1" applyFill="1" applyAlignment="1">
      <alignment horizontal="center" vertical="center"/>
    </xf>
    <xf numFmtId="0" fontId="16" fillId="37" borderId="13" xfId="0" applyFont="1" applyFill="1" applyBorder="1" applyAlignment="1">
      <alignment horizontal="center" vertical="center"/>
    </xf>
    <xf numFmtId="0" fontId="30" fillId="41" borderId="15" xfId="0" applyFont="1" applyFill="1" applyBorder="1" applyAlignment="1">
      <alignment vertical="center" wrapText="1"/>
    </xf>
    <xf numFmtId="0" fontId="0" fillId="0" borderId="15" xfId="0" applyBorder="1" applyAlignment="1">
      <alignment vertical="center"/>
    </xf>
    <xf numFmtId="0" fontId="16" fillId="44" borderId="0" xfId="0" applyFont="1" applyFill="1" applyAlignment="1">
      <alignment horizontal="center"/>
    </xf>
    <xf numFmtId="0" fontId="16" fillId="44" borderId="13" xfId="0" applyFont="1" applyFill="1" applyBorder="1" applyAlignment="1">
      <alignment horizontal="center"/>
    </xf>
    <xf numFmtId="0" fontId="16" fillId="42" borderId="0" xfId="0" applyFont="1" applyFill="1" applyAlignment="1">
      <alignment horizontal="center"/>
    </xf>
    <xf numFmtId="0" fontId="16" fillId="42" borderId="13" xfId="0" applyFont="1" applyFill="1" applyBorder="1" applyAlignment="1">
      <alignment horizontal="center"/>
    </xf>
    <xf numFmtId="0" fontId="0" fillId="35" borderId="13" xfId="0" applyFill="1" applyBorder="1"/>
    <xf numFmtId="0" fontId="29" fillId="40" borderId="0" xfId="0" applyFont="1" applyFill="1" applyAlignment="1">
      <alignment horizontal="center" vertical="center"/>
    </xf>
    <xf numFmtId="0" fontId="16" fillId="37" borderId="0" xfId="0" applyFont="1" applyFill="1" applyAlignment="1">
      <alignment horizontal="center"/>
    </xf>
    <xf numFmtId="0" fontId="16" fillId="37" borderId="13" xfId="0" applyFont="1" applyFill="1" applyBorder="1" applyAlignment="1">
      <alignment horizontal="center"/>
    </xf>
    <xf numFmtId="0" fontId="0" fillId="45" borderId="13" xfId="0" applyFill="1" applyBorder="1"/>
    <xf numFmtId="0" fontId="0" fillId="0" borderId="14" xfId="0" applyBorder="1"/>
    <xf numFmtId="0" fontId="28" fillId="37" borderId="0" xfId="0" applyFont="1" applyFill="1" applyAlignment="1">
      <alignment horizontal="center" vertical="center"/>
    </xf>
    <xf numFmtId="0" fontId="28" fillId="37" borderId="13" xfId="0" applyFont="1" applyFill="1" applyBorder="1" applyAlignment="1">
      <alignment horizontal="center" vertical="center"/>
    </xf>
    <xf numFmtId="0" fontId="31" fillId="0" borderId="0" xfId="0" applyFont="1" applyAlignment="1">
      <alignment horizontal="left"/>
    </xf>
    <xf numFmtId="0" fontId="30" fillId="41" borderId="17" xfId="0" applyFont="1" applyFill="1" applyBorder="1"/>
    <xf numFmtId="0" fontId="0" fillId="46" borderId="15" xfId="0" applyFill="1" applyBorder="1" applyAlignment="1">
      <alignment wrapText="1"/>
    </xf>
    <xf numFmtId="0" fontId="0" fillId="46" borderId="13" xfId="0" applyFill="1" applyBorder="1" applyAlignment="1">
      <alignment wrapText="1"/>
    </xf>
    <xf numFmtId="0" fontId="0" fillId="0" borderId="18" xfId="0" applyBorder="1" applyAlignment="1">
      <alignment horizontal="center" vertical="center"/>
    </xf>
    <xf numFmtId="0" fontId="17" fillId="47" borderId="13" xfId="0" applyFont="1" applyFill="1" applyBorder="1" applyAlignment="1">
      <alignment wrapText="1"/>
    </xf>
    <xf numFmtId="0" fontId="0" fillId="0" borderId="13" xfId="0" applyBorder="1" applyAlignment="1">
      <alignment horizontal="left" vertical="center" wrapText="1"/>
    </xf>
    <xf numFmtId="0" fontId="32" fillId="0" borderId="0" xfId="0" applyFont="1" applyAlignment="1">
      <alignment horizontal="center"/>
    </xf>
    <xf numFmtId="0" fontId="33" fillId="40" borderId="14" xfId="0" applyFont="1" applyFill="1" applyBorder="1" applyAlignment="1">
      <alignment vertical="center" textRotation="90" wrapText="1"/>
    </xf>
    <xf numFmtId="0" fontId="0" fillId="0" borderId="13" xfId="0" applyBorder="1" applyAlignment="1">
      <alignment vertical="center" wrapText="1"/>
    </xf>
    <xf numFmtId="0" fontId="17" fillId="48" borderId="13" xfId="0" applyFont="1" applyFill="1" applyBorder="1" applyAlignment="1">
      <alignment vertical="center" wrapText="1"/>
    </xf>
    <xf numFmtId="0" fontId="0" fillId="46" borderId="13" xfId="0" applyFill="1" applyBorder="1"/>
    <xf numFmtId="0" fontId="17" fillId="48" borderId="13" xfId="0" applyFont="1" applyFill="1" applyBorder="1"/>
    <xf numFmtId="0" fontId="16" fillId="34" borderId="13" xfId="0" applyFont="1" applyFill="1" applyBorder="1" applyAlignment="1">
      <alignment horizontal="left"/>
    </xf>
    <xf numFmtId="0" fontId="16" fillId="0" borderId="0" xfId="0" applyFont="1" applyAlignment="1">
      <alignment horizontal="left"/>
    </xf>
    <xf numFmtId="0" fontId="16" fillId="42" borderId="0" xfId="0" applyFont="1" applyFill="1" applyAlignment="1">
      <alignment horizontal="center" wrapText="1"/>
    </xf>
    <xf numFmtId="0" fontId="16" fillId="42" borderId="13" xfId="0" applyFont="1" applyFill="1" applyBorder="1" applyAlignment="1">
      <alignment horizontal="center" wrapText="1"/>
    </xf>
    <xf numFmtId="0" fontId="0" fillId="0" borderId="13" xfId="0" applyBorder="1" applyAlignment="1">
      <alignment horizontal="left" wrapText="1"/>
    </xf>
    <xf numFmtId="0" fontId="0" fillId="0" borderId="19" xfId="0" applyBorder="1"/>
    <xf numFmtId="0" fontId="16" fillId="37" borderId="19" xfId="0" applyFont="1" applyFill="1" applyBorder="1" applyAlignment="1">
      <alignment horizontal="center" vertical="center"/>
    </xf>
    <xf numFmtId="0" fontId="0" fillId="49" borderId="13" xfId="0" applyFill="1" applyBorder="1" applyAlignment="1">
      <alignment wrapText="1"/>
    </xf>
    <xf numFmtId="0" fontId="17" fillId="48" borderId="13" xfId="0" applyFont="1" applyFill="1" applyBorder="1" applyAlignment="1">
      <alignment wrapText="1"/>
    </xf>
    <xf numFmtId="0" fontId="17" fillId="47" borderId="13" xfId="0" applyFont="1" applyFill="1" applyBorder="1" applyAlignment="1">
      <alignment vertical="center" wrapText="1"/>
    </xf>
    <xf numFmtId="0" fontId="33" fillId="40" borderId="0" xfId="0" applyFont="1" applyFill="1" applyAlignment="1">
      <alignment vertical="center" textRotation="90" wrapText="1"/>
    </xf>
    <xf numFmtId="0" fontId="34" fillId="0" borderId="0" xfId="0" applyFont="1"/>
    <xf numFmtId="0" fontId="33" fillId="40" borderId="14" xfId="0" applyFont="1" applyFill="1" applyBorder="1" applyAlignment="1">
      <alignment horizontal="center" vertical="center" textRotation="90"/>
    </xf>
    <xf numFmtId="0" fontId="16" fillId="34" borderId="13" xfId="0" applyFont="1" applyFill="1" applyBorder="1" applyAlignment="1">
      <alignment horizontal="center"/>
    </xf>
    <xf numFmtId="0" fontId="30" fillId="41" borderId="13" xfId="0" applyFont="1" applyFill="1" applyBorder="1"/>
    <xf numFmtId="0" fontId="16" fillId="50" borderId="13" xfId="0" applyFont="1" applyFill="1" applyBorder="1" applyAlignment="1">
      <alignment horizontal="center" vertical="center"/>
    </xf>
    <xf numFmtId="0" fontId="0" fillId="38" borderId="0" xfId="0" applyFill="1"/>
    <xf numFmtId="0" fontId="16" fillId="38" borderId="0" xfId="0" applyFont="1" applyFill="1"/>
    <xf numFmtId="0" fontId="32" fillId="38" borderId="0" xfId="0" applyFont="1" applyFill="1" applyAlignment="1">
      <alignment horizontal="center"/>
    </xf>
    <xf numFmtId="0" fontId="35" fillId="38" borderId="0" xfId="0" applyFont="1" applyFill="1" applyAlignment="1">
      <alignment horizontal="center" vertical="center"/>
    </xf>
    <xf numFmtId="0" fontId="16" fillId="0" borderId="0" xfId="0" applyFont="1"/>
    <xf numFmtId="0" fontId="32" fillId="51" borderId="0" xfId="0" applyFont="1" applyFill="1" applyAlignment="1">
      <alignment horizontal="center"/>
    </xf>
    <xf numFmtId="0" fontId="32" fillId="51" borderId="20" xfId="0" applyFont="1" applyFill="1" applyBorder="1" applyAlignment="1">
      <alignment horizontal="center"/>
    </xf>
    <xf numFmtId="0" fontId="36" fillId="0" borderId="0" xfId="0" applyFont="1"/>
    <xf numFmtId="0" fontId="37" fillId="0" borderId="0" xfId="0" applyFont="1" applyAlignment="1">
      <alignment horizontal="left" vertical="center"/>
    </xf>
    <xf numFmtId="0" fontId="24" fillId="38" borderId="0" xfId="0" applyFont="1" applyFill="1" applyAlignment="1">
      <alignment horizontal="center" vertical="center"/>
    </xf>
    <xf numFmtId="0" fontId="38" fillId="38" borderId="21" xfId="0" applyFont="1" applyFill="1" applyBorder="1" applyAlignment="1">
      <alignment wrapText="1"/>
    </xf>
    <xf numFmtId="0" fontId="0" fillId="38" borderId="11" xfId="0" applyFill="1" applyBorder="1" applyAlignment="1">
      <alignment horizontal="center" vertical="center" wrapText="1"/>
    </xf>
    <xf numFmtId="16" fontId="0" fillId="38" borderId="11" xfId="0" applyNumberFormat="1" applyFill="1" applyBorder="1" applyAlignment="1">
      <alignment horizontal="center" vertical="center"/>
    </xf>
    <xf numFmtId="0" fontId="24" fillId="39" borderId="11" xfId="0" applyFont="1" applyFill="1" applyBorder="1" applyAlignment="1">
      <alignment horizontal="center" vertical="center" wrapText="1"/>
    </xf>
    <xf numFmtId="0" fontId="0" fillId="41" borderId="11" xfId="0" applyFill="1" applyBorder="1" applyAlignment="1">
      <alignment horizontal="center" vertical="center"/>
    </xf>
    <xf numFmtId="0" fontId="13" fillId="53" borderId="0" xfId="0" applyFont="1" applyFill="1" applyAlignment="1">
      <alignment horizontal="center"/>
    </xf>
    <xf numFmtId="0" fontId="0" fillId="0" borderId="13" xfId="0" applyBorder="1" applyAlignment="1">
      <alignment horizontal="center"/>
    </xf>
    <xf numFmtId="0" fontId="0" fillId="0" borderId="13" xfId="0" applyBorder="1" applyAlignment="1">
      <alignment vertical="center"/>
    </xf>
    <xf numFmtId="0" fontId="0" fillId="46" borderId="0" xfId="0" applyFill="1" applyAlignment="1">
      <alignment vertical="center"/>
    </xf>
    <xf numFmtId="0" fontId="0" fillId="46" borderId="13" xfId="0" applyFill="1" applyBorder="1" applyAlignment="1">
      <alignment vertical="center"/>
    </xf>
    <xf numFmtId="0" fontId="16" fillId="46" borderId="13" xfId="0" applyFont="1" applyFill="1" applyBorder="1" applyAlignment="1">
      <alignment vertical="center"/>
    </xf>
    <xf numFmtId="0" fontId="39" fillId="0" borderId="13" xfId="0" applyFont="1" applyBorder="1"/>
    <xf numFmtId="0" fontId="0" fillId="0" borderId="13" xfId="0" applyBorder="1" applyAlignment="1">
      <alignment horizontal="left" vertical="center" indent="2"/>
    </xf>
    <xf numFmtId="0" fontId="16" fillId="0" borderId="13" xfId="0" applyFont="1" applyBorder="1"/>
    <xf numFmtId="0" fontId="0" fillId="54" borderId="13" xfId="0" applyFill="1" applyBorder="1" applyAlignment="1">
      <alignment vertical="center"/>
    </xf>
    <xf numFmtId="0" fontId="16" fillId="0" borderId="13" xfId="0" applyFont="1" applyBorder="1" applyAlignment="1">
      <alignment vertical="center"/>
    </xf>
    <xf numFmtId="0" fontId="0" fillId="37" borderId="0" xfId="0" applyFill="1"/>
    <xf numFmtId="0" fontId="0" fillId="0" borderId="13" xfId="0" applyBorder="1" applyAlignment="1">
      <alignment horizontal="right"/>
    </xf>
    <xf numFmtId="0" fontId="0" fillId="37" borderId="13" xfId="0" applyFill="1" applyBorder="1" applyAlignment="1">
      <alignment vertical="center"/>
    </xf>
    <xf numFmtId="0" fontId="30" fillId="41" borderId="17" xfId="0" applyFont="1" applyFill="1" applyBorder="1" applyAlignment="1">
      <alignment vertical="center"/>
    </xf>
    <xf numFmtId="165" fontId="0" fillId="0" borderId="0" xfId="0" applyNumberFormat="1" applyAlignment="1">
      <alignment horizontal="center"/>
    </xf>
    <xf numFmtId="0" fontId="0" fillId="0" borderId="22" xfId="0" applyBorder="1" applyAlignment="1">
      <alignment horizontal="center" vertical="center"/>
    </xf>
    <xf numFmtId="0" fontId="16" fillId="57" borderId="10" xfId="0" applyFont="1" applyFill="1" applyBorder="1" applyAlignment="1">
      <alignment vertical="top"/>
    </xf>
    <xf numFmtId="0" fontId="0" fillId="0" borderId="10" xfId="0" applyBorder="1" applyAlignment="1">
      <alignment horizontal="left"/>
    </xf>
    <xf numFmtId="14" fontId="0" fillId="0" borderId="22" xfId="0" applyNumberFormat="1" applyBorder="1" applyAlignment="1">
      <alignment horizontal="center" vertical="center"/>
    </xf>
    <xf numFmtId="14" fontId="0" fillId="0" borderId="22" xfId="0" applyNumberFormat="1" applyBorder="1"/>
    <xf numFmtId="14" fontId="0" fillId="59" borderId="22" xfId="0" applyNumberFormat="1" applyFill="1" applyBorder="1" applyAlignment="1">
      <alignment horizontal="center" vertical="center"/>
    </xf>
    <xf numFmtId="49" fontId="16" fillId="0" borderId="24" xfId="0" applyNumberFormat="1" applyFont="1" applyBorder="1"/>
    <xf numFmtId="49" fontId="16" fillId="0" borderId="24" xfId="0" applyNumberFormat="1" applyFont="1" applyBorder="1" applyAlignment="1">
      <alignment horizontal="left"/>
    </xf>
    <xf numFmtId="0" fontId="16" fillId="0" borderId="24" xfId="0" applyFont="1" applyBorder="1"/>
    <xf numFmtId="0" fontId="16" fillId="0" borderId="24" xfId="0" applyFont="1" applyBorder="1" applyAlignment="1">
      <alignment horizontal="left"/>
    </xf>
    <xf numFmtId="0" fontId="16" fillId="0" borderId="24" xfId="0" applyFont="1" applyBorder="1" applyAlignment="1">
      <alignment horizontal="center" vertical="center"/>
    </xf>
    <xf numFmtId="0" fontId="0" fillId="0" borderId="24" xfId="0" applyBorder="1" applyAlignment="1">
      <alignment wrapText="1"/>
    </xf>
    <xf numFmtId="0" fontId="0" fillId="0" borderId="24" xfId="0" applyBorder="1" applyAlignment="1">
      <alignment horizontal="left"/>
    </xf>
    <xf numFmtId="0" fontId="13" fillId="60" borderId="22" xfId="0" applyFont="1" applyFill="1" applyBorder="1"/>
    <xf numFmtId="0" fontId="13" fillId="60" borderId="26" xfId="0" applyFont="1" applyFill="1" applyBorder="1"/>
    <xf numFmtId="0" fontId="13" fillId="60" borderId="27" xfId="0" applyFont="1" applyFill="1" applyBorder="1"/>
    <xf numFmtId="0" fontId="13" fillId="60" borderId="22" xfId="0" applyFont="1" applyFill="1" applyBorder="1" applyAlignment="1">
      <alignment vertical="top"/>
    </xf>
    <xf numFmtId="0" fontId="13" fillId="33" borderId="22" xfId="0" applyFont="1" applyFill="1" applyBorder="1" applyAlignment="1">
      <alignment horizontal="left"/>
    </xf>
    <xf numFmtId="0" fontId="13" fillId="60" borderId="22" xfId="0" applyFont="1" applyFill="1" applyBorder="1" applyAlignment="1">
      <alignment horizontal="left"/>
    </xf>
    <xf numFmtId="0" fontId="13" fillId="60" borderId="22" xfId="0" applyFont="1" applyFill="1" applyBorder="1" applyAlignment="1">
      <alignment horizontal="center" vertical="center"/>
    </xf>
    <xf numFmtId="2" fontId="13" fillId="60" borderId="22" xfId="0" applyNumberFormat="1" applyFont="1" applyFill="1" applyBorder="1" applyAlignment="1">
      <alignment horizontal="center" vertical="center"/>
    </xf>
    <xf numFmtId="49" fontId="16" fillId="59" borderId="22" xfId="0" applyNumberFormat="1" applyFont="1" applyFill="1" applyBorder="1" applyAlignment="1">
      <alignment vertical="top"/>
    </xf>
    <xf numFmtId="0" fontId="38" fillId="59" borderId="22" xfId="0" applyFont="1" applyFill="1" applyBorder="1" applyAlignment="1">
      <alignment vertical="top" wrapText="1"/>
    </xf>
    <xf numFmtId="49" fontId="16" fillId="0" borderId="22" xfId="0" applyNumberFormat="1" applyFont="1" applyBorder="1" applyAlignment="1">
      <alignment vertical="top"/>
    </xf>
    <xf numFmtId="0" fontId="41" fillId="0" borderId="22" xfId="0" applyFont="1" applyBorder="1" applyAlignment="1">
      <alignment vertical="top" wrapText="1"/>
    </xf>
    <xf numFmtId="49" fontId="16" fillId="59" borderId="22" xfId="0" applyNumberFormat="1" applyFont="1" applyFill="1" applyBorder="1"/>
    <xf numFmtId="49" fontId="16" fillId="0" borderId="22" xfId="0" applyNumberFormat="1" applyFont="1" applyBorder="1"/>
    <xf numFmtId="14" fontId="46" fillId="59" borderId="22" xfId="0" applyNumberFormat="1" applyFont="1" applyFill="1" applyBorder="1"/>
    <xf numFmtId="0" fontId="38" fillId="59" borderId="22" xfId="0" applyFont="1" applyFill="1" applyBorder="1" applyAlignment="1">
      <alignment vertical="center"/>
    </xf>
    <xf numFmtId="0" fontId="38" fillId="0" borderId="22" xfId="0" applyFont="1" applyBorder="1" applyAlignment="1">
      <alignment wrapText="1"/>
    </xf>
    <xf numFmtId="0" fontId="41" fillId="59" borderId="22" xfId="0" applyFont="1" applyFill="1" applyBorder="1" applyAlignment="1">
      <alignment vertical="top" wrapText="1"/>
    </xf>
    <xf numFmtId="0" fontId="38" fillId="59" borderId="22" xfId="0" applyFont="1" applyFill="1" applyBorder="1"/>
    <xf numFmtId="49" fontId="16" fillId="0" borderId="22" xfId="0" applyNumberFormat="1" applyFont="1" applyBorder="1" applyAlignment="1">
      <alignment horizontal="left" vertical="center"/>
    </xf>
    <xf numFmtId="0" fontId="38" fillId="0" borderId="22" xfId="0" applyFont="1" applyBorder="1" applyAlignment="1">
      <alignment horizontal="left" vertical="center" wrapText="1"/>
    </xf>
    <xf numFmtId="0" fontId="38" fillId="0" borderId="22" xfId="0" applyFont="1" applyBorder="1" applyAlignment="1">
      <alignment vertical="top" wrapText="1"/>
    </xf>
    <xf numFmtId="49" fontId="16" fillId="0" borderId="22" xfId="0" applyNumberFormat="1" applyFont="1" applyBorder="1" applyAlignment="1">
      <alignment horizontal="center" vertical="center"/>
    </xf>
    <xf numFmtId="49" fontId="16" fillId="59" borderId="22" xfId="0" applyNumberFormat="1" applyFont="1" applyFill="1" applyBorder="1" applyAlignment="1">
      <alignment horizontal="center" vertical="center"/>
    </xf>
    <xf numFmtId="0" fontId="38" fillId="0" borderId="22" xfId="0" applyFont="1" applyBorder="1"/>
    <xf numFmtId="49" fontId="16" fillId="57" borderId="22" xfId="0" applyNumberFormat="1" applyFont="1" applyFill="1" applyBorder="1" applyAlignment="1">
      <alignment vertical="top"/>
    </xf>
    <xf numFmtId="49" fontId="16" fillId="0" borderId="22" xfId="0" applyNumberFormat="1" applyFont="1" applyBorder="1" applyAlignment="1">
      <alignment vertical="top" wrapText="1"/>
    </xf>
    <xf numFmtId="0" fontId="38" fillId="59" borderId="22" xfId="0" applyFont="1" applyFill="1" applyBorder="1" applyAlignment="1">
      <alignment wrapText="1"/>
    </xf>
    <xf numFmtId="49" fontId="16" fillId="37" borderId="22" xfId="0" applyNumberFormat="1" applyFont="1" applyFill="1" applyBorder="1" applyAlignment="1">
      <alignment vertical="top"/>
    </xf>
    <xf numFmtId="0" fontId="41" fillId="37" borderId="22" xfId="0" applyFont="1" applyFill="1" applyBorder="1" applyAlignment="1">
      <alignment vertical="top" wrapText="1"/>
    </xf>
    <xf numFmtId="0" fontId="16" fillId="59" borderId="22" xfId="0" applyFont="1" applyFill="1" applyBorder="1" applyAlignment="1">
      <alignment vertical="top" wrapText="1"/>
    </xf>
    <xf numFmtId="0" fontId="42" fillId="59" borderId="22" xfId="0" applyFont="1" applyFill="1" applyBorder="1" applyAlignment="1">
      <alignment horizontal="left" vertical="top" wrapText="1"/>
    </xf>
    <xf numFmtId="0" fontId="40" fillId="0" borderId="22" xfId="0" applyFont="1" applyBorder="1" applyAlignment="1">
      <alignment vertical="top" wrapText="1"/>
    </xf>
    <xf numFmtId="0" fontId="42" fillId="0" borderId="22" xfId="0" applyFont="1" applyBorder="1" applyAlignment="1">
      <alignment horizontal="left" vertical="top" wrapText="1"/>
    </xf>
    <xf numFmtId="0" fontId="16" fillId="37" borderId="22" xfId="0" applyFont="1" applyFill="1" applyBorder="1" applyAlignment="1">
      <alignment vertical="top"/>
    </xf>
    <xf numFmtId="0" fontId="41" fillId="37" borderId="22" xfId="0" applyFont="1" applyFill="1" applyBorder="1" applyAlignment="1">
      <alignment horizontal="left" vertical="top" wrapText="1"/>
    </xf>
    <xf numFmtId="49" fontId="16" fillId="37" borderId="22" xfId="0" applyNumberFormat="1" applyFont="1" applyFill="1" applyBorder="1"/>
    <xf numFmtId="0" fontId="16" fillId="0" borderId="22" xfId="0" applyFont="1" applyBorder="1" applyAlignment="1">
      <alignment vertical="top"/>
    </xf>
    <xf numFmtId="0" fontId="16" fillId="59" borderId="22" xfId="0" applyFont="1" applyFill="1" applyBorder="1" applyAlignment="1">
      <alignment vertical="top"/>
    </xf>
    <xf numFmtId="0" fontId="16" fillId="57" borderId="22" xfId="0" applyFont="1" applyFill="1" applyBorder="1" applyAlignment="1">
      <alignment vertical="top"/>
    </xf>
    <xf numFmtId="0" fontId="42" fillId="59" borderId="23" xfId="0" applyFont="1" applyFill="1" applyBorder="1" applyAlignment="1">
      <alignment horizontal="left" vertical="top" wrapText="1"/>
    </xf>
    <xf numFmtId="0" fontId="16" fillId="56" borderId="25" xfId="0" applyFont="1" applyFill="1" applyBorder="1" applyAlignment="1">
      <alignment vertical="top"/>
    </xf>
    <xf numFmtId="0" fontId="42" fillId="0" borderId="28" xfId="0" applyFont="1" applyBorder="1" applyAlignment="1">
      <alignment horizontal="left" vertical="top" wrapText="1"/>
    </xf>
    <xf numFmtId="0" fontId="42" fillId="59" borderId="28" xfId="0" applyFont="1" applyFill="1" applyBorder="1" applyAlignment="1">
      <alignment horizontal="left" vertical="top" wrapText="1"/>
    </xf>
    <xf numFmtId="0" fontId="16" fillId="0" borderId="25" xfId="0" applyFont="1" applyBorder="1" applyAlignment="1">
      <alignment vertical="top"/>
    </xf>
    <xf numFmtId="0" fontId="42" fillId="36" borderId="28" xfId="0" applyFont="1" applyFill="1" applyBorder="1" applyAlignment="1">
      <alignment vertical="top" wrapText="1"/>
    </xf>
    <xf numFmtId="0" fontId="16" fillId="59" borderId="25" xfId="0" applyFont="1" applyFill="1" applyBorder="1" applyAlignment="1">
      <alignment vertical="top"/>
    </xf>
    <xf numFmtId="0" fontId="41" fillId="0" borderId="28" xfId="0" applyFont="1" applyBorder="1" applyAlignment="1">
      <alignment horizontal="left" vertical="top" wrapText="1"/>
    </xf>
    <xf numFmtId="0" fontId="16" fillId="57" borderId="25" xfId="0" applyFont="1" applyFill="1" applyBorder="1" applyAlignment="1">
      <alignment vertical="top"/>
    </xf>
    <xf numFmtId="0" fontId="41" fillId="59" borderId="28" xfId="0" applyFont="1" applyFill="1" applyBorder="1" applyAlignment="1">
      <alignment wrapText="1"/>
    </xf>
    <xf numFmtId="0" fontId="42" fillId="0" borderId="28" xfId="0" applyFont="1" applyBorder="1" applyAlignment="1">
      <alignment vertical="top" wrapText="1"/>
    </xf>
    <xf numFmtId="49" fontId="16" fillId="59" borderId="10" xfId="0" applyNumberFormat="1" applyFont="1" applyFill="1" applyBorder="1" applyAlignment="1">
      <alignment vertical="top"/>
    </xf>
    <xf numFmtId="0" fontId="38" fillId="59" borderId="23" xfId="0" applyFont="1" applyFill="1" applyBorder="1" applyAlignment="1">
      <alignment vertical="top" wrapText="1"/>
    </xf>
    <xf numFmtId="49" fontId="16" fillId="0" borderId="25" xfId="0" applyNumberFormat="1" applyFont="1" applyBorder="1" applyAlignment="1">
      <alignment vertical="top"/>
    </xf>
    <xf numFmtId="0" fontId="38" fillId="0" borderId="28" xfId="0" applyFont="1" applyBorder="1" applyAlignment="1">
      <alignment vertical="top" wrapText="1"/>
    </xf>
    <xf numFmtId="49" fontId="16" fillId="59" borderId="25" xfId="0" applyNumberFormat="1" applyFont="1" applyFill="1" applyBorder="1" applyAlignment="1">
      <alignment vertical="top"/>
    </xf>
    <xf numFmtId="0" fontId="41" fillId="59" borderId="28" xfId="0" applyFont="1" applyFill="1" applyBorder="1" applyAlignment="1">
      <alignment vertical="top" wrapText="1"/>
    </xf>
    <xf numFmtId="0" fontId="41" fillId="0" borderId="28" xfId="0" applyFont="1" applyBorder="1" applyAlignment="1">
      <alignment vertical="top" wrapText="1"/>
    </xf>
    <xf numFmtId="49" fontId="41" fillId="59" borderId="22" xfId="0" applyNumberFormat="1" applyFont="1" applyFill="1" applyBorder="1" applyAlignment="1">
      <alignment vertical="top"/>
    </xf>
    <xf numFmtId="0" fontId="47" fillId="0" borderId="22" xfId="0" applyFont="1" applyBorder="1" applyAlignment="1">
      <alignment wrapText="1"/>
    </xf>
    <xf numFmtId="49" fontId="41" fillId="0" borderId="22" xfId="0" applyNumberFormat="1" applyFont="1" applyBorder="1" applyAlignment="1">
      <alignment vertical="top"/>
    </xf>
    <xf numFmtId="0" fontId="40" fillId="57" borderId="22" xfId="0" applyFont="1" applyFill="1" applyBorder="1" applyAlignment="1">
      <alignment vertical="top" wrapText="1"/>
    </xf>
    <xf numFmtId="0" fontId="16" fillId="56" borderId="22" xfId="0" applyFont="1" applyFill="1" applyBorder="1" applyAlignment="1">
      <alignment vertical="top"/>
    </xf>
    <xf numFmtId="0" fontId="41" fillId="0" borderId="22" xfId="0" applyFont="1" applyBorder="1" applyAlignment="1">
      <alignment horizontal="left" vertical="top" wrapText="1"/>
    </xf>
    <xf numFmtId="0" fontId="27" fillId="59" borderId="22" xfId="0" applyFont="1" applyFill="1" applyBorder="1" applyAlignment="1">
      <alignment horizontal="left"/>
    </xf>
    <xf numFmtId="0" fontId="46" fillId="59" borderId="22" xfId="0" applyFont="1" applyFill="1" applyBorder="1"/>
    <xf numFmtId="0" fontId="44" fillId="0" borderId="22" xfId="0" applyFont="1" applyBorder="1" applyAlignment="1">
      <alignment horizontal="left" vertical="center" wrapText="1"/>
    </xf>
    <xf numFmtId="0" fontId="44" fillId="59" borderId="22" xfId="0" applyFont="1" applyFill="1" applyBorder="1" applyAlignment="1">
      <alignment wrapText="1"/>
    </xf>
    <xf numFmtId="0" fontId="41" fillId="59" borderId="22" xfId="0" applyFont="1" applyFill="1" applyBorder="1" applyAlignment="1">
      <alignment horizontal="left" vertical="top" wrapText="1"/>
    </xf>
    <xf numFmtId="0" fontId="41" fillId="37" borderId="22" xfId="0" applyFont="1" applyFill="1" applyBorder="1" applyAlignment="1">
      <alignment vertical="top" wrapText="1" readingOrder="1"/>
    </xf>
    <xf numFmtId="49" fontId="41" fillId="55" borderId="22" xfId="0" applyNumberFormat="1" applyFont="1" applyFill="1" applyBorder="1" applyAlignment="1">
      <alignment vertical="top"/>
    </xf>
    <xf numFmtId="0" fontId="41" fillId="0" borderId="22" xfId="0" applyFont="1" applyBorder="1" applyAlignment="1">
      <alignment vertical="top" wrapText="1" readingOrder="1"/>
    </xf>
    <xf numFmtId="0" fontId="41" fillId="55" borderId="22" xfId="0" applyFont="1" applyFill="1" applyBorder="1" applyAlignment="1">
      <alignment vertical="top" wrapText="1" readingOrder="1"/>
    </xf>
    <xf numFmtId="0" fontId="0" fillId="59" borderId="26" xfId="0" applyFill="1" applyBorder="1"/>
    <xf numFmtId="0" fontId="0" fillId="59" borderId="22" xfId="0" applyFill="1" applyBorder="1"/>
    <xf numFmtId="2" fontId="0" fillId="59" borderId="22" xfId="0" applyNumberFormat="1" applyFill="1" applyBorder="1"/>
    <xf numFmtId="0" fontId="0" fillId="59" borderId="22" xfId="0" applyFill="1" applyBorder="1" applyAlignment="1">
      <alignment horizontal="center" vertical="center"/>
    </xf>
    <xf numFmtId="166" fontId="0" fillId="59" borderId="22" xfId="0" applyNumberFormat="1" applyFill="1" applyBorder="1" applyAlignment="1">
      <alignment horizontal="center"/>
    </xf>
    <xf numFmtId="0" fontId="0" fillId="59" borderId="22" xfId="0" applyFill="1" applyBorder="1" applyAlignment="1">
      <alignment horizontal="left"/>
    </xf>
    <xf numFmtId="49" fontId="0" fillId="59" borderId="22" xfId="0" applyNumberFormat="1" applyFill="1" applyBorder="1"/>
    <xf numFmtId="49" fontId="0" fillId="59" borderId="22" xfId="0" applyNumberFormat="1" applyFill="1" applyBorder="1" applyAlignment="1">
      <alignment horizontal="left"/>
    </xf>
    <xf numFmtId="49" fontId="0" fillId="59" borderId="27" xfId="0" applyNumberFormat="1" applyFill="1" applyBorder="1" applyAlignment="1">
      <alignment horizontal="center" vertical="center"/>
    </xf>
    <xf numFmtId="0" fontId="0" fillId="0" borderId="26" xfId="0" applyBorder="1"/>
    <xf numFmtId="0" fontId="0" fillId="0" borderId="22" xfId="0" applyBorder="1"/>
    <xf numFmtId="2" fontId="0" fillId="0" borderId="22" xfId="0" applyNumberFormat="1" applyBorder="1" applyAlignment="1">
      <alignment horizontal="right" vertical="center"/>
    </xf>
    <xf numFmtId="166" fontId="0" fillId="0" borderId="22" xfId="0" applyNumberFormat="1" applyBorder="1" applyAlignment="1">
      <alignment horizontal="center"/>
    </xf>
    <xf numFmtId="49" fontId="0" fillId="0" borderId="27" xfId="0" applyNumberFormat="1" applyBorder="1" applyAlignment="1">
      <alignment horizontal="center" vertical="center"/>
    </xf>
    <xf numFmtId="14" fontId="0" fillId="59" borderId="22" xfId="0" applyNumberFormat="1" applyFill="1" applyBorder="1"/>
    <xf numFmtId="2" fontId="0" fillId="0" borderId="22" xfId="0" applyNumberFormat="1" applyBorder="1"/>
    <xf numFmtId="0" fontId="0" fillId="0" borderId="22" xfId="0" applyBorder="1" applyAlignment="1">
      <alignment horizontal="left"/>
    </xf>
    <xf numFmtId="49" fontId="0" fillId="0" borderId="22" xfId="0" applyNumberFormat="1" applyBorder="1"/>
    <xf numFmtId="49" fontId="0" fillId="0" borderId="22" xfId="0" applyNumberFormat="1" applyBorder="1" applyAlignment="1">
      <alignment horizontal="left"/>
    </xf>
    <xf numFmtId="0" fontId="0" fillId="59" borderId="22" xfId="0" applyFill="1" applyBorder="1" applyAlignment="1">
      <alignment wrapText="1"/>
    </xf>
    <xf numFmtId="0" fontId="0" fillId="59" borderId="22" xfId="0" applyFill="1" applyBorder="1" applyAlignment="1">
      <alignment vertical="center"/>
    </xf>
    <xf numFmtId="2" fontId="0" fillId="59" borderId="22" xfId="0" applyNumberFormat="1" applyFill="1" applyBorder="1" applyAlignment="1">
      <alignment horizontal="center" vertical="center"/>
    </xf>
    <xf numFmtId="166" fontId="0" fillId="59" borderId="22" xfId="0" applyNumberFormat="1" applyFill="1" applyBorder="1" applyAlignment="1">
      <alignment horizontal="center" vertical="center"/>
    </xf>
    <xf numFmtId="0" fontId="0" fillId="59" borderId="22" xfId="0" applyFill="1" applyBorder="1" applyAlignment="1">
      <alignment horizontal="left" vertical="center"/>
    </xf>
    <xf numFmtId="0" fontId="0" fillId="39" borderId="22" xfId="0" applyFill="1" applyBorder="1" applyAlignment="1">
      <alignment horizontal="left" vertical="center"/>
    </xf>
    <xf numFmtId="49" fontId="0" fillId="59" borderId="22" xfId="0" applyNumberFormat="1" applyFill="1" applyBorder="1" applyAlignment="1">
      <alignment vertical="center"/>
    </xf>
    <xf numFmtId="0" fontId="0" fillId="0" borderId="22" xfId="0" applyBorder="1" applyAlignment="1">
      <alignment vertical="center"/>
    </xf>
    <xf numFmtId="2" fontId="0" fillId="0" borderId="22" xfId="0" applyNumberFormat="1" applyBorder="1" applyAlignment="1">
      <alignment horizontal="center" vertical="center"/>
    </xf>
    <xf numFmtId="166" fontId="0" fillId="0" borderId="22" xfId="0" applyNumberFormat="1" applyBorder="1" applyAlignment="1">
      <alignment horizontal="center" vertical="center"/>
    </xf>
    <xf numFmtId="0" fontId="0" fillId="0" borderId="22" xfId="0" applyBorder="1" applyAlignment="1">
      <alignment horizontal="left" vertical="center"/>
    </xf>
    <xf numFmtId="49" fontId="0" fillId="0" borderId="22" xfId="0" applyNumberFormat="1" applyBorder="1" applyAlignment="1">
      <alignment vertical="center"/>
    </xf>
    <xf numFmtId="0" fontId="0" fillId="39" borderId="22" xfId="0" applyFill="1" applyBorder="1" applyAlignment="1">
      <alignment horizontal="left"/>
    </xf>
    <xf numFmtId="14" fontId="0" fillId="0" borderId="22" xfId="0" applyNumberFormat="1" applyBorder="1" applyAlignment="1">
      <alignment vertical="center"/>
    </xf>
    <xf numFmtId="0" fontId="0" fillId="37" borderId="22" xfId="0" applyFill="1" applyBorder="1" applyAlignment="1">
      <alignment horizontal="left"/>
    </xf>
    <xf numFmtId="0" fontId="0" fillId="37" borderId="22" xfId="0" applyFill="1" applyBorder="1"/>
    <xf numFmtId="49" fontId="0" fillId="37" borderId="22" xfId="0" applyNumberFormat="1" applyFill="1" applyBorder="1"/>
    <xf numFmtId="49" fontId="0" fillId="37" borderId="22" xfId="0" applyNumberFormat="1" applyFill="1" applyBorder="1" applyAlignment="1">
      <alignment horizontal="left"/>
    </xf>
    <xf numFmtId="49" fontId="0" fillId="0" borderId="22" xfId="0" applyNumberFormat="1" applyBorder="1" applyAlignment="1">
      <alignment horizontal="left" vertical="center"/>
    </xf>
    <xf numFmtId="0" fontId="0" fillId="0" borderId="22" xfId="0" applyBorder="1" applyAlignment="1">
      <alignment wrapText="1"/>
    </xf>
    <xf numFmtId="49" fontId="0" fillId="0" borderId="27" xfId="0" applyNumberFormat="1" applyBorder="1"/>
    <xf numFmtId="0" fontId="0" fillId="0" borderId="26" xfId="0" applyBorder="1" applyAlignment="1">
      <alignment vertical="center"/>
    </xf>
    <xf numFmtId="0" fontId="0" fillId="0" borderId="25" xfId="0" applyBorder="1" applyAlignment="1">
      <alignment horizontal="left"/>
    </xf>
    <xf numFmtId="0" fontId="0" fillId="59" borderId="26" xfId="0" applyFill="1" applyBorder="1" applyAlignment="1">
      <alignment vertical="center"/>
    </xf>
    <xf numFmtId="0" fontId="0" fillId="59" borderId="25" xfId="0" applyFill="1" applyBorder="1" applyAlignment="1">
      <alignment horizontal="left"/>
    </xf>
    <xf numFmtId="164" fontId="0" fillId="59" borderId="22" xfId="0" applyNumberFormat="1" applyFill="1" applyBorder="1" applyAlignment="1">
      <alignment horizontal="center"/>
    </xf>
    <xf numFmtId="0" fontId="49" fillId="0" borderId="0" xfId="0" applyFont="1" applyAlignment="1">
      <alignment vertical="center" wrapText="1"/>
    </xf>
    <xf numFmtId="0" fontId="49" fillId="55" borderId="0" xfId="0" applyFont="1" applyFill="1" applyAlignment="1">
      <alignment vertical="center" wrapText="1"/>
    </xf>
    <xf numFmtId="0" fontId="49" fillId="0" borderId="0" xfId="0" applyFont="1" applyAlignment="1">
      <alignment vertical="center"/>
    </xf>
    <xf numFmtId="49" fontId="49" fillId="0" borderId="0" xfId="0" applyNumberFormat="1" applyFont="1" applyAlignment="1">
      <alignment vertical="center"/>
    </xf>
    <xf numFmtId="0" fontId="49" fillId="37" borderId="0" xfId="0" applyFont="1" applyFill="1" applyAlignment="1">
      <alignment vertical="center" wrapText="1"/>
    </xf>
    <xf numFmtId="0" fontId="50" fillId="0" borderId="0" xfId="0" applyFont="1" applyAlignment="1">
      <alignment vertical="center" wrapText="1"/>
    </xf>
    <xf numFmtId="0" fontId="49" fillId="55" borderId="0" xfId="0" applyFont="1" applyFill="1" applyAlignment="1">
      <alignment vertical="center" wrapText="1" readingOrder="1"/>
    </xf>
    <xf numFmtId="49" fontId="52" fillId="0" borderId="0" xfId="0" applyNumberFormat="1" applyFont="1" applyAlignment="1">
      <alignment vertical="center"/>
    </xf>
    <xf numFmtId="14" fontId="49" fillId="0" borderId="0" xfId="0" applyNumberFormat="1" applyFont="1" applyAlignment="1">
      <alignment vertical="center"/>
    </xf>
    <xf numFmtId="166" fontId="49" fillId="0" borderId="0" xfId="0" applyNumberFormat="1" applyFont="1" applyAlignment="1">
      <alignment vertical="center"/>
    </xf>
    <xf numFmtId="2" fontId="49" fillId="0" borderId="0" xfId="0" applyNumberFormat="1" applyFont="1" applyAlignment="1">
      <alignment vertical="center"/>
    </xf>
    <xf numFmtId="49" fontId="52" fillId="56" borderId="0" xfId="0" applyNumberFormat="1" applyFont="1" applyFill="1" applyAlignment="1">
      <alignment vertical="center"/>
    </xf>
    <xf numFmtId="49" fontId="52" fillId="0" borderId="0" xfId="0" applyNumberFormat="1" applyFont="1" applyAlignment="1">
      <alignment vertical="center" wrapText="1"/>
    </xf>
    <xf numFmtId="49" fontId="49" fillId="37" borderId="0" xfId="0" applyNumberFormat="1" applyFont="1" applyFill="1" applyAlignment="1">
      <alignment vertical="center"/>
    </xf>
    <xf numFmtId="49" fontId="52" fillId="37" borderId="0" xfId="0" applyNumberFormat="1" applyFont="1" applyFill="1" applyAlignment="1">
      <alignment vertical="center"/>
    </xf>
    <xf numFmtId="0" fontId="49" fillId="37" borderId="0" xfId="0" applyFont="1" applyFill="1" applyAlignment="1">
      <alignment vertical="center"/>
    </xf>
    <xf numFmtId="0" fontId="52" fillId="0" borderId="0" xfId="0" applyFont="1" applyAlignment="1">
      <alignment vertical="center"/>
    </xf>
    <xf numFmtId="0" fontId="51" fillId="0" borderId="0" xfId="0" applyFont="1" applyAlignment="1">
      <alignment vertical="center"/>
    </xf>
    <xf numFmtId="49" fontId="49" fillId="0" borderId="0" xfId="0" applyNumberFormat="1" applyFont="1" applyAlignment="1">
      <alignment vertical="center" wrapText="1"/>
    </xf>
    <xf numFmtId="49" fontId="51" fillId="0" borderId="0" xfId="0" applyNumberFormat="1" applyFont="1" applyAlignment="1">
      <alignment vertical="center"/>
    </xf>
    <xf numFmtId="0" fontId="49" fillId="39" borderId="0" xfId="0" applyFont="1" applyFill="1" applyAlignment="1">
      <alignment vertical="center"/>
    </xf>
    <xf numFmtId="0" fontId="50" fillId="0" borderId="0" xfId="0" applyFont="1" applyAlignment="1">
      <alignment vertical="center"/>
    </xf>
    <xf numFmtId="167" fontId="52" fillId="0" borderId="0" xfId="0" applyNumberFormat="1" applyFont="1" applyAlignment="1">
      <alignment horizontal="center" vertical="center"/>
    </xf>
    <xf numFmtId="16" fontId="49" fillId="0" borderId="0" xfId="0" applyNumberFormat="1" applyFont="1" applyAlignment="1">
      <alignment vertical="center"/>
    </xf>
    <xf numFmtId="16" fontId="56" fillId="38" borderId="31" xfId="0" applyNumberFormat="1" applyFont="1" applyFill="1" applyBorder="1" applyAlignment="1">
      <alignment horizontal="center" vertical="center" wrapText="1" shrinkToFit="1"/>
    </xf>
    <xf numFmtId="10" fontId="0" fillId="0" borderId="0" xfId="0" applyNumberFormat="1" applyAlignment="1">
      <alignment horizontal="center"/>
    </xf>
    <xf numFmtId="49" fontId="49" fillId="47" borderId="0" xfId="0" applyNumberFormat="1" applyFont="1" applyFill="1" applyAlignment="1">
      <alignment vertical="center"/>
    </xf>
    <xf numFmtId="0" fontId="49" fillId="47" borderId="0" xfId="0" applyFont="1" applyFill="1" applyAlignment="1">
      <alignment vertical="center" wrapText="1"/>
    </xf>
    <xf numFmtId="0" fontId="49" fillId="47" borderId="0" xfId="0" applyFont="1" applyFill="1" applyAlignment="1">
      <alignment vertical="center"/>
    </xf>
    <xf numFmtId="166" fontId="49" fillId="47" borderId="0" xfId="0" applyNumberFormat="1" applyFont="1" applyFill="1" applyAlignment="1">
      <alignment vertical="center"/>
    </xf>
    <xf numFmtId="0" fontId="0" fillId="47" borderId="0" xfId="0" applyFill="1"/>
    <xf numFmtId="0" fontId="57" fillId="0" borderId="0" xfId="0" applyFont="1" applyAlignment="1">
      <alignment vertical="center" wrapText="1"/>
    </xf>
    <xf numFmtId="0" fontId="57" fillId="0" borderId="0" xfId="0" applyFont="1" applyAlignment="1">
      <alignment vertical="center"/>
    </xf>
    <xf numFmtId="166" fontId="57" fillId="0" borderId="0" xfId="0" applyNumberFormat="1" applyFont="1" applyAlignment="1">
      <alignment vertical="center"/>
    </xf>
    <xf numFmtId="0" fontId="14" fillId="0" borderId="0" xfId="0" applyFont="1"/>
    <xf numFmtId="14" fontId="49" fillId="0" borderId="0" xfId="0" applyNumberFormat="1" applyFont="1" applyAlignment="1">
      <alignment horizontal="center" vertical="center"/>
    </xf>
    <xf numFmtId="0" fontId="54" fillId="0" borderId="13" xfId="0" applyFont="1" applyBorder="1" applyAlignment="1">
      <alignment horizontal="left" vertical="top" wrapText="1"/>
    </xf>
    <xf numFmtId="49" fontId="52" fillId="0" borderId="13" xfId="0" applyNumberFormat="1" applyFont="1" applyBorder="1" applyAlignment="1">
      <alignment vertical="center"/>
    </xf>
    <xf numFmtId="0" fontId="54" fillId="0" borderId="13" xfId="0" applyFont="1" applyBorder="1"/>
    <xf numFmtId="0" fontId="54" fillId="0" borderId="13" xfId="0" applyFont="1" applyBorder="1" applyAlignment="1">
      <alignment horizontal="left" vertical="top"/>
    </xf>
    <xf numFmtId="0" fontId="0" fillId="63" borderId="13" xfId="0" applyFill="1" applyBorder="1"/>
    <xf numFmtId="0" fontId="59" fillId="63" borderId="13" xfId="0" applyFont="1" applyFill="1" applyBorder="1"/>
    <xf numFmtId="0" fontId="54" fillId="58" borderId="13" xfId="0" applyFont="1" applyFill="1" applyBorder="1" applyAlignment="1">
      <alignment horizontal="left" vertical="top"/>
    </xf>
    <xf numFmtId="0" fontId="0" fillId="58" borderId="13" xfId="0" applyFill="1" applyBorder="1"/>
    <xf numFmtId="0" fontId="60" fillId="0" borderId="0" xfId="0" applyFont="1"/>
    <xf numFmtId="168" fontId="54" fillId="0" borderId="13" xfId="0" applyNumberFormat="1" applyFont="1" applyBorder="1" applyAlignment="1">
      <alignment horizontal="center" wrapText="1"/>
    </xf>
    <xf numFmtId="168" fontId="54" fillId="63" borderId="13" xfId="0" applyNumberFormat="1" applyFont="1" applyFill="1" applyBorder="1" applyAlignment="1">
      <alignment horizontal="center" wrapText="1"/>
    </xf>
    <xf numFmtId="0" fontId="54" fillId="63" borderId="13" xfId="0" applyFont="1" applyFill="1" applyBorder="1" applyAlignment="1">
      <alignment horizontal="left" vertical="top"/>
    </xf>
    <xf numFmtId="168" fontId="54" fillId="58" borderId="13" xfId="0" applyNumberFormat="1" applyFont="1" applyFill="1" applyBorder="1" applyAlignment="1">
      <alignment horizontal="center" wrapText="1"/>
    </xf>
    <xf numFmtId="0" fontId="63" fillId="0" borderId="0" xfId="0" applyFont="1"/>
    <xf numFmtId="0" fontId="64" fillId="64" borderId="32" xfId="0" applyFont="1" applyFill="1" applyBorder="1" applyAlignment="1">
      <alignment vertical="center"/>
    </xf>
    <xf numFmtId="0" fontId="65" fillId="64" borderId="32" xfId="0" applyFont="1" applyFill="1" applyBorder="1" applyAlignment="1">
      <alignment vertical="center"/>
    </xf>
    <xf numFmtId="0" fontId="65" fillId="64" borderId="33" xfId="0" applyFont="1" applyFill="1" applyBorder="1" applyAlignment="1">
      <alignment vertical="center"/>
    </xf>
    <xf numFmtId="0" fontId="66" fillId="0" borderId="0" xfId="0" applyFont="1" applyAlignment="1">
      <alignment horizontal="left" indent="6"/>
    </xf>
    <xf numFmtId="0" fontId="60" fillId="0" borderId="13" xfId="0" applyFont="1" applyBorder="1" applyAlignment="1">
      <alignment horizontal="center"/>
    </xf>
    <xf numFmtId="0" fontId="60" fillId="0" borderId="13" xfId="0" applyFont="1" applyBorder="1"/>
    <xf numFmtId="0" fontId="61" fillId="0" borderId="13" xfId="0" applyFont="1" applyBorder="1" applyAlignment="1">
      <alignment vertical="center" wrapText="1"/>
    </xf>
    <xf numFmtId="0" fontId="61" fillId="0" borderId="13" xfId="0" applyFont="1" applyBorder="1" applyAlignment="1">
      <alignment vertical="center"/>
    </xf>
    <xf numFmtId="0" fontId="60" fillId="0" borderId="13" xfId="0" applyFont="1" applyBorder="1" applyAlignment="1">
      <alignment wrapText="1"/>
    </xf>
    <xf numFmtId="49" fontId="49" fillId="0" borderId="0" xfId="0" applyNumberFormat="1" applyFont="1" applyAlignment="1">
      <alignment horizontal="center" vertical="center"/>
    </xf>
    <xf numFmtId="0" fontId="49" fillId="0" borderId="13" xfId="0" applyFont="1" applyBorder="1" applyAlignment="1">
      <alignment vertical="center" wrapText="1"/>
    </xf>
    <xf numFmtId="16" fontId="56" fillId="38" borderId="0" xfId="0" applyNumberFormat="1" applyFont="1" applyFill="1" applyAlignment="1">
      <alignment horizontal="center" vertical="center" wrapText="1" shrinkToFit="1"/>
    </xf>
    <xf numFmtId="0" fontId="49" fillId="0" borderId="31" xfId="0" applyFont="1" applyBorder="1" applyAlignment="1">
      <alignment vertical="center"/>
    </xf>
    <xf numFmtId="16" fontId="55" fillId="0" borderId="0" xfId="0" applyNumberFormat="1" applyFont="1" applyAlignment="1">
      <alignment horizontal="center" vertical="center" wrapText="1" shrinkToFit="1"/>
    </xf>
    <xf numFmtId="0" fontId="0" fillId="0" borderId="0" xfId="0" applyAlignment="1">
      <alignment horizontal="left" indent="2"/>
    </xf>
    <xf numFmtId="0" fontId="68" fillId="0" borderId="0" xfId="0" applyFont="1"/>
    <xf numFmtId="0" fontId="67" fillId="0" borderId="0" xfId="0" applyFont="1"/>
    <xf numFmtId="0" fontId="36" fillId="0" borderId="0" xfId="0" applyFont="1" applyAlignment="1">
      <alignment horizontal="center"/>
    </xf>
    <xf numFmtId="0" fontId="16" fillId="38" borderId="0" xfId="0" applyFont="1" applyFill="1" applyAlignment="1">
      <alignment horizontal="center"/>
    </xf>
    <xf numFmtId="0" fontId="49" fillId="0" borderId="0" xfId="0" quotePrefix="1" applyFont="1" applyAlignment="1">
      <alignment vertical="center"/>
    </xf>
    <xf numFmtId="0" fontId="0" fillId="0" borderId="0" xfId="0" applyAlignment="1">
      <alignment wrapText="1"/>
    </xf>
    <xf numFmtId="49" fontId="53" fillId="0" borderId="0" xfId="0" applyNumberFormat="1" applyFont="1" applyAlignment="1">
      <alignment vertical="center"/>
    </xf>
    <xf numFmtId="0" fontId="49" fillId="0" borderId="16" xfId="0" applyFont="1" applyBorder="1" applyAlignment="1">
      <alignment vertical="center"/>
    </xf>
    <xf numFmtId="0" fontId="49" fillId="0" borderId="34" xfId="0" applyFont="1" applyBorder="1" applyAlignment="1">
      <alignment vertical="center"/>
    </xf>
    <xf numFmtId="165" fontId="0" fillId="0" borderId="0" xfId="0" applyNumberFormat="1" applyAlignment="1">
      <alignment horizontal="center" vertical="center"/>
    </xf>
    <xf numFmtId="14" fontId="49" fillId="0" borderId="34" xfId="0" applyNumberFormat="1" applyFont="1" applyBorder="1" applyAlignment="1">
      <alignment vertical="center"/>
    </xf>
    <xf numFmtId="16" fontId="50" fillId="0" borderId="31" xfId="0" applyNumberFormat="1" applyFont="1" applyBorder="1" applyAlignment="1">
      <alignment vertical="center"/>
    </xf>
    <xf numFmtId="0" fontId="13" fillId="60" borderId="27" xfId="0" applyFont="1" applyFill="1" applyBorder="1" applyAlignment="1">
      <alignment horizontal="center" vertical="center"/>
    </xf>
    <xf numFmtId="0" fontId="13" fillId="60" borderId="22" xfId="0" applyFont="1" applyFill="1" applyBorder="1" applyAlignment="1">
      <alignment horizontal="center" vertical="center" wrapText="1"/>
    </xf>
    <xf numFmtId="0" fontId="13" fillId="39" borderId="22" xfId="0" applyFont="1" applyFill="1" applyBorder="1" applyAlignment="1">
      <alignment horizontal="center" vertical="center"/>
    </xf>
    <xf numFmtId="0" fontId="13" fillId="67" borderId="22" xfId="0" applyFont="1" applyFill="1" applyBorder="1" applyAlignment="1">
      <alignment horizontal="center" vertical="center" wrapText="1"/>
    </xf>
    <xf numFmtId="0" fontId="13" fillId="58" borderId="22" xfId="0" applyFont="1" applyFill="1" applyBorder="1" applyAlignment="1">
      <alignment horizontal="center" vertical="center"/>
    </xf>
    <xf numFmtId="0" fontId="13" fillId="42" borderId="22" xfId="0" applyFont="1" applyFill="1" applyBorder="1" applyAlignment="1">
      <alignment vertical="center" wrapText="1"/>
    </xf>
    <xf numFmtId="0" fontId="13" fillId="42" borderId="22" xfId="0" applyFont="1" applyFill="1" applyBorder="1" applyAlignment="1">
      <alignment vertical="center"/>
    </xf>
    <xf numFmtId="0" fontId="13" fillId="42" borderId="22" xfId="0" applyFont="1" applyFill="1" applyBorder="1" applyAlignment="1">
      <alignment horizontal="center" wrapText="1"/>
    </xf>
    <xf numFmtId="0" fontId="13" fillId="42" borderId="22" xfId="0" applyFont="1" applyFill="1" applyBorder="1" applyAlignment="1">
      <alignment horizontal="center" vertical="center"/>
    </xf>
    <xf numFmtId="14" fontId="13" fillId="60" borderId="22" xfId="0" applyNumberFormat="1" applyFont="1" applyFill="1" applyBorder="1" applyAlignment="1">
      <alignment horizontal="center" vertical="center"/>
    </xf>
    <xf numFmtId="0" fontId="13" fillId="60" borderId="22" xfId="0" applyFont="1" applyFill="1" applyBorder="1" applyAlignment="1">
      <alignment horizontal="center"/>
    </xf>
    <xf numFmtId="49" fontId="49" fillId="59" borderId="27" xfId="0" applyNumberFormat="1" applyFont="1" applyFill="1" applyBorder="1" applyAlignment="1">
      <alignment horizontal="center" vertical="center"/>
    </xf>
    <xf numFmtId="49" fontId="49" fillId="59" borderId="22" xfId="0" applyNumberFormat="1" applyFont="1" applyFill="1" applyBorder="1" applyAlignment="1">
      <alignment horizontal="center" vertical="center"/>
    </xf>
    <xf numFmtId="49" fontId="49" fillId="59" borderId="22" xfId="0" applyNumberFormat="1" applyFont="1" applyFill="1" applyBorder="1" applyAlignment="1">
      <alignment vertical="center"/>
    </xf>
    <xf numFmtId="49" fontId="52" fillId="59" borderId="22" xfId="0" applyNumberFormat="1" applyFont="1" applyFill="1" applyBorder="1" applyAlignment="1">
      <alignment vertical="center"/>
    </xf>
    <xf numFmtId="0" fontId="49" fillId="59" borderId="22" xfId="0" applyFont="1" applyFill="1" applyBorder="1" applyAlignment="1">
      <alignment vertical="center" wrapText="1"/>
    </xf>
    <xf numFmtId="0" fontId="49" fillId="59" borderId="22" xfId="0" applyFont="1" applyFill="1" applyBorder="1" applyAlignment="1">
      <alignment vertical="center"/>
    </xf>
    <xf numFmtId="166" fontId="49" fillId="59" borderId="22" xfId="0" applyNumberFormat="1" applyFont="1" applyFill="1" applyBorder="1" applyAlignment="1">
      <alignment vertical="center"/>
    </xf>
    <xf numFmtId="49" fontId="49" fillId="0" borderId="27" xfId="0" applyNumberFormat="1" applyFont="1" applyBorder="1" applyAlignment="1">
      <alignment horizontal="center" vertical="center"/>
    </xf>
    <xf numFmtId="49" fontId="49" fillId="0" borderId="22" xfId="0" applyNumberFormat="1" applyFont="1" applyBorder="1" applyAlignment="1">
      <alignment horizontal="center" vertical="center"/>
    </xf>
    <xf numFmtId="49" fontId="49" fillId="0" borderId="22" xfId="0" applyNumberFormat="1" applyFont="1" applyBorder="1" applyAlignment="1">
      <alignment vertical="center"/>
    </xf>
    <xf numFmtId="49" fontId="52" fillId="0" borderId="22" xfId="0" applyNumberFormat="1" applyFont="1" applyBorder="1" applyAlignment="1">
      <alignment vertical="center"/>
    </xf>
    <xf numFmtId="0" fontId="49" fillId="0" borderId="22" xfId="0" applyFont="1" applyBorder="1" applyAlignment="1">
      <alignment vertical="center" wrapText="1"/>
    </xf>
    <xf numFmtId="0" fontId="49" fillId="0" borderId="22" xfId="0" applyFont="1" applyBorder="1" applyAlignment="1">
      <alignment vertical="center"/>
    </xf>
    <xf numFmtId="166" fontId="49" fillId="0" borderId="22" xfId="0" applyNumberFormat="1" applyFont="1" applyBorder="1" applyAlignment="1">
      <alignment vertical="center"/>
    </xf>
    <xf numFmtId="49" fontId="52" fillId="59" borderId="22" xfId="0" applyNumberFormat="1" applyFont="1" applyFill="1" applyBorder="1" applyAlignment="1">
      <alignment vertical="center" wrapText="1"/>
    </xf>
    <xf numFmtId="0" fontId="52" fillId="0" borderId="22" xfId="0" applyFont="1" applyBorder="1" applyAlignment="1">
      <alignment vertical="center" wrapText="1"/>
    </xf>
    <xf numFmtId="0" fontId="52" fillId="59" borderId="22" xfId="0" applyFont="1" applyFill="1" applyBorder="1" applyAlignment="1">
      <alignment vertical="center" wrapText="1"/>
    </xf>
    <xf numFmtId="49" fontId="52" fillId="47" borderId="22" xfId="0" applyNumberFormat="1" applyFont="1" applyFill="1" applyBorder="1" applyAlignment="1">
      <alignment vertical="center" wrapText="1"/>
    </xf>
    <xf numFmtId="49" fontId="49" fillId="59" borderId="22" xfId="0" applyNumberFormat="1" applyFont="1" applyFill="1" applyBorder="1" applyAlignment="1">
      <alignment vertical="center" wrapText="1"/>
    </xf>
    <xf numFmtId="49" fontId="52" fillId="0" borderId="22" xfId="0" applyNumberFormat="1" applyFont="1" applyBorder="1" applyAlignment="1">
      <alignment vertical="center" wrapText="1"/>
    </xf>
    <xf numFmtId="49" fontId="52" fillId="56" borderId="22" xfId="0" applyNumberFormat="1" applyFont="1" applyFill="1" applyBorder="1" applyAlignment="1">
      <alignment vertical="center"/>
    </xf>
    <xf numFmtId="0" fontId="57" fillId="59" borderId="22" xfId="0" applyFont="1" applyFill="1" applyBorder="1" applyAlignment="1">
      <alignment vertical="center"/>
    </xf>
    <xf numFmtId="0" fontId="49" fillId="59" borderId="35" xfId="0" applyFont="1" applyFill="1" applyBorder="1" applyAlignment="1">
      <alignment vertical="center"/>
    </xf>
    <xf numFmtId="14" fontId="49" fillId="59" borderId="22" xfId="0" applyNumberFormat="1" applyFont="1" applyFill="1" applyBorder="1" applyAlignment="1">
      <alignment vertical="center"/>
    </xf>
    <xf numFmtId="49" fontId="52" fillId="35" borderId="22" xfId="0" applyNumberFormat="1" applyFont="1" applyFill="1" applyBorder="1" applyAlignment="1">
      <alignment vertical="center"/>
    </xf>
    <xf numFmtId="0" fontId="49" fillId="55" borderId="22" xfId="0" applyFont="1" applyFill="1" applyBorder="1" applyAlignment="1">
      <alignment vertical="center" wrapText="1"/>
    </xf>
    <xf numFmtId="49" fontId="57" fillId="59" borderId="27" xfId="0" applyNumberFormat="1" applyFont="1" applyFill="1" applyBorder="1" applyAlignment="1">
      <alignment horizontal="center" vertical="center"/>
    </xf>
    <xf numFmtId="49" fontId="57" fillId="59" borderId="22" xfId="0" applyNumberFormat="1" applyFont="1" applyFill="1" applyBorder="1" applyAlignment="1">
      <alignment horizontal="center" vertical="center"/>
    </xf>
    <xf numFmtId="49" fontId="57" fillId="59" borderId="22" xfId="0" applyNumberFormat="1" applyFont="1" applyFill="1" applyBorder="1" applyAlignment="1">
      <alignment vertical="center"/>
    </xf>
    <xf numFmtId="49" fontId="58" fillId="59" borderId="22" xfId="0" applyNumberFormat="1" applyFont="1" applyFill="1" applyBorder="1" applyAlignment="1">
      <alignment vertical="center"/>
    </xf>
    <xf numFmtId="166" fontId="57" fillId="59" borderId="22" xfId="0" applyNumberFormat="1" applyFont="1" applyFill="1" applyBorder="1" applyAlignment="1">
      <alignment vertical="center"/>
    </xf>
    <xf numFmtId="0" fontId="57" fillId="59" borderId="35" xfId="0" applyFont="1" applyFill="1" applyBorder="1" applyAlignment="1">
      <alignment vertical="center"/>
    </xf>
    <xf numFmtId="0" fontId="14" fillId="59" borderId="26" xfId="0" applyFont="1" applyFill="1" applyBorder="1"/>
    <xf numFmtId="167" fontId="52" fillId="0" borderId="0" xfId="0" applyNumberFormat="1" applyFont="1" applyAlignment="1">
      <alignment vertical="center"/>
    </xf>
    <xf numFmtId="0" fontId="50" fillId="66" borderId="0" xfId="0" applyFont="1" applyFill="1" applyAlignment="1">
      <alignment vertical="center"/>
    </xf>
    <xf numFmtId="49" fontId="49" fillId="55" borderId="0" xfId="0" applyNumberFormat="1" applyFont="1" applyFill="1" applyAlignment="1">
      <alignment vertical="center" wrapText="1"/>
    </xf>
    <xf numFmtId="0" fontId="69" fillId="65" borderId="0" xfId="0" applyFont="1" applyFill="1" applyAlignment="1">
      <alignment vertical="center"/>
    </xf>
    <xf numFmtId="16" fontId="50" fillId="0" borderId="0" xfId="0" applyNumberFormat="1" applyFont="1" applyAlignment="1">
      <alignment vertical="center"/>
    </xf>
    <xf numFmtId="16" fontId="50" fillId="0" borderId="4" xfId="0" applyNumberFormat="1" applyFont="1" applyBorder="1" applyAlignment="1">
      <alignment vertical="center"/>
    </xf>
    <xf numFmtId="16" fontId="49" fillId="38" borderId="0" xfId="0" applyNumberFormat="1" applyFont="1" applyFill="1" applyAlignment="1">
      <alignment vertical="center"/>
    </xf>
    <xf numFmtId="166" fontId="49" fillId="0" borderId="0" xfId="0" applyNumberFormat="1" applyFont="1" applyAlignment="1">
      <alignment vertical="center" wrapText="1"/>
    </xf>
    <xf numFmtId="166" fontId="70" fillId="0" borderId="0" xfId="0" applyNumberFormat="1" applyFont="1" applyAlignment="1">
      <alignment vertical="center"/>
    </xf>
    <xf numFmtId="0" fontId="40" fillId="59" borderId="22" xfId="0" applyFont="1" applyFill="1" applyBorder="1" applyAlignment="1">
      <alignment horizontal="left" vertical="center" wrapText="1"/>
    </xf>
    <xf numFmtId="0" fontId="20" fillId="59" borderId="22" xfId="0" applyFont="1" applyFill="1" applyBorder="1" applyAlignment="1">
      <alignment horizontal="left" vertical="center" wrapText="1"/>
    </xf>
    <xf numFmtId="0" fontId="23" fillId="0" borderId="22" xfId="0" applyFont="1" applyBorder="1" applyAlignment="1">
      <alignment wrapText="1"/>
    </xf>
    <xf numFmtId="0" fontId="20" fillId="0" borderId="22" xfId="0" applyFont="1" applyBorder="1" applyAlignment="1">
      <alignment wrapText="1"/>
    </xf>
    <xf numFmtId="0" fontId="20" fillId="0" borderId="22" xfId="0" applyFont="1" applyBorder="1" applyAlignment="1">
      <alignment horizontal="left" vertical="center"/>
    </xf>
    <xf numFmtId="0" fontId="20" fillId="0" borderId="25" xfId="0" applyFont="1" applyBorder="1" applyAlignment="1">
      <alignment horizontal="left" vertical="center" wrapText="1"/>
    </xf>
    <xf numFmtId="0" fontId="20" fillId="0" borderId="28" xfId="0" applyFont="1" applyBorder="1" applyAlignment="1">
      <alignment horizontal="left" vertical="center" wrapText="1"/>
    </xf>
    <xf numFmtId="0" fontId="20" fillId="0" borderId="25" xfId="0" applyFont="1" applyBorder="1" applyAlignment="1">
      <alignment horizontal="left" vertical="center"/>
    </xf>
    <xf numFmtId="0" fontId="20" fillId="59" borderId="22" xfId="0" applyFont="1" applyFill="1" applyBorder="1" applyAlignment="1">
      <alignment horizontal="left" vertical="center"/>
    </xf>
    <xf numFmtId="0" fontId="20" fillId="0" borderId="22" xfId="0" applyFont="1" applyBorder="1" applyAlignment="1">
      <alignment horizontal="left" vertical="center" wrapText="1"/>
    </xf>
    <xf numFmtId="0" fontId="20" fillId="59" borderId="22" xfId="0" applyFont="1" applyFill="1" applyBorder="1" applyAlignment="1">
      <alignment wrapText="1"/>
    </xf>
    <xf numFmtId="0" fontId="40" fillId="0" borderId="22" xfId="0" applyFont="1" applyBorder="1" applyAlignment="1">
      <alignment horizontal="left" vertical="center" wrapText="1"/>
    </xf>
    <xf numFmtId="0" fontId="49" fillId="0" borderId="0" xfId="0" quotePrefix="1" applyFont="1" applyAlignment="1">
      <alignment vertical="center" wrapText="1"/>
    </xf>
    <xf numFmtId="0" fontId="49" fillId="35" borderId="0" xfId="0" applyFont="1" applyFill="1" applyAlignment="1">
      <alignment vertical="center"/>
    </xf>
    <xf numFmtId="166" fontId="70" fillId="0" borderId="0" xfId="0" applyNumberFormat="1" applyFont="1" applyAlignment="1">
      <alignment vertical="center" wrapText="1"/>
    </xf>
    <xf numFmtId="14" fontId="49" fillId="0" borderId="0" xfId="0" applyNumberFormat="1" applyFont="1" applyAlignment="1">
      <alignment vertical="center" wrapText="1"/>
    </xf>
    <xf numFmtId="2" fontId="49" fillId="0" borderId="0" xfId="0" applyNumberFormat="1" applyFont="1" applyAlignment="1">
      <alignment vertical="center" wrapText="1"/>
    </xf>
    <xf numFmtId="14" fontId="49" fillId="0" borderId="31" xfId="0" applyNumberFormat="1" applyFont="1" applyBorder="1" applyAlignment="1">
      <alignment vertical="center" wrapText="1"/>
    </xf>
    <xf numFmtId="0" fontId="0" fillId="0" borderId="0" xfId="0" applyAlignment="1">
      <alignment vertical="center" wrapText="1"/>
    </xf>
    <xf numFmtId="49" fontId="53" fillId="0" borderId="0" xfId="0" applyNumberFormat="1" applyFont="1" applyAlignment="1">
      <alignment vertical="center" wrapText="1"/>
    </xf>
    <xf numFmtId="49" fontId="49" fillId="38" borderId="0" xfId="0" applyNumberFormat="1" applyFont="1" applyFill="1" applyAlignment="1">
      <alignment vertical="center"/>
    </xf>
    <xf numFmtId="0" fontId="49" fillId="38" borderId="0" xfId="0" applyFont="1" applyFill="1" applyAlignment="1">
      <alignment vertical="center"/>
    </xf>
    <xf numFmtId="166" fontId="49" fillId="38" borderId="0" xfId="0" applyNumberFormat="1" applyFont="1" applyFill="1" applyAlignment="1">
      <alignment vertical="center"/>
    </xf>
    <xf numFmtId="14" fontId="49" fillId="38" borderId="0" xfId="0" applyNumberFormat="1" applyFont="1" applyFill="1" applyAlignment="1">
      <alignment vertical="center"/>
    </xf>
    <xf numFmtId="2" fontId="49" fillId="38" borderId="0" xfId="0" applyNumberFormat="1" applyFont="1" applyFill="1" applyAlignment="1">
      <alignment vertical="center"/>
    </xf>
    <xf numFmtId="49" fontId="53" fillId="57" borderId="0" xfId="0" applyNumberFormat="1" applyFont="1" applyFill="1" applyAlignment="1">
      <alignment vertical="center" wrapText="1"/>
    </xf>
    <xf numFmtId="49" fontId="52" fillId="41" borderId="0" xfId="0" applyNumberFormat="1" applyFont="1" applyFill="1" applyAlignment="1">
      <alignment vertical="center"/>
    </xf>
    <xf numFmtId="16" fontId="50" fillId="34" borderId="0" xfId="0" applyNumberFormat="1" applyFont="1" applyFill="1" applyAlignment="1">
      <alignment vertical="center"/>
    </xf>
    <xf numFmtId="14" fontId="49" fillId="0" borderId="31" xfId="0" applyNumberFormat="1" applyFont="1" applyBorder="1" applyAlignment="1">
      <alignment vertical="center"/>
    </xf>
    <xf numFmtId="16" fontId="50" fillId="0" borderId="34" xfId="0" applyNumberFormat="1" applyFont="1" applyBorder="1" applyAlignment="1">
      <alignment vertical="center"/>
    </xf>
    <xf numFmtId="0" fontId="0" fillId="0" borderId="0" xfId="0" pivotButton="1" applyAlignment="1">
      <alignment horizontal="center" vertical="center"/>
    </xf>
    <xf numFmtId="0" fontId="0" fillId="0" borderId="0" xfId="0" pivotButton="1" applyAlignment="1">
      <alignment horizontal="center"/>
    </xf>
    <xf numFmtId="0" fontId="73" fillId="0" borderId="0" xfId="0" applyFont="1"/>
    <xf numFmtId="0" fontId="49" fillId="0" borderId="38" xfId="0" applyFont="1" applyBorder="1" applyAlignment="1">
      <alignment vertical="center" wrapText="1"/>
    </xf>
    <xf numFmtId="0" fontId="16" fillId="0" borderId="0" xfId="0" applyFont="1" applyAlignment="1">
      <alignment horizontal="center" vertical="center" wrapText="1"/>
    </xf>
    <xf numFmtId="0" fontId="0" fillId="39" borderId="0" xfId="0" applyFill="1" applyAlignment="1">
      <alignment horizontal="center" vertical="center"/>
    </xf>
    <xf numFmtId="0" fontId="0" fillId="67" borderId="0" xfId="0" applyFill="1" applyAlignment="1">
      <alignment horizontal="center" vertical="center" wrapText="1"/>
    </xf>
    <xf numFmtId="0" fontId="0" fillId="58" borderId="0" xfId="0" applyFill="1" applyAlignment="1">
      <alignment horizontal="center" vertical="center"/>
    </xf>
    <xf numFmtId="0" fontId="0" fillId="42" borderId="0" xfId="0" applyFill="1" applyAlignment="1">
      <alignment vertical="center" wrapText="1"/>
    </xf>
    <xf numFmtId="0" fontId="0" fillId="42" borderId="0" xfId="0" applyFill="1" applyAlignment="1">
      <alignment horizontal="center" wrapText="1"/>
    </xf>
    <xf numFmtId="0" fontId="0" fillId="42" borderId="0" xfId="0" applyFill="1" applyAlignment="1">
      <alignment horizontal="center" vertical="center"/>
    </xf>
    <xf numFmtId="14" fontId="0" fillId="0" borderId="0" xfId="0" applyNumberFormat="1" applyAlignment="1">
      <alignment horizontal="center" vertical="center"/>
    </xf>
    <xf numFmtId="166" fontId="51" fillId="0" borderId="0" xfId="0" applyNumberFormat="1" applyFont="1" applyAlignment="1">
      <alignment vertical="center" wrapText="1"/>
    </xf>
    <xf numFmtId="49" fontId="57" fillId="0" borderId="0" xfId="0" applyNumberFormat="1" applyFont="1" applyAlignment="1">
      <alignment vertical="center" wrapText="1"/>
    </xf>
    <xf numFmtId="0" fontId="16" fillId="0" borderId="0" xfId="0" applyFont="1" applyAlignment="1">
      <alignment vertical="top" wrapText="1"/>
    </xf>
    <xf numFmtId="0" fontId="0" fillId="41" borderId="0" xfId="0" applyFill="1"/>
    <xf numFmtId="0" fontId="27" fillId="41" borderId="0" xfId="0" applyFont="1" applyFill="1"/>
    <xf numFmtId="0" fontId="67" fillId="41" borderId="0" xfId="0" applyFont="1" applyFill="1"/>
    <xf numFmtId="0" fontId="0" fillId="49" borderId="0" xfId="0" applyFill="1"/>
    <xf numFmtId="0" fontId="27" fillId="49" borderId="0" xfId="0" applyFont="1" applyFill="1"/>
    <xf numFmtId="0" fontId="0" fillId="67" borderId="0" xfId="0" applyFill="1"/>
    <xf numFmtId="0" fontId="27" fillId="67" borderId="0" xfId="0" applyFont="1" applyFill="1"/>
    <xf numFmtId="0" fontId="67" fillId="67" borderId="0" xfId="0" applyFont="1" applyFill="1"/>
    <xf numFmtId="0" fontId="74" fillId="49" borderId="0" xfId="0" applyFont="1" applyFill="1"/>
    <xf numFmtId="0" fontId="75" fillId="49" borderId="0" xfId="0" applyFont="1" applyFill="1"/>
    <xf numFmtId="0" fontId="0" fillId="69" borderId="0" xfId="0" applyFill="1"/>
    <xf numFmtId="0" fontId="27" fillId="69" borderId="0" xfId="0" applyFont="1" applyFill="1"/>
    <xf numFmtId="0" fontId="67" fillId="69" borderId="0" xfId="0" applyFont="1" applyFill="1"/>
    <xf numFmtId="0" fontId="0" fillId="70" borderId="0" xfId="0" applyFill="1"/>
    <xf numFmtId="16" fontId="69" fillId="0" borderId="0" xfId="0" applyNumberFormat="1" applyFont="1" applyAlignment="1">
      <alignment vertical="center"/>
    </xf>
    <xf numFmtId="0" fontId="0" fillId="71" borderId="0" xfId="0" applyFill="1"/>
    <xf numFmtId="0" fontId="49" fillId="0" borderId="39" xfId="0" applyFont="1" applyBorder="1" applyAlignment="1">
      <alignment vertical="center" wrapText="1"/>
    </xf>
    <xf numFmtId="1" fontId="49" fillId="0" borderId="0" xfId="0" applyNumberFormat="1" applyFont="1" applyAlignment="1">
      <alignment horizontal="center" vertical="center" wrapText="1"/>
    </xf>
    <xf numFmtId="0" fontId="0" fillId="55" borderId="0" xfId="0" applyFill="1" applyAlignment="1">
      <alignment horizontal="left"/>
    </xf>
    <xf numFmtId="14" fontId="49" fillId="0" borderId="13" xfId="0" applyNumberFormat="1" applyFont="1" applyBorder="1" applyAlignment="1">
      <alignment vertical="center"/>
    </xf>
    <xf numFmtId="0" fontId="0" fillId="72" borderId="0" xfId="0" applyFill="1" applyAlignment="1">
      <alignment horizontal="left" indent="1"/>
    </xf>
    <xf numFmtId="165" fontId="0" fillId="72" borderId="0" xfId="0" applyNumberFormat="1" applyFill="1" applyAlignment="1">
      <alignment horizontal="center"/>
    </xf>
    <xf numFmtId="16" fontId="52" fillId="38" borderId="0" xfId="0" applyNumberFormat="1" applyFont="1" applyFill="1" applyAlignment="1">
      <alignment horizontal="center" vertical="center"/>
    </xf>
    <xf numFmtId="16" fontId="52" fillId="38" borderId="31" xfId="0" applyNumberFormat="1" applyFont="1" applyFill="1" applyBorder="1" applyAlignment="1">
      <alignment horizontal="center" vertical="center"/>
    </xf>
    <xf numFmtId="167" fontId="52" fillId="0" borderId="31" xfId="0" applyNumberFormat="1" applyFont="1" applyBorder="1" applyAlignment="1">
      <alignment horizontal="center" vertical="center"/>
    </xf>
    <xf numFmtId="16" fontId="52" fillId="38" borderId="30" xfId="0" applyNumberFormat="1" applyFont="1" applyFill="1" applyBorder="1" applyAlignment="1">
      <alignment horizontal="center" vertical="center"/>
    </xf>
    <xf numFmtId="14" fontId="16" fillId="0" borderId="0" xfId="0" applyNumberFormat="1" applyFont="1" applyAlignment="1">
      <alignment horizontal="center" vertical="center"/>
    </xf>
    <xf numFmtId="2" fontId="16" fillId="0" borderId="0" xfId="0" applyNumberFormat="1" applyFont="1" applyAlignment="1">
      <alignment horizontal="center" vertical="center"/>
    </xf>
    <xf numFmtId="2" fontId="52" fillId="0" borderId="0" xfId="0" applyNumberFormat="1" applyFont="1" applyAlignment="1">
      <alignment horizontal="center" vertical="center"/>
    </xf>
    <xf numFmtId="16" fontId="52" fillId="0" borderId="0" xfId="0" applyNumberFormat="1" applyFont="1" applyAlignment="1">
      <alignment horizontal="center" vertical="center"/>
    </xf>
    <xf numFmtId="16" fontId="56" fillId="0" borderId="0" xfId="0" applyNumberFormat="1" applyFont="1" applyAlignment="1">
      <alignment horizontal="center" vertical="center" wrapText="1" shrinkToFit="1"/>
    </xf>
    <xf numFmtId="16" fontId="56" fillId="0" borderId="31" xfId="0" applyNumberFormat="1" applyFont="1" applyBorder="1" applyAlignment="1">
      <alignment horizontal="center" vertical="center" wrapText="1" shrinkToFit="1"/>
    </xf>
    <xf numFmtId="14" fontId="57" fillId="0" borderId="0" xfId="0" applyNumberFormat="1" applyFont="1" applyAlignment="1">
      <alignment vertical="center"/>
    </xf>
    <xf numFmtId="14" fontId="52" fillId="0" borderId="0" xfId="0" applyNumberFormat="1" applyFont="1" applyAlignment="1">
      <alignment vertical="center"/>
    </xf>
    <xf numFmtId="2" fontId="52" fillId="0" borderId="0" xfId="0" applyNumberFormat="1" applyFont="1" applyAlignment="1">
      <alignment vertical="center"/>
    </xf>
    <xf numFmtId="16" fontId="52" fillId="0" borderId="0" xfId="0" applyNumberFormat="1" applyFont="1" applyAlignment="1">
      <alignment vertical="center"/>
    </xf>
    <xf numFmtId="0" fontId="77" fillId="0" borderId="13" xfId="0" applyFont="1" applyBorder="1"/>
    <xf numFmtId="165" fontId="27" fillId="0" borderId="0" xfId="0" applyNumberFormat="1" applyFont="1" applyAlignment="1">
      <alignment horizontal="center"/>
    </xf>
    <xf numFmtId="0" fontId="78" fillId="0" borderId="0" xfId="0" applyFont="1" applyAlignment="1">
      <alignment horizontal="left" indent="2"/>
    </xf>
    <xf numFmtId="165" fontId="78" fillId="0" borderId="0" xfId="0" applyNumberFormat="1" applyFont="1" applyAlignment="1">
      <alignment horizontal="center"/>
    </xf>
    <xf numFmtId="16" fontId="0" fillId="0" borderId="0" xfId="0" applyNumberFormat="1"/>
    <xf numFmtId="16" fontId="27" fillId="0" borderId="0" xfId="0" applyNumberFormat="1" applyFont="1" applyAlignment="1">
      <alignment horizontal="center"/>
    </xf>
    <xf numFmtId="16" fontId="0" fillId="0" borderId="0" xfId="0" applyNumberFormat="1" applyAlignment="1">
      <alignment horizontal="center"/>
    </xf>
    <xf numFmtId="0" fontId="0" fillId="38" borderId="10" xfId="0" applyFill="1" applyBorder="1" applyAlignment="1">
      <alignment horizontal="center" vertical="center"/>
    </xf>
    <xf numFmtId="0" fontId="21" fillId="38" borderId="10" xfId="0" applyFont="1" applyFill="1" applyBorder="1" applyAlignment="1">
      <alignment horizontal="center" vertical="center" wrapText="1"/>
    </xf>
    <xf numFmtId="0" fontId="55" fillId="38" borderId="10" xfId="0" applyFont="1" applyFill="1" applyBorder="1" applyAlignment="1">
      <alignment horizontal="center" vertical="center" wrapText="1"/>
    </xf>
    <xf numFmtId="0" fontId="21" fillId="38" borderId="10" xfId="0" applyFont="1" applyFill="1" applyBorder="1" applyAlignment="1">
      <alignment horizontal="center" vertical="center"/>
    </xf>
    <xf numFmtId="0" fontId="0" fillId="72" borderId="0" xfId="0" applyFill="1" applyAlignment="1">
      <alignment horizontal="left"/>
    </xf>
    <xf numFmtId="2" fontId="79" fillId="47" borderId="0" xfId="0" applyNumberFormat="1" applyFont="1" applyFill="1" applyAlignment="1">
      <alignment vertical="center"/>
    </xf>
    <xf numFmtId="1" fontId="0" fillId="0" borderId="0" xfId="0" applyNumberFormat="1" applyAlignment="1">
      <alignment horizontal="center"/>
    </xf>
    <xf numFmtId="21" fontId="0" fillId="0" borderId="0" xfId="0" applyNumberFormat="1"/>
    <xf numFmtId="0" fontId="16" fillId="0" borderId="0" xfId="0" applyFont="1" applyAlignment="1">
      <alignment wrapText="1"/>
    </xf>
    <xf numFmtId="0" fontId="53" fillId="47" borderId="0" xfId="0" applyFont="1" applyFill="1" applyAlignment="1">
      <alignment vertical="center" wrapText="1"/>
    </xf>
    <xf numFmtId="49" fontId="52" fillId="73" borderId="0" xfId="0" applyNumberFormat="1" applyFont="1" applyFill="1" applyAlignment="1">
      <alignment vertical="center"/>
    </xf>
    <xf numFmtId="166" fontId="57" fillId="0" borderId="0" xfId="0" applyNumberFormat="1" applyFont="1" applyAlignment="1">
      <alignment vertical="center" wrapText="1"/>
    </xf>
    <xf numFmtId="165" fontId="0" fillId="0" borderId="0" xfId="0" applyNumberFormat="1"/>
    <xf numFmtId="0" fontId="82" fillId="0" borderId="0" xfId="0" applyFont="1"/>
    <xf numFmtId="0" fontId="79" fillId="38" borderId="0" xfId="0" applyFont="1" applyFill="1" applyAlignment="1">
      <alignment vertical="center"/>
    </xf>
    <xf numFmtId="0" fontId="17" fillId="38" borderId="0" xfId="0" applyFont="1" applyFill="1"/>
    <xf numFmtId="49" fontId="50" fillId="0" borderId="0" xfId="0" applyNumberFormat="1" applyFont="1" applyAlignment="1">
      <alignment vertical="center" wrapText="1"/>
    </xf>
    <xf numFmtId="49" fontId="49" fillId="47" borderId="0" xfId="0" applyNumberFormat="1" applyFont="1" applyFill="1" applyAlignment="1">
      <alignment vertical="center" wrapText="1"/>
    </xf>
    <xf numFmtId="49" fontId="50" fillId="0" borderId="0" xfId="0" applyNumberFormat="1" applyFont="1" applyAlignment="1">
      <alignment vertical="center"/>
    </xf>
    <xf numFmtId="49" fontId="50" fillId="57" borderId="0" xfId="0" applyNumberFormat="1" applyFont="1" applyFill="1" applyAlignment="1">
      <alignment vertical="center" wrapText="1"/>
    </xf>
    <xf numFmtId="49" fontId="57" fillId="0" borderId="0" xfId="0" applyNumberFormat="1" applyFont="1" applyAlignment="1">
      <alignment vertical="center"/>
    </xf>
    <xf numFmtId="49" fontId="49" fillId="73" borderId="0" xfId="0" applyNumberFormat="1" applyFont="1" applyFill="1" applyAlignment="1">
      <alignment vertical="center"/>
    </xf>
    <xf numFmtId="49" fontId="49" fillId="41" borderId="0" xfId="0" applyNumberFormat="1" applyFont="1" applyFill="1" applyAlignment="1">
      <alignment vertical="center"/>
    </xf>
    <xf numFmtId="49" fontId="49" fillId="56" borderId="0" xfId="0" applyNumberFormat="1" applyFont="1" applyFill="1" applyAlignment="1">
      <alignment vertical="center"/>
    </xf>
    <xf numFmtId="49" fontId="49" fillId="0" borderId="13" xfId="0" applyNumberFormat="1" applyFont="1" applyBorder="1" applyAlignment="1">
      <alignment vertical="center"/>
    </xf>
    <xf numFmtId="0" fontId="83" fillId="75" borderId="0" xfId="0" applyFont="1" applyFill="1"/>
    <xf numFmtId="0" fontId="83" fillId="75" borderId="42" xfId="0" applyFont="1" applyFill="1" applyBorder="1"/>
    <xf numFmtId="0" fontId="83" fillId="75" borderId="43" xfId="0" applyFont="1" applyFill="1" applyBorder="1"/>
    <xf numFmtId="0" fontId="83" fillId="0" borderId="42" xfId="0" applyFont="1" applyBorder="1"/>
    <xf numFmtId="9" fontId="83" fillId="0" borderId="42" xfId="0" applyNumberFormat="1" applyFont="1" applyBorder="1"/>
    <xf numFmtId="9" fontId="83" fillId="75" borderId="43" xfId="0" applyNumberFormat="1" applyFont="1" applyFill="1" applyBorder="1"/>
    <xf numFmtId="0" fontId="83" fillId="0" borderId="0" xfId="0" applyFont="1"/>
    <xf numFmtId="9" fontId="83" fillId="0" borderId="0" xfId="0" applyNumberFormat="1" applyFont="1"/>
    <xf numFmtId="167" fontId="58" fillId="0" borderId="0" xfId="0" applyNumberFormat="1" applyFont="1" applyAlignment="1">
      <alignment horizontal="center" vertical="center"/>
    </xf>
    <xf numFmtId="167" fontId="50" fillId="0" borderId="0" xfId="0" applyNumberFormat="1" applyFont="1" applyAlignment="1">
      <alignment vertical="center"/>
    </xf>
    <xf numFmtId="14" fontId="49" fillId="0" borderId="16" xfId="0" applyNumberFormat="1" applyFont="1" applyBorder="1" applyAlignment="1">
      <alignment vertical="center"/>
    </xf>
    <xf numFmtId="6" fontId="83" fillId="0" borderId="42" xfId="0" applyNumberFormat="1" applyFont="1" applyBorder="1"/>
    <xf numFmtId="0" fontId="58" fillId="0" borderId="0" xfId="0" applyFont="1" applyAlignment="1">
      <alignment vertical="center"/>
    </xf>
    <xf numFmtId="16" fontId="50" fillId="0" borderId="0" xfId="0" applyNumberFormat="1" applyFont="1"/>
    <xf numFmtId="16" fontId="50" fillId="75" borderId="0" xfId="0" applyNumberFormat="1" applyFont="1" applyFill="1"/>
    <xf numFmtId="16" fontId="50" fillId="74" borderId="0" xfId="0" applyNumberFormat="1" applyFont="1" applyFill="1"/>
    <xf numFmtId="44" fontId="0" fillId="0" borderId="0" xfId="0" applyNumberFormat="1"/>
    <xf numFmtId="44" fontId="0" fillId="0" borderId="0" xfId="0" applyNumberFormat="1" applyAlignment="1">
      <alignment vertical="center"/>
    </xf>
    <xf numFmtId="44" fontId="0" fillId="72" borderId="0" xfId="0" applyNumberFormat="1" applyFill="1"/>
    <xf numFmtId="44" fontId="0" fillId="0" borderId="0" xfId="0" applyNumberFormat="1" applyAlignment="1">
      <alignment horizontal="center"/>
    </xf>
    <xf numFmtId="44" fontId="0" fillId="0" borderId="0" xfId="0" applyNumberFormat="1" applyAlignment="1">
      <alignment horizontal="center" vertical="center"/>
    </xf>
    <xf numFmtId="14" fontId="49" fillId="0" borderId="22" xfId="0" applyNumberFormat="1" applyFont="1" applyBorder="1" applyAlignment="1">
      <alignment vertical="center" wrapText="1"/>
    </xf>
    <xf numFmtId="0" fontId="84" fillId="0" borderId="0" xfId="0" applyFont="1"/>
    <xf numFmtId="14" fontId="20" fillId="0" borderId="0" xfId="0" applyNumberFormat="1" applyFont="1"/>
    <xf numFmtId="49" fontId="49" fillId="57" borderId="0" xfId="0" applyNumberFormat="1" applyFont="1" applyFill="1" applyAlignment="1">
      <alignment vertical="center"/>
    </xf>
    <xf numFmtId="16" fontId="56" fillId="0" borderId="30" xfId="0" applyNumberFormat="1" applyFont="1" applyBorder="1" applyAlignment="1">
      <alignment horizontal="center" vertical="center" wrapText="1" shrinkToFit="1"/>
    </xf>
    <xf numFmtId="167" fontId="52" fillId="0" borderId="34" xfId="0" applyNumberFormat="1" applyFont="1" applyBorder="1" applyAlignment="1">
      <alignment horizontal="center" vertical="center"/>
    </xf>
    <xf numFmtId="0" fontId="73" fillId="0" borderId="0" xfId="0" applyFont="1" applyAlignment="1">
      <alignment vertical="center"/>
    </xf>
    <xf numFmtId="0" fontId="0" fillId="35" borderId="0" xfId="0" applyFill="1" applyAlignment="1">
      <alignment horizontal="center" vertical="center"/>
    </xf>
    <xf numFmtId="16" fontId="85" fillId="38" borderId="0" xfId="0" applyNumberFormat="1" applyFont="1" applyFill="1" applyAlignment="1">
      <alignment horizontal="center" vertical="center" wrapText="1" shrinkToFit="1"/>
    </xf>
    <xf numFmtId="49" fontId="49" fillId="0" borderId="16" xfId="0" applyNumberFormat="1" applyFont="1" applyBorder="1" applyAlignment="1">
      <alignment vertical="center"/>
    </xf>
    <xf numFmtId="0" fontId="49" fillId="0" borderId="37" xfId="0" applyFont="1" applyBorder="1" applyAlignment="1">
      <alignment vertical="center"/>
    </xf>
    <xf numFmtId="2" fontId="49" fillId="0" borderId="31" xfId="0" applyNumberFormat="1" applyFont="1" applyBorder="1" applyAlignment="1">
      <alignment vertical="center"/>
    </xf>
    <xf numFmtId="16" fontId="56" fillId="0" borderId="34" xfId="0" applyNumberFormat="1" applyFont="1" applyBorder="1" applyAlignment="1">
      <alignment horizontal="center" vertical="center" wrapText="1" shrinkToFit="1"/>
    </xf>
    <xf numFmtId="167" fontId="52" fillId="0" borderId="4" xfId="0" applyNumberFormat="1" applyFont="1" applyBorder="1" applyAlignment="1">
      <alignment horizontal="center" vertical="center"/>
    </xf>
    <xf numFmtId="16" fontId="56" fillId="0" borderId="29" xfId="0" applyNumberFormat="1" applyFont="1" applyBorder="1" applyAlignment="1">
      <alignment horizontal="center" vertical="center" wrapText="1" shrinkToFit="1"/>
    </xf>
    <xf numFmtId="16" fontId="52" fillId="0" borderId="34" xfId="0" applyNumberFormat="1" applyFont="1" applyBorder="1" applyAlignment="1">
      <alignment horizontal="center" vertical="center"/>
    </xf>
    <xf numFmtId="0" fontId="49" fillId="0" borderId="41" xfId="0" applyFont="1" applyBorder="1" applyAlignment="1">
      <alignment vertical="center"/>
    </xf>
    <xf numFmtId="16" fontId="49" fillId="0" borderId="34" xfId="0" applyNumberFormat="1" applyFont="1" applyBorder="1" applyAlignment="1">
      <alignment vertical="center"/>
    </xf>
    <xf numFmtId="16" fontId="52" fillId="0" borderId="31" xfId="0" applyNumberFormat="1" applyFont="1" applyBorder="1" applyAlignment="1">
      <alignment horizontal="center" vertical="center"/>
    </xf>
    <xf numFmtId="2" fontId="52" fillId="0" borderId="29" xfId="0" applyNumberFormat="1" applyFont="1" applyBorder="1" applyAlignment="1">
      <alignment horizontal="center" vertical="center"/>
    </xf>
    <xf numFmtId="16" fontId="49" fillId="0" borderId="41" xfId="0" applyNumberFormat="1" applyFont="1" applyBorder="1" applyAlignment="1">
      <alignment vertical="center"/>
    </xf>
    <xf numFmtId="14" fontId="49" fillId="0" borderId="41" xfId="0" applyNumberFormat="1" applyFont="1" applyBorder="1" applyAlignment="1">
      <alignment vertical="center"/>
    </xf>
    <xf numFmtId="2" fontId="52" fillId="0" borderId="30" xfId="0" applyNumberFormat="1" applyFont="1" applyBorder="1" applyAlignment="1">
      <alignment horizontal="center" vertical="center"/>
    </xf>
    <xf numFmtId="167" fontId="52" fillId="0" borderId="13" xfId="0" applyNumberFormat="1" applyFont="1" applyBorder="1" applyAlignment="1">
      <alignment horizontal="center" vertical="center"/>
    </xf>
    <xf numFmtId="0" fontId="49" fillId="0" borderId="0" xfId="0" applyFont="1" applyAlignment="1">
      <alignment horizontal="center" vertical="center"/>
    </xf>
    <xf numFmtId="0" fontId="49" fillId="39" borderId="0" xfId="0" applyFont="1" applyFill="1" applyAlignment="1">
      <alignment horizontal="center" vertical="center"/>
    </xf>
    <xf numFmtId="49" fontId="49" fillId="77" borderId="0" xfId="0" applyNumberFormat="1" applyFont="1" applyFill="1" applyAlignment="1">
      <alignment vertical="center"/>
    </xf>
    <xf numFmtId="49" fontId="49" fillId="77" borderId="0" xfId="0" applyNumberFormat="1" applyFont="1" applyFill="1" applyAlignment="1">
      <alignment horizontal="center" vertical="center"/>
    </xf>
    <xf numFmtId="0" fontId="49" fillId="77" borderId="0" xfId="0" applyFont="1" applyFill="1" applyAlignment="1">
      <alignment vertical="center" wrapText="1"/>
    </xf>
    <xf numFmtId="0" fontId="49" fillId="77" borderId="0" xfId="0" applyFont="1" applyFill="1" applyAlignment="1">
      <alignment vertical="center"/>
    </xf>
    <xf numFmtId="16" fontId="50" fillId="77" borderId="0" xfId="0" applyNumberFormat="1" applyFont="1" applyFill="1" applyAlignment="1">
      <alignment vertical="center"/>
    </xf>
    <xf numFmtId="2" fontId="52" fillId="77" borderId="0" xfId="0" applyNumberFormat="1" applyFont="1" applyFill="1" applyAlignment="1">
      <alignment horizontal="center" vertical="center"/>
    </xf>
    <xf numFmtId="2" fontId="49" fillId="77" borderId="0" xfId="0" applyNumberFormat="1" applyFont="1" applyFill="1" applyAlignment="1">
      <alignment vertical="center"/>
    </xf>
    <xf numFmtId="0" fontId="0" fillId="77" borderId="0" xfId="0" applyFill="1"/>
    <xf numFmtId="0" fontId="0" fillId="77" borderId="0" xfId="0" applyFill="1" applyAlignment="1">
      <alignment horizontal="center" vertical="center"/>
    </xf>
    <xf numFmtId="49" fontId="49" fillId="77" borderId="0" xfId="0" applyNumberFormat="1" applyFont="1" applyFill="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0" fontId="52" fillId="0" borderId="0" xfId="0" applyFont="1" applyAlignment="1">
      <alignment horizontal="center" vertical="center"/>
    </xf>
    <xf numFmtId="0" fontId="49" fillId="0" borderId="0" xfId="0" applyFont="1" applyAlignment="1">
      <alignment horizontal="center" vertical="center" wrapText="1"/>
    </xf>
    <xf numFmtId="0" fontId="49" fillId="77" borderId="0" xfId="0" applyFont="1" applyFill="1" applyAlignment="1">
      <alignment horizontal="center" vertical="center"/>
    </xf>
    <xf numFmtId="49" fontId="49" fillId="39" borderId="0" xfId="0" applyNumberFormat="1" applyFont="1" applyFill="1" applyAlignment="1">
      <alignment horizontal="center" vertical="center"/>
    </xf>
    <xf numFmtId="49" fontId="49" fillId="39" borderId="0" xfId="0" applyNumberFormat="1" applyFont="1" applyFill="1" applyAlignment="1">
      <alignment vertical="center"/>
    </xf>
    <xf numFmtId="0" fontId="49" fillId="39" borderId="0" xfId="0" applyFont="1" applyFill="1" applyAlignment="1">
      <alignment vertical="center" wrapText="1"/>
    </xf>
    <xf numFmtId="166" fontId="49" fillId="39" borderId="0" xfId="0" applyNumberFormat="1" applyFont="1" applyFill="1" applyAlignment="1">
      <alignment vertical="center"/>
    </xf>
    <xf numFmtId="16" fontId="49" fillId="39" borderId="0" xfId="0" applyNumberFormat="1" applyFont="1" applyFill="1" applyAlignment="1">
      <alignment vertical="center"/>
    </xf>
    <xf numFmtId="2" fontId="52" fillId="39" borderId="0" xfId="0" applyNumberFormat="1" applyFont="1" applyFill="1" applyAlignment="1">
      <alignment horizontal="center" vertical="center"/>
    </xf>
    <xf numFmtId="2" fontId="49" fillId="39" borderId="0" xfId="0" applyNumberFormat="1" applyFont="1" applyFill="1" applyAlignment="1">
      <alignment vertical="center"/>
    </xf>
    <xf numFmtId="0" fontId="0" fillId="39" borderId="0" xfId="0" applyFill="1"/>
    <xf numFmtId="49" fontId="80" fillId="0" borderId="0" xfId="0" applyNumberFormat="1" applyFont="1" applyAlignment="1">
      <alignment vertical="center" wrapText="1"/>
    </xf>
    <xf numFmtId="49" fontId="49" fillId="0" borderId="36" xfId="0" applyNumberFormat="1" applyFont="1" applyBorder="1" applyAlignment="1">
      <alignment vertical="center"/>
    </xf>
    <xf numFmtId="0" fontId="13" fillId="41" borderId="0" xfId="0" applyFont="1" applyFill="1"/>
    <xf numFmtId="49" fontId="49" fillId="59" borderId="0" xfId="0" applyNumberFormat="1" applyFont="1" applyFill="1" applyAlignment="1">
      <alignment vertical="center"/>
    </xf>
    <xf numFmtId="2" fontId="49" fillId="0" borderId="0" xfId="0" applyNumberFormat="1" applyFont="1" applyAlignment="1">
      <alignment horizontal="center" vertical="center"/>
    </xf>
    <xf numFmtId="0" fontId="13" fillId="60" borderId="47" xfId="0" applyFont="1" applyFill="1" applyBorder="1" applyAlignment="1">
      <alignment horizontal="center" vertical="center"/>
    </xf>
    <xf numFmtId="49" fontId="86" fillId="73" borderId="13" xfId="0" applyNumberFormat="1" applyFont="1" applyFill="1" applyBorder="1" applyAlignment="1">
      <alignment horizontal="center" vertical="center"/>
    </xf>
    <xf numFmtId="49" fontId="52" fillId="55" borderId="13" xfId="0" applyNumberFormat="1" applyFont="1" applyFill="1" applyBorder="1" applyAlignment="1">
      <alignment horizontal="center" vertical="center"/>
    </xf>
    <xf numFmtId="49" fontId="80" fillId="37" borderId="13" xfId="0" applyNumberFormat="1" applyFont="1" applyFill="1" applyBorder="1" applyAlignment="1">
      <alignment horizontal="center" vertical="center"/>
    </xf>
    <xf numFmtId="0" fontId="13" fillId="60" borderId="13" xfId="0" applyFont="1" applyFill="1" applyBorder="1" applyAlignment="1">
      <alignment horizontal="center" vertical="center"/>
    </xf>
    <xf numFmtId="49" fontId="72" fillId="0" borderId="0" xfId="43" applyNumberFormat="1" applyAlignment="1">
      <alignment vertical="center"/>
    </xf>
    <xf numFmtId="0" fontId="0" fillId="67" borderId="0" xfId="0" applyFill="1" applyAlignment="1">
      <alignment horizontal="left" vertical="center" wrapText="1"/>
    </xf>
    <xf numFmtId="0" fontId="49" fillId="0" borderId="0" xfId="0" applyFont="1" applyAlignment="1">
      <alignment horizontal="left" vertical="center"/>
    </xf>
    <xf numFmtId="0" fontId="51" fillId="0" borderId="0" xfId="0" applyFont="1" applyAlignment="1">
      <alignment horizontal="left" vertical="center"/>
    </xf>
    <xf numFmtId="2" fontId="0" fillId="0" borderId="0" xfId="0" applyNumberFormat="1" applyAlignment="1">
      <alignment horizontal="left" vertical="center"/>
    </xf>
    <xf numFmtId="2" fontId="49" fillId="0" borderId="0" xfId="0" applyNumberFormat="1" applyFont="1" applyAlignment="1">
      <alignment horizontal="left" vertical="center"/>
    </xf>
    <xf numFmtId="16" fontId="49" fillId="0" borderId="0" xfId="0" applyNumberFormat="1" applyFont="1" applyAlignment="1">
      <alignment horizontal="left" vertical="center"/>
    </xf>
    <xf numFmtId="0" fontId="88" fillId="0" borderId="0" xfId="0" applyFont="1" applyAlignment="1">
      <alignment horizontal="left" vertical="center"/>
    </xf>
    <xf numFmtId="0" fontId="57" fillId="0" borderId="0" xfId="0" applyFont="1" applyAlignment="1">
      <alignment horizontal="center" vertical="center"/>
    </xf>
    <xf numFmtId="0" fontId="88" fillId="0" borderId="0" xfId="0" applyFont="1" applyAlignment="1">
      <alignment vertical="center"/>
    </xf>
    <xf numFmtId="0" fontId="88" fillId="0" borderId="0" xfId="0" applyFont="1" applyAlignment="1">
      <alignment horizontal="center" vertical="center"/>
    </xf>
    <xf numFmtId="167" fontId="89" fillId="0" borderId="0" xfId="0" applyNumberFormat="1" applyFont="1" applyAlignment="1">
      <alignment horizontal="center" vertical="center"/>
    </xf>
    <xf numFmtId="167" fontId="49" fillId="0" borderId="0" xfId="0" applyNumberFormat="1" applyFont="1" applyAlignment="1">
      <alignment horizontal="center" vertical="center"/>
    </xf>
    <xf numFmtId="0" fontId="14" fillId="0" borderId="0" xfId="0" applyFont="1" applyAlignment="1">
      <alignment wrapText="1"/>
    </xf>
    <xf numFmtId="0" fontId="69" fillId="0" borderId="0" xfId="0" applyFont="1" applyAlignment="1">
      <alignment vertical="center"/>
    </xf>
    <xf numFmtId="0" fontId="0" fillId="42" borderId="0" xfId="0" applyFill="1" applyAlignment="1">
      <alignment horizontal="center" vertical="center" wrapText="1"/>
    </xf>
    <xf numFmtId="166" fontId="49" fillId="0" borderId="0" xfId="0" applyNumberFormat="1" applyFont="1" applyAlignment="1">
      <alignment horizontal="center" vertical="center"/>
    </xf>
    <xf numFmtId="14" fontId="57" fillId="0" borderId="0" xfId="0" applyNumberFormat="1" applyFont="1" applyAlignment="1">
      <alignment horizontal="center" vertical="center"/>
    </xf>
    <xf numFmtId="49" fontId="49" fillId="34" borderId="0" xfId="0" applyNumberFormat="1" applyFont="1" applyFill="1" applyAlignment="1">
      <alignment vertical="center"/>
    </xf>
    <xf numFmtId="49" fontId="49" fillId="0" borderId="22" xfId="0" applyNumberFormat="1" applyFont="1" applyBorder="1" applyAlignment="1">
      <alignment vertical="center" wrapText="1"/>
    </xf>
    <xf numFmtId="49" fontId="52" fillId="45" borderId="0" xfId="0" applyNumberFormat="1" applyFont="1" applyFill="1" applyAlignment="1">
      <alignment vertical="center"/>
    </xf>
    <xf numFmtId="0" fontId="51" fillId="0" borderId="0" xfId="0" applyFont="1" applyAlignment="1">
      <alignment horizontal="center" vertical="center"/>
    </xf>
    <xf numFmtId="49" fontId="88" fillId="0" borderId="0" xfId="0" applyNumberFormat="1" applyFont="1" applyAlignment="1">
      <alignment vertical="center" wrapText="1"/>
    </xf>
    <xf numFmtId="49" fontId="88" fillId="0" borderId="0" xfId="0" applyNumberFormat="1" applyFont="1" applyAlignment="1">
      <alignment vertical="center"/>
    </xf>
    <xf numFmtId="0" fontId="0" fillId="0" borderId="50" xfId="0" applyBorder="1"/>
    <xf numFmtId="0" fontId="0" fillId="0" borderId="51" xfId="0" applyBorder="1"/>
    <xf numFmtId="0" fontId="0" fillId="0" borderId="52" xfId="0" applyBorder="1"/>
    <xf numFmtId="0" fontId="0" fillId="0" borderId="53" xfId="0" applyBorder="1"/>
    <xf numFmtId="0" fontId="0" fillId="0" borderId="54" xfId="0" applyBorder="1"/>
    <xf numFmtId="0" fontId="0" fillId="0" borderId="55" xfId="0" applyBorder="1"/>
    <xf numFmtId="0" fontId="0" fillId="0" borderId="56" xfId="0" applyBorder="1"/>
    <xf numFmtId="0" fontId="0" fillId="0" borderId="57" xfId="0" applyBorder="1"/>
    <xf numFmtId="0" fontId="0" fillId="0" borderId="58" xfId="0" applyBorder="1"/>
    <xf numFmtId="0" fontId="13" fillId="67" borderId="22" xfId="0" applyFont="1" applyFill="1" applyBorder="1" applyAlignment="1">
      <alignment horizontal="left" vertical="center" wrapText="1"/>
    </xf>
    <xf numFmtId="0" fontId="13" fillId="42" borderId="22" xfId="0" applyFont="1" applyFill="1" applyBorder="1" applyAlignment="1">
      <alignment horizontal="center" vertical="center" wrapText="1"/>
    </xf>
    <xf numFmtId="49" fontId="90" fillId="59" borderId="27" xfId="0" applyNumberFormat="1" applyFont="1" applyFill="1" applyBorder="1" applyAlignment="1">
      <alignment horizontal="center" vertical="center"/>
    </xf>
    <xf numFmtId="49" fontId="90" fillId="59" borderId="22" xfId="0" applyNumberFormat="1" applyFont="1" applyFill="1" applyBorder="1" applyAlignment="1">
      <alignment vertical="center"/>
    </xf>
    <xf numFmtId="49" fontId="90" fillId="59" borderId="22" xfId="0" applyNumberFormat="1" applyFont="1" applyFill="1" applyBorder="1" applyAlignment="1">
      <alignment vertical="center" wrapText="1"/>
    </xf>
    <xf numFmtId="0" fontId="90" fillId="59" borderId="22" xfId="0" applyFont="1" applyFill="1" applyBorder="1" applyAlignment="1">
      <alignment vertical="center" wrapText="1"/>
    </xf>
    <xf numFmtId="0" fontId="90" fillId="59" borderId="22" xfId="0" applyFont="1" applyFill="1" applyBorder="1" applyAlignment="1">
      <alignment horizontal="center" vertical="center"/>
    </xf>
    <xf numFmtId="0" fontId="90" fillId="59" borderId="22" xfId="0" applyFont="1" applyFill="1" applyBorder="1" applyAlignment="1">
      <alignment vertical="center"/>
    </xf>
    <xf numFmtId="166" fontId="91" fillId="59" borderId="22" xfId="0" applyNumberFormat="1" applyFont="1" applyFill="1" applyBorder="1" applyAlignment="1">
      <alignment vertical="center"/>
    </xf>
    <xf numFmtId="49" fontId="90" fillId="0" borderId="27" xfId="0" applyNumberFormat="1" applyFont="1" applyBorder="1" applyAlignment="1">
      <alignment horizontal="center" vertical="center"/>
    </xf>
    <xf numFmtId="49" fontId="90" fillId="0" borderId="22" xfId="0" applyNumberFormat="1" applyFont="1" applyBorder="1" applyAlignment="1">
      <alignment vertical="center"/>
    </xf>
    <xf numFmtId="49" fontId="90" fillId="0" borderId="22" xfId="0" applyNumberFormat="1" applyFont="1" applyBorder="1" applyAlignment="1">
      <alignment vertical="center" wrapText="1"/>
    </xf>
    <xf numFmtId="0" fontId="90" fillId="0" borderId="22" xfId="0" applyFont="1" applyBorder="1" applyAlignment="1">
      <alignment vertical="center" wrapText="1"/>
    </xf>
    <xf numFmtId="0" fontId="90" fillId="0" borderId="22" xfId="0" applyFont="1" applyBorder="1" applyAlignment="1">
      <alignment horizontal="center" vertical="center"/>
    </xf>
    <xf numFmtId="0" fontId="90" fillId="0" borderId="22" xfId="0" applyFont="1" applyBorder="1" applyAlignment="1">
      <alignment vertical="center"/>
    </xf>
    <xf numFmtId="166" fontId="91" fillId="0" borderId="22" xfId="0" applyNumberFormat="1" applyFont="1" applyBorder="1" applyAlignment="1">
      <alignment vertical="center"/>
    </xf>
    <xf numFmtId="49" fontId="90" fillId="59" borderId="22" xfId="0" applyNumberFormat="1" applyFont="1" applyFill="1" applyBorder="1" applyAlignment="1">
      <alignment horizontal="center" vertical="center"/>
    </xf>
    <xf numFmtId="49" fontId="92" fillId="59" borderId="22" xfId="0" applyNumberFormat="1" applyFont="1" applyFill="1" applyBorder="1" applyAlignment="1">
      <alignment vertical="center" wrapText="1"/>
    </xf>
    <xf numFmtId="49" fontId="90" fillId="77" borderId="27" xfId="0" applyNumberFormat="1" applyFont="1" applyFill="1" applyBorder="1" applyAlignment="1">
      <alignment horizontal="center" vertical="center"/>
    </xf>
    <xf numFmtId="49" fontId="90" fillId="77" borderId="22" xfId="0" applyNumberFormat="1" applyFont="1" applyFill="1" applyBorder="1" applyAlignment="1">
      <alignment vertical="center"/>
    </xf>
    <xf numFmtId="0" fontId="90" fillId="77" borderId="22" xfId="0" applyFont="1" applyFill="1" applyBorder="1" applyAlignment="1">
      <alignment vertical="center" wrapText="1"/>
    </xf>
    <xf numFmtId="0" fontId="90" fillId="0" borderId="22" xfId="0" applyFont="1" applyBorder="1" applyAlignment="1">
      <alignment horizontal="center" vertical="center" wrapText="1"/>
    </xf>
    <xf numFmtId="0" fontId="90" fillId="77" borderId="22" xfId="0" applyFont="1" applyFill="1" applyBorder="1" applyAlignment="1">
      <alignment horizontal="center" vertical="center"/>
    </xf>
    <xf numFmtId="0" fontId="90" fillId="77" borderId="22" xfId="0" applyFont="1" applyFill="1" applyBorder="1" applyAlignment="1">
      <alignment vertical="center"/>
    </xf>
    <xf numFmtId="166" fontId="90" fillId="0" borderId="22" xfId="0" applyNumberFormat="1" applyFont="1" applyBorder="1" applyAlignment="1">
      <alignment vertical="center"/>
    </xf>
    <xf numFmtId="166" fontId="90" fillId="59" borderId="22" xfId="0" applyNumberFormat="1" applyFont="1" applyFill="1" applyBorder="1" applyAlignment="1">
      <alignment vertical="center"/>
    </xf>
    <xf numFmtId="166" fontId="52" fillId="0" borderId="0" xfId="0" applyNumberFormat="1" applyFont="1" applyAlignment="1">
      <alignment vertical="center"/>
    </xf>
    <xf numFmtId="166" fontId="50" fillId="0" borderId="0" xfId="0" applyNumberFormat="1" applyFont="1" applyAlignment="1">
      <alignment vertical="center"/>
    </xf>
    <xf numFmtId="166" fontId="0" fillId="0" borderId="0" xfId="0" applyNumberFormat="1"/>
    <xf numFmtId="166" fontId="79" fillId="38" borderId="0" xfId="0" applyNumberFormat="1" applyFont="1" applyFill="1" applyAlignment="1">
      <alignment vertical="center"/>
    </xf>
    <xf numFmtId="166" fontId="49" fillId="77" borderId="0" xfId="0" applyNumberFormat="1" applyFont="1" applyFill="1" applyAlignment="1">
      <alignment vertical="center"/>
    </xf>
    <xf numFmtId="166" fontId="50" fillId="66" borderId="0" xfId="0" applyNumberFormat="1" applyFont="1" applyFill="1" applyAlignment="1">
      <alignment vertical="center"/>
    </xf>
    <xf numFmtId="49" fontId="49" fillId="0" borderId="0" xfId="0" applyNumberFormat="1" applyFont="1" applyAlignment="1">
      <alignment horizontal="left" vertical="center"/>
    </xf>
    <xf numFmtId="49" fontId="90" fillId="0" borderId="0" xfId="0" applyNumberFormat="1" applyFont="1" applyAlignment="1">
      <alignment horizontal="left" vertical="center"/>
    </xf>
    <xf numFmtId="49" fontId="49" fillId="59" borderId="27" xfId="0" applyNumberFormat="1" applyFont="1" applyFill="1" applyBorder="1" applyAlignment="1">
      <alignment horizontal="left" vertical="center"/>
    </xf>
    <xf numFmtId="0" fontId="50" fillId="0" borderId="0" xfId="0" applyFont="1"/>
    <xf numFmtId="16" fontId="50" fillId="39" borderId="0" xfId="0" applyNumberFormat="1" applyFont="1" applyFill="1" applyAlignment="1">
      <alignment vertical="center"/>
    </xf>
    <xf numFmtId="14" fontId="49" fillId="0" borderId="48" xfId="0" applyNumberFormat="1" applyFont="1" applyBorder="1" applyAlignment="1">
      <alignment vertical="center"/>
    </xf>
    <xf numFmtId="49" fontId="49" fillId="0" borderId="13" xfId="0" applyNumberFormat="1" applyFont="1" applyBorder="1" applyAlignment="1">
      <alignment vertical="center" wrapText="1"/>
    </xf>
    <xf numFmtId="49" fontId="49" fillId="0" borderId="13" xfId="0" applyNumberFormat="1" applyFont="1" applyBorder="1" applyAlignment="1">
      <alignment horizontal="center" vertical="center"/>
    </xf>
    <xf numFmtId="14" fontId="49" fillId="0" borderId="13" xfId="0" applyNumberFormat="1" applyFont="1" applyBorder="1" applyAlignment="1">
      <alignment horizontal="center" vertical="center"/>
    </xf>
    <xf numFmtId="0" fontId="82" fillId="75" borderId="42" xfId="0" applyFont="1" applyFill="1" applyBorder="1"/>
    <xf numFmtId="0" fontId="82" fillId="75" borderId="0" xfId="0" applyFont="1" applyFill="1"/>
    <xf numFmtId="0" fontId="82" fillId="76" borderId="0" xfId="0" applyFont="1" applyFill="1"/>
    <xf numFmtId="9" fontId="82" fillId="0" borderId="0" xfId="0" applyNumberFormat="1" applyFont="1"/>
    <xf numFmtId="6" fontId="82" fillId="0" borderId="0" xfId="0" applyNumberFormat="1" applyFont="1"/>
    <xf numFmtId="49" fontId="52" fillId="47" borderId="0" xfId="0" applyNumberFormat="1" applyFont="1" applyFill="1" applyAlignment="1">
      <alignment vertical="center" wrapText="1"/>
    </xf>
    <xf numFmtId="14" fontId="49" fillId="0" borderId="4" xfId="0" applyNumberFormat="1" applyFont="1" applyBorder="1" applyAlignment="1">
      <alignment vertical="center"/>
    </xf>
    <xf numFmtId="16" fontId="49" fillId="0" borderId="4" xfId="0" applyNumberFormat="1" applyFont="1" applyBorder="1" applyAlignment="1">
      <alignment vertical="center"/>
    </xf>
    <xf numFmtId="167" fontId="49" fillId="0" borderId="34" xfId="0" applyNumberFormat="1" applyFont="1" applyBorder="1" applyAlignment="1">
      <alignment horizontal="center" vertical="center"/>
    </xf>
    <xf numFmtId="16" fontId="50" fillId="0" borderId="46" xfId="0" applyNumberFormat="1" applyFont="1" applyBorder="1" applyAlignment="1">
      <alignment vertical="center"/>
    </xf>
    <xf numFmtId="14" fontId="52" fillId="0" borderId="29" xfId="0" applyNumberFormat="1" applyFont="1" applyBorder="1" applyAlignment="1">
      <alignment vertical="center"/>
    </xf>
    <xf numFmtId="14" fontId="49" fillId="0" borderId="46" xfId="0" applyNumberFormat="1" applyFont="1" applyBorder="1" applyAlignment="1">
      <alignment vertical="center"/>
    </xf>
    <xf numFmtId="16" fontId="50" fillId="0" borderId="4" xfId="0" applyNumberFormat="1" applyFont="1" applyBorder="1"/>
    <xf numFmtId="0" fontId="49" fillId="0" borderId="46" xfId="0" applyFont="1" applyBorder="1" applyAlignment="1">
      <alignment vertical="center"/>
    </xf>
    <xf numFmtId="16" fontId="49" fillId="77" borderId="0" xfId="0" applyNumberFormat="1" applyFont="1" applyFill="1" applyAlignment="1">
      <alignment vertical="center"/>
    </xf>
    <xf numFmtId="14" fontId="52" fillId="0" borderId="31" xfId="0" applyNumberFormat="1" applyFont="1" applyBorder="1" applyAlignment="1">
      <alignment vertical="center"/>
    </xf>
    <xf numFmtId="16" fontId="50" fillId="77" borderId="4" xfId="0" applyNumberFormat="1" applyFont="1" applyFill="1" applyBorder="1" applyAlignment="1">
      <alignment vertical="center"/>
    </xf>
    <xf numFmtId="14" fontId="50" fillId="75" borderId="4" xfId="0" applyNumberFormat="1" applyFont="1" applyFill="1" applyBorder="1"/>
    <xf numFmtId="16" fontId="56" fillId="0" borderId="13" xfId="0" applyNumberFormat="1" applyFont="1" applyBorder="1" applyAlignment="1">
      <alignment horizontal="center" vertical="center" wrapText="1" shrinkToFit="1"/>
    </xf>
    <xf numFmtId="14" fontId="49" fillId="0" borderId="45" xfId="0" applyNumberFormat="1" applyFont="1" applyBorder="1" applyAlignment="1">
      <alignment vertical="center"/>
    </xf>
    <xf numFmtId="16" fontId="50" fillId="75" borderId="4" xfId="0" applyNumberFormat="1" applyFont="1" applyFill="1" applyBorder="1"/>
    <xf numFmtId="2" fontId="52" fillId="0" borderId="30" xfId="0" applyNumberFormat="1" applyFont="1" applyBorder="1" applyAlignment="1">
      <alignment vertical="center"/>
    </xf>
    <xf numFmtId="16" fontId="50" fillId="75" borderId="45" xfId="0" applyNumberFormat="1" applyFont="1" applyFill="1" applyBorder="1"/>
    <xf numFmtId="0" fontId="49" fillId="0" borderId="4" xfId="0" applyFont="1" applyBorder="1" applyAlignment="1">
      <alignment vertical="center"/>
    </xf>
    <xf numFmtId="16" fontId="50" fillId="0" borderId="45" xfId="0" applyNumberFormat="1" applyFont="1" applyBorder="1" applyAlignment="1">
      <alignment vertical="center"/>
    </xf>
    <xf numFmtId="2" fontId="52" fillId="0" borderId="31" xfId="0" applyNumberFormat="1" applyFont="1" applyBorder="1" applyAlignment="1">
      <alignment vertical="center"/>
    </xf>
    <xf numFmtId="16" fontId="52" fillId="38" borderId="34" xfId="0" applyNumberFormat="1" applyFont="1" applyFill="1" applyBorder="1" applyAlignment="1">
      <alignment horizontal="center" vertical="center"/>
    </xf>
    <xf numFmtId="16" fontId="79" fillId="38" borderId="0" xfId="0" applyNumberFormat="1" applyFont="1" applyFill="1" applyAlignment="1">
      <alignment vertical="center"/>
    </xf>
    <xf numFmtId="16" fontId="49" fillId="0" borderId="45" xfId="0" applyNumberFormat="1" applyFont="1" applyBorder="1" applyAlignment="1">
      <alignment vertical="center"/>
    </xf>
    <xf numFmtId="16" fontId="71" fillId="68" borderId="4" xfId="0" applyNumberFormat="1" applyFont="1" applyFill="1" applyBorder="1" applyAlignment="1">
      <alignment wrapText="1"/>
    </xf>
    <xf numFmtId="16" fontId="50" fillId="74" borderId="4" xfId="0" applyNumberFormat="1" applyFont="1" applyFill="1" applyBorder="1"/>
    <xf numFmtId="16" fontId="79" fillId="47" borderId="4" xfId="0" applyNumberFormat="1" applyFont="1" applyFill="1" applyBorder="1" applyAlignment="1">
      <alignment vertical="center"/>
    </xf>
    <xf numFmtId="16" fontId="49" fillId="77" borderId="4" xfId="0" applyNumberFormat="1" applyFont="1" applyFill="1" applyBorder="1" applyAlignment="1">
      <alignment vertical="center"/>
    </xf>
    <xf numFmtId="16" fontId="49" fillId="0" borderId="4" xfId="0" applyNumberFormat="1" applyFont="1" applyBorder="1" applyAlignment="1">
      <alignment vertical="center" wrapText="1"/>
    </xf>
    <xf numFmtId="16" fontId="52" fillId="38" borderId="29" xfId="0" applyNumberFormat="1" applyFont="1" applyFill="1" applyBorder="1" applyAlignment="1">
      <alignment horizontal="center" vertical="center"/>
    </xf>
    <xf numFmtId="16" fontId="49" fillId="0" borderId="44" xfId="0" applyNumberFormat="1" applyFont="1" applyBorder="1" applyAlignment="1">
      <alignment vertical="center"/>
    </xf>
    <xf numFmtId="16" fontId="50" fillId="34" borderId="4" xfId="0" applyNumberFormat="1" applyFont="1" applyFill="1" applyBorder="1" applyAlignment="1">
      <alignment vertical="center"/>
    </xf>
    <xf numFmtId="14" fontId="49" fillId="0" borderId="4" xfId="0" applyNumberFormat="1" applyFont="1" applyBorder="1" applyAlignment="1">
      <alignment vertical="center" wrapText="1"/>
    </xf>
    <xf numFmtId="167" fontId="52" fillId="0" borderId="16" xfId="0" applyNumberFormat="1" applyFont="1" applyBorder="1" applyAlignment="1">
      <alignment horizontal="center" vertical="center"/>
    </xf>
    <xf numFmtId="16" fontId="52" fillId="38" borderId="16" xfId="0" applyNumberFormat="1" applyFont="1" applyFill="1" applyBorder="1" applyAlignment="1">
      <alignment horizontal="center" vertical="center"/>
    </xf>
    <xf numFmtId="16" fontId="49" fillId="0" borderId="13" xfId="0" applyNumberFormat="1" applyFont="1" applyBorder="1" applyAlignment="1">
      <alignment vertical="center"/>
    </xf>
    <xf numFmtId="16" fontId="52" fillId="38" borderId="4" xfId="0" applyNumberFormat="1" applyFont="1" applyFill="1" applyBorder="1" applyAlignment="1">
      <alignment horizontal="center" vertical="center"/>
    </xf>
    <xf numFmtId="167" fontId="52" fillId="0" borderId="49" xfId="0" applyNumberFormat="1" applyFont="1" applyBorder="1" applyAlignment="1">
      <alignment horizontal="center" vertical="center"/>
    </xf>
    <xf numFmtId="16" fontId="49" fillId="0" borderId="49" xfId="0" applyNumberFormat="1" applyFont="1" applyBorder="1" applyAlignment="1">
      <alignment vertical="center"/>
    </xf>
    <xf numFmtId="16" fontId="50" fillId="0" borderId="49" xfId="0" applyNumberFormat="1" applyFont="1" applyBorder="1" applyAlignment="1">
      <alignment vertical="center"/>
    </xf>
    <xf numFmtId="16" fontId="52" fillId="0" borderId="49" xfId="0" applyNumberFormat="1" applyFont="1" applyBorder="1" applyAlignment="1">
      <alignment horizontal="center" vertical="center"/>
    </xf>
    <xf numFmtId="2" fontId="52" fillId="0" borderId="31" xfId="0" applyNumberFormat="1" applyFont="1" applyBorder="1" applyAlignment="1">
      <alignment horizontal="center" vertical="center"/>
    </xf>
    <xf numFmtId="0" fontId="0" fillId="0" borderId="22" xfId="0" applyBorder="1" applyAlignment="1">
      <alignment vertical="center" wrapText="1"/>
    </xf>
    <xf numFmtId="0" fontId="0" fillId="0" borderId="31" xfId="0" applyBorder="1"/>
    <xf numFmtId="0" fontId="27" fillId="41" borderId="31" xfId="0" applyFont="1" applyFill="1" applyBorder="1"/>
    <xf numFmtId="16" fontId="49" fillId="0" borderId="0" xfId="0" applyNumberFormat="1" applyFont="1" applyAlignment="1">
      <alignment vertical="center" wrapText="1"/>
    </xf>
    <xf numFmtId="17" fontId="49" fillId="0" borderId="0" xfId="0" applyNumberFormat="1" applyFont="1" applyAlignment="1">
      <alignment vertical="center"/>
    </xf>
    <xf numFmtId="49" fontId="52" fillId="38" borderId="0" xfId="0" applyNumberFormat="1" applyFont="1" applyFill="1" applyAlignment="1">
      <alignment vertical="center" wrapText="1"/>
    </xf>
    <xf numFmtId="49" fontId="49" fillId="38" borderId="0" xfId="0" applyNumberFormat="1" applyFont="1" applyFill="1" applyAlignment="1">
      <alignment vertical="center" wrapText="1"/>
    </xf>
    <xf numFmtId="0" fontId="84" fillId="0" borderId="16" xfId="0" applyFont="1" applyBorder="1"/>
    <xf numFmtId="0" fontId="50" fillId="0" borderId="13" xfId="0" applyFont="1" applyBorder="1" applyAlignment="1">
      <alignment vertical="center" wrapText="1"/>
    </xf>
    <xf numFmtId="16" fontId="50" fillId="75" borderId="40" xfId="0" applyNumberFormat="1" applyFont="1" applyFill="1" applyBorder="1"/>
    <xf numFmtId="16" fontId="53" fillId="66" borderId="0" xfId="0" applyNumberFormat="1" applyFont="1" applyFill="1" applyAlignment="1">
      <alignment vertical="center"/>
    </xf>
    <xf numFmtId="16" fontId="50" fillId="0" borderId="40" xfId="0" applyNumberFormat="1" applyFont="1" applyBorder="1"/>
    <xf numFmtId="16" fontId="50" fillId="0" borderId="40" xfId="0" applyNumberFormat="1" applyFont="1" applyBorder="1" applyAlignment="1">
      <alignment vertical="center"/>
    </xf>
    <xf numFmtId="16" fontId="69" fillId="65" borderId="0" xfId="0" applyNumberFormat="1" applyFont="1" applyFill="1" applyAlignment="1">
      <alignment vertical="center"/>
    </xf>
    <xf numFmtId="16" fontId="50" fillId="77" borderId="45" xfId="0" applyNumberFormat="1" applyFont="1" applyFill="1" applyBorder="1" applyAlignment="1">
      <alignment vertical="center"/>
    </xf>
    <xf numFmtId="16" fontId="49" fillId="77" borderId="44" xfId="0" applyNumberFormat="1" applyFont="1" applyFill="1" applyBorder="1" applyAlignment="1">
      <alignment vertical="center"/>
    </xf>
    <xf numFmtId="16" fontId="79" fillId="47" borderId="44" xfId="0" applyNumberFormat="1" applyFont="1" applyFill="1" applyBorder="1" applyAlignment="1">
      <alignment vertical="center"/>
    </xf>
    <xf numFmtId="16" fontId="50" fillId="0" borderId="34" xfId="0" applyNumberFormat="1" applyFont="1" applyBorder="1"/>
    <xf numFmtId="16" fontId="50" fillId="34" borderId="40" xfId="0" applyNumberFormat="1" applyFont="1" applyFill="1" applyBorder="1" applyAlignment="1">
      <alignment vertical="center"/>
    </xf>
    <xf numFmtId="49" fontId="72" fillId="0" borderId="0" xfId="42" applyNumberFormat="1" applyAlignment="1">
      <alignment vertical="center"/>
    </xf>
    <xf numFmtId="49" fontId="72" fillId="0" borderId="0" xfId="42" applyNumberFormat="1" applyAlignment="1">
      <alignment vertical="center" wrapText="1"/>
    </xf>
    <xf numFmtId="0" fontId="37" fillId="0" borderId="0" xfId="0" applyFont="1" applyAlignment="1">
      <alignment horizontal="left" vertical="center"/>
    </xf>
    <xf numFmtId="0" fontId="35" fillId="52" borderId="18" xfId="0" applyFont="1" applyFill="1" applyBorder="1" applyAlignment="1">
      <alignment horizontal="center" vertical="center"/>
    </xf>
    <xf numFmtId="0" fontId="48" fillId="62" borderId="0" xfId="0" applyFont="1" applyFill="1" applyAlignment="1">
      <alignment horizontal="center"/>
    </xf>
    <xf numFmtId="0" fontId="48" fillId="43" borderId="0" xfId="0" applyFont="1" applyFill="1" applyAlignment="1">
      <alignment horizontal="center"/>
    </xf>
    <xf numFmtId="0" fontId="48" fillId="61" borderId="0" xfId="0" applyFont="1" applyFill="1" applyAlignment="1">
      <alignment horizontal="center"/>
    </xf>
    <xf numFmtId="0" fontId="13" fillId="43" borderId="0" xfId="0" applyFont="1" applyFill="1" applyAlignment="1">
      <alignment horizontal="center"/>
    </xf>
    <xf numFmtId="0" fontId="72" fillId="0" borderId="0" xfId="43"/>
  </cellXfs>
  <cellStyles count="44">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3" builtinId="8"/>
    <cellStyle name="Hyperlink" xfId="42" xr:uid="{00000000-000B-0000-0000-000008000000}"/>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545">
    <dxf>
      <alignment horizontal="center"/>
    </dxf>
    <dxf>
      <alignment horizontal="center"/>
    </dxf>
    <dxf>
      <alignment horizontal="center"/>
    </dxf>
    <dxf>
      <alignment vertical="center"/>
    </dxf>
    <dxf>
      <alignment vertical="center"/>
    </dxf>
    <dxf>
      <alignment vertical="center"/>
    </dxf>
    <dxf>
      <numFmt numFmtId="165" formatCode="_ &quot;$&quot;* #,##0_ ;_ &quot;$&quot;* \-#,##0_ ;_ &quot;$&quot;* &quot;-&quot;??_ ;_ @_ "/>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5" formatCode="_ &quot;$&quot;* #,##0_ ;_ &quot;$&quot;* \-#,##0_ ;_ &quot;$&quot;* &quot;-&quot;??_ ;_ @_ "/>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vertical="center"/>
    </dxf>
    <dxf>
      <numFmt numFmtId="165" formatCode="_ &quot;$&quot;* #,##0_ ;_ &quot;$&quot;* \-#,##0_ ;_ &quot;$&quot;* &quot;-&quot;??_ ;_ @_ "/>
    </dxf>
    <dxf>
      <numFmt numFmtId="34" formatCode="_ &quot;$&quot;* #,##0.00_ ;_ &quot;$&quot;* \-#,##0.00_ ;_ &quot;$&quot;* &quot;-&quot;??_ ;_ @_ "/>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5" formatCode="_ &quot;$&quot;* #,##0_ ;_ &quot;$&quot;* \-#,##0_ ;_ &quot;$&quot;* &quot;-&quot;??_ ;_ @_ "/>
    </dxf>
    <dxf>
      <numFmt numFmtId="14" formatCode="0.00%"/>
    </dxf>
    <dxf>
      <alignment horizontal="center"/>
    </dxf>
    <dxf>
      <alignment horizontal="center"/>
    </dxf>
    <dxf>
      <numFmt numFmtId="165" formatCode="_ &quot;$&quot;* #,##0_ ;_ &quot;$&quot;* \-#,##0_ ;_ &quot;$&quot;* &quot;-&quot;??_ ;_ @_ "/>
    </dxf>
    <dxf>
      <alignment vertic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 formatCode="0"/>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numFmt numFmtId="165" formatCode="_ &quot;$&quot;* #,##0_ ;_ &quot;$&quot;* \-#,##0_ ;_ &quot;$&quot;* &quot;-&quot;??_ ;_ @_ "/>
    </dxf>
    <dxf>
      <alignment horizontal="center"/>
    </dxf>
    <dxf>
      <alignment horizontal="center"/>
    </dxf>
    <dxf>
      <alignment horizontal="center"/>
    </dxf>
    <dxf>
      <alignment horizontal="center"/>
    </dxf>
    <dxf>
      <numFmt numFmtId="165" formatCode="_ &quot;$&quot;* #,##0_ ;_ &quot;$&quot;* \-#,##0_ ;_ &quot;$&quot;* &quot;-&quot;??_ ;_ @_ "/>
    </dxf>
    <dxf>
      <alignment vertical="center"/>
    </dxf>
    <dxf>
      <alignment vertical="center"/>
    </dxf>
    <dxf>
      <alignment horizontal="center"/>
    </dxf>
    <dxf>
      <alignment horizontal="center"/>
    </dxf>
    <dxf>
      <alignment vertic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34" formatCode="_ &quot;$&quot;* #,##0.00_ ;_ &quot;$&quot;* \-#,##0.00_ ;_ &quot;$&quot;* &quot;-&quot;??_ ;_ @_ "/>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alignment horizontal="general"/>
    </dxf>
    <dxf>
      <alignment horizontal="general"/>
    </dxf>
    <dxf>
      <alignment horizontal="general"/>
    </dxf>
    <dxf>
      <alignment horizontal="general"/>
    </dxf>
    <dxf>
      <alignment horizontal="general"/>
    </dxf>
    <dxf>
      <alignment horizontal="center"/>
    </dxf>
    <dxf>
      <numFmt numFmtId="165" formatCode="_ &quot;$&quot;* #,##0_ ;_ &quot;$&quot;* \-#,##0_ ;_ &quot;$&quot;* &quot;-&quot;??_ ;_ @_ "/>
    </dxf>
    <dxf>
      <numFmt numFmtId="1" formatCode="0"/>
    </dxf>
    <dxf>
      <alignment horizontal="center"/>
    </dxf>
    <dxf>
      <alignment horizontal="center"/>
    </dxf>
    <dxf>
      <alignment horizontal="center"/>
    </dxf>
    <dxf>
      <numFmt numFmtId="13" formatCode="0%"/>
    </dxf>
    <dxf>
      <alignment horizontal="center"/>
    </dxf>
    <dxf>
      <numFmt numFmtId="165" formatCode="_ &quot;$&quot;* #,##0_ ;_ &quot;$&quot;* \-#,##0_ ;_ &quot;$&quot;* &quot;-&quot;??_ ;_ @_ "/>
    </dxf>
    <dxf>
      <numFmt numFmtId="14" formatCode="0.00%"/>
    </dxf>
    <dxf>
      <alignment horizontal="general"/>
    </dxf>
    <dxf>
      <alignment horizontal="general"/>
    </dxf>
    <dxf>
      <alignment horizontal="general"/>
    </dxf>
    <dxf>
      <alignment horizontal="general"/>
    </dxf>
    <dxf>
      <alignment horizontal="general"/>
    </dxf>
    <dxf>
      <alignment horizontal="general"/>
    </dxf>
    <dxf>
      <alignment vertical="center"/>
    </dxf>
    <dxf>
      <alignment vertic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general"/>
    </dxf>
    <dxf>
      <alignment horizontal="general"/>
    </dxf>
    <dxf>
      <alignment horizontal="general"/>
    </dxf>
    <dxf>
      <alignment horizontal="general"/>
    </dxf>
    <dxf>
      <alignment horizontal="general"/>
    </dxf>
    <dxf>
      <alignment horizontal="center"/>
    </dxf>
    <dxf>
      <numFmt numFmtId="165" formatCode="_ &quot;$&quot;* #,##0_ ;_ &quot;$&quot;* \-#,##0_ ;_ &quot;$&quot;* &quot;-&quot;??_ ;_ @_ "/>
    </dxf>
    <dxf>
      <numFmt numFmtId="165" formatCode="_ &quot;$&quot;* #,##0_ ;_ &quot;$&quot;* \-#,##0_ ;_ &quot;$&quot;* &quot;-&quot;??_ ;_ @_ "/>
    </dxf>
    <dxf>
      <alignment horizontal="center"/>
    </dxf>
    <dxf>
      <alignment horizontal="center"/>
    </dxf>
    <dxf>
      <numFmt numFmtId="169" formatCode="dd/mm/yyyy"/>
    </dxf>
    <dxf>
      <numFmt numFmtId="169" formatCode="dd/mm/yyyy"/>
    </dxf>
    <dxf>
      <numFmt numFmtId="169" formatCode="dd/mm/yyyy"/>
    </dxf>
    <dxf>
      <numFmt numFmtId="169" formatCode="dd/mm/yyyy"/>
    </dxf>
    <dxf>
      <numFmt numFmtId="169" formatCode="dd/mm/yyyy"/>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alignment horizontal="center"/>
    </dxf>
    <dxf>
      <alignment horizontal="center"/>
    </dxf>
    <dxf>
      <alignment horizontal="center"/>
    </dxf>
    <dxf>
      <alignment horizontal="center"/>
    </dxf>
    <dxf>
      <numFmt numFmtId="165" formatCode="_ &quot;$&quot;* #,##0_ ;_ &quot;$&quot;* \-#,##0_ ;_ &quot;$&quot;* &quot;-&quot;??_ ;_ @_ "/>
    </dxf>
    <dxf>
      <alignment horizontal="center"/>
    </dxf>
    <dxf>
      <alignment horizontal="center"/>
    </dxf>
    <dxf>
      <alignment horizontal="center"/>
    </dxf>
    <dxf>
      <alignment horizontal="center"/>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numFmt numFmtId="169" formatCode="dd/mm/yyyy"/>
    </dxf>
    <dxf>
      <alignment horizontal="center"/>
    </dxf>
    <dxf>
      <alignment horizontal="center"/>
    </dxf>
    <dxf>
      <alignment horizontal="center"/>
    </dxf>
    <dxf>
      <alignment horizontal="center"/>
    </dxf>
    <dxf>
      <alignment horizontal="center"/>
    </dxf>
    <dxf>
      <alignment horizontal="center"/>
    </dxf>
    <dxf>
      <numFmt numFmtId="165" formatCode="_ &quot;$&quot;* #,##0_ ;_ &quot;$&quot;* \-#,##0_ ;_ &quot;$&quot;* &quot;-&quot;??_ ;_ @_ "/>
    </dxf>
    <dxf>
      <alignment vertical="center"/>
    </dxf>
    <dxf>
      <alignment horizontal="general"/>
    </dxf>
    <dxf>
      <numFmt numFmtId="34" formatCode="_ &quot;$&quot;* #,##0.00_ ;_ &quot;$&quot;* \-#,##0.00_ ;_ &quot;$&quot;* &quot;-&quot;??_ ;_ @_ "/>
    </dxf>
    <dxf>
      <alignment horizontal="center"/>
    </dxf>
    <dxf>
      <alignment horizontal="center"/>
    </dxf>
    <dxf>
      <alignment horizontal="center"/>
    </dxf>
    <dxf>
      <alignment horizontal="center"/>
    </dxf>
    <dxf>
      <alignment horizontal="center"/>
    </dxf>
    <dxf>
      <alignment horizontal="center"/>
    </dxf>
    <dxf>
      <alignment vertical="center"/>
    </dxf>
    <dxf>
      <alignment horizontal="center"/>
    </dxf>
    <dxf>
      <alignment horizontal="left"/>
    </dxf>
    <dxf>
      <alignment horizontal="center"/>
    </dxf>
    <dxf>
      <alignment horizontal="center"/>
    </dxf>
    <dxf>
      <alignment horizontal="center"/>
    </dxf>
    <dxf>
      <alignment horizontal="center"/>
    </dxf>
    <dxf>
      <alignment horizontal="center"/>
    </dxf>
    <dxf>
      <alignment horizont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ont>
        <color rgb="FFC00000"/>
      </font>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alignment horizontal="center"/>
    </dxf>
    <dxf>
      <alignment horizontal="center"/>
    </dxf>
    <dxf>
      <alignment vertical="center"/>
    </dxf>
    <dxf>
      <alignment vertical="center"/>
    </dxf>
    <dxf>
      <alignment vertic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ont>
        <color rgb="FFC00000"/>
      </font>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ill>
        <patternFill>
          <bgColor theme="3" tint="0.89999084444715716"/>
        </patternFill>
      </fill>
    </dxf>
    <dxf>
      <fill>
        <patternFill>
          <bgColor theme="3" tint="0.89999084444715716"/>
        </patternFill>
      </fill>
    </dxf>
    <dxf>
      <numFmt numFmtId="165" formatCode="_ &quot;$&quot;* #,##0_ ;_ &quot;$&quot;* \-#,##0_ ;_ &quot;$&quot;* &quot;-&quot;??_ ;_ @_ "/>
    </dxf>
    <dxf>
      <alignment horizont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fill>
        <patternFill patternType="solid">
          <bgColor rgb="FFFFFF00"/>
        </patternFill>
      </fill>
    </dxf>
    <dxf>
      <alignment horizontal="center"/>
    </dxf>
    <dxf>
      <numFmt numFmtId="13" formatCode="0%"/>
    </dxf>
    <dxf>
      <alignment horizontal="center"/>
    </dxf>
    <dxf>
      <numFmt numFmtId="165" formatCode="_ &quot;$&quot;* #,##0_ ;_ &quot;$&quot;* \-#,##0_ ;_ &quot;$&quot;* &quot;-&quot;??_ ;_ @_ "/>
    </dxf>
    <dxf>
      <numFmt numFmtId="14" formatCode="0.00%"/>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alignment horizontal="center"/>
    </dxf>
    <dxf>
      <numFmt numFmtId="165" formatCode="_ &quot;$&quot;* #,##0_ ;_ &quot;$&quot;* \-#,##0_ ;_ &quot;$&quot;* &quot;-&quot;??_ ;_ @_ "/>
    </dxf>
    <dxf>
      <alignment horizontal="center"/>
    </dxf>
    <dxf>
      <numFmt numFmtId="13" formatCode="0%"/>
    </dxf>
    <dxf>
      <alignment horizontal="center"/>
    </dxf>
    <dxf>
      <numFmt numFmtId="165" formatCode="_ &quot;$&quot;* #,##0_ ;_ &quot;$&quot;* \-#,##0_ ;_ &quot;$&quot;* &quot;-&quot;??_ ;_ @_ "/>
    </dxf>
    <dxf>
      <numFmt numFmtId="14" formatCode="0.00%"/>
    </dxf>
    <dxf>
      <numFmt numFmtId="1" formatCode="0"/>
    </dxf>
    <dxf>
      <alignment horizontal="center"/>
    </dxf>
    <dxf>
      <alignment horizontal="center"/>
    </dxf>
    <dxf>
      <numFmt numFmtId="165" formatCode="_ &quot;$&quot;* #,##0_ ;_ &quot;$&quot;* \-#,##0_ ;_ &quot;$&quot;* &quot;-&quot;??_ ;_ @_ "/>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fill>
        <patternFill patternType="none">
          <bgColor auto="1"/>
        </patternFill>
      </fill>
    </dxf>
    <dxf>
      <fill>
        <patternFill patternType="none">
          <bgColor auto="1"/>
        </patternFill>
      </fill>
    </dxf>
    <dxf>
      <alignment vertic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alignment vertical="center"/>
    </dxf>
    <dxf>
      <alignment horizontal="center"/>
    </dxf>
    <dxf>
      <fill>
        <patternFill patternType="solid">
          <bgColor rgb="FFFFFF00"/>
        </patternFill>
      </fill>
    </dxf>
    <dxf>
      <fill>
        <patternFill patternType="solid">
          <bgColor rgb="FFFFFF00"/>
        </patternFill>
      </fill>
    </dxf>
    <dxf>
      <fill>
        <patternFill patternType="solid">
          <bgColor rgb="FFFFFF00"/>
        </patternFill>
      </fill>
    </dxf>
    <dxf>
      <alignment vertical="center"/>
    </dxf>
    <dxf>
      <alignment horizontal="center"/>
    </dxf>
    <dxf>
      <alignment horizontal="general"/>
    </dxf>
    <dxf>
      <alignment horizontal="general"/>
    </dxf>
    <dxf>
      <alignment vertical="center"/>
    </dxf>
    <dxf>
      <alignment vertical="center"/>
    </dxf>
    <dxf>
      <font>
        <color rgb="FF00B050"/>
      </font>
    </dxf>
    <dxf>
      <font>
        <color rgb="FF00B050"/>
      </font>
    </dxf>
    <dxf>
      <font>
        <color rgb="FF00B050"/>
      </font>
    </dxf>
    <dxf>
      <font>
        <color rgb="FFFFC000"/>
      </font>
    </dxf>
    <dxf>
      <font>
        <color rgb="FF00B050"/>
      </font>
    </dxf>
    <dxf>
      <font>
        <color rgb="FFFFC000"/>
      </font>
    </dxf>
    <dxf>
      <font>
        <color rgb="FF00B050"/>
      </font>
    </dxf>
    <dxf>
      <font>
        <color rgb="FFFFC000"/>
      </font>
    </dxf>
    <dxf>
      <font>
        <color rgb="FFFFC000"/>
      </font>
    </dxf>
    <dxf>
      <font>
        <color rgb="FFFFC000"/>
      </font>
    </dxf>
    <dxf>
      <font>
        <color rgb="FFFFC000"/>
      </font>
    </dxf>
    <dxf>
      <font>
        <color rgb="FFFFC000"/>
      </font>
    </dxf>
    <dxf>
      <numFmt numFmtId="34" formatCode="_ &quot;$&quot;* #,##0.00_ ;_ &quot;$&quot;* \-#,##0.00_ ;_ &quot;$&quot;* &quot;-&quot;??_ ;_ @_ "/>
    </dxf>
    <dxf>
      <fill>
        <patternFill patternType="solid">
          <bgColor theme="3" tint="0.89999084444715716"/>
        </patternFill>
      </fill>
    </dxf>
    <dxf>
      <fill>
        <patternFill patternType="solid">
          <bgColor theme="3" tint="0.89999084444715716"/>
        </patternFill>
      </fill>
    </dxf>
    <dxf>
      <alignment horizontal="general"/>
    </dxf>
    <dxf>
      <alignment horizontal="general"/>
    </dxf>
    <dxf>
      <alignment vertical="center"/>
    </dxf>
    <dxf>
      <alignment vertical="center"/>
    </dxf>
    <dxf>
      <font>
        <color rgb="FF00B050"/>
      </font>
    </dxf>
    <dxf>
      <font>
        <color rgb="FF00B050"/>
      </font>
    </dxf>
    <dxf>
      <font>
        <color rgb="FF00B050"/>
      </font>
    </dxf>
    <dxf>
      <font>
        <color rgb="FFFFC000"/>
      </font>
    </dxf>
    <dxf>
      <font>
        <color rgb="FF00B050"/>
      </font>
    </dxf>
    <dxf>
      <font>
        <color rgb="FFFFC000"/>
      </font>
    </dxf>
    <dxf>
      <font>
        <color rgb="FF00B050"/>
      </font>
    </dxf>
    <dxf>
      <font>
        <color rgb="FFFFC000"/>
      </font>
    </dxf>
    <dxf>
      <font>
        <color rgb="FFFFC000"/>
      </font>
    </dxf>
    <dxf>
      <font>
        <color rgb="FFFFC000"/>
      </font>
    </dxf>
    <dxf>
      <font>
        <color rgb="FFFFC000"/>
      </font>
    </dxf>
    <dxf>
      <font>
        <color rgb="FFFFC000"/>
      </font>
    </dxf>
    <dxf>
      <numFmt numFmtId="34" formatCode="_ &quot;$&quot;* #,##0.00_ ;_ &quot;$&quot;* \-#,##0.00_ ;_ &quot;$&quot;* &quot;-&quot;??_ ;_ @_ "/>
    </dxf>
    <dxf>
      <numFmt numFmtId="165" formatCode="_ &quot;$&quot;* #,##0_ ;_ &quot;$&quot;* \-#,##0_ ;_ &quot;$&quot;* &quot;-&quot;??_ ;_ @_ "/>
    </dxf>
    <dxf>
      <alignment vertic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165" formatCode="_ &quot;$&quot;* #,##0_ ;_ &quot;$&quot;* \-#,##0_ ;_ &quot;$&quot;* &quot;-&quot;??_ ;_ @_ "/>
    </dxf>
    <dxf>
      <numFmt numFmtId="14" formatCode="0.00%"/>
    </dxf>
    <dxf>
      <alignment horizontal="center"/>
    </dxf>
    <dxf>
      <alignment horizontal="center"/>
    </dxf>
    <dxf>
      <alignment horizontal="center"/>
    </dxf>
    <dxf>
      <font>
        <color rgb="FF00B050"/>
      </font>
    </dxf>
    <dxf>
      <fill>
        <patternFill patternType="solid">
          <bgColor theme="9" tint="0.79998168889431442"/>
        </patternFill>
      </fill>
    </dxf>
    <dxf>
      <fill>
        <patternFill patternType="solid">
          <bgColor rgb="FFFFFFCC"/>
        </patternFill>
      </fill>
    </dxf>
    <dxf>
      <fill>
        <patternFill patternType="solid">
          <bgColor theme="5" tint="0.79998168889431442"/>
        </patternFill>
      </fill>
    </dxf>
    <dxf>
      <alignment horizontal="center"/>
    </dxf>
    <dxf>
      <alignment horizontal="center"/>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numFmt numFmtId="34" formatCode="_ &quot;$&quot;* #,##0.00_ ;_ &quot;$&quot;* \-#,##0.00_ ;_ &quot;$&quot;* &quot;-&quot;??_ ;_ @_ "/>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numFmt numFmtId="2" formatCode="0.00"/>
      <alignment horizontal="general" vertical="center" textRotation="0" wrapText="0" indent="0" justifyLastLine="0" shrinkToFit="0" readingOrder="0"/>
    </dxf>
    <dxf>
      <font>
        <outline val="0"/>
        <shadow val="0"/>
        <vertAlign val="baseline"/>
        <sz val="9"/>
        <name val="Arial"/>
        <family val="2"/>
        <scheme val="none"/>
      </font>
      <numFmt numFmtId="2" formatCode="0.00"/>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167" formatCode="[$-C0A]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21" formatCode="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rgb="FF000000"/>
        <name val="Arial"/>
        <family val="2"/>
        <scheme val="none"/>
      </font>
      <numFmt numFmtId="21" formatCode="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numFmt numFmtId="2" formatCode="0.00"/>
      <alignment horizontal="general" vertical="center" textRotation="0" wrapText="0" indent="0" justifyLastLine="0" shrinkToFit="0" readingOrder="0"/>
    </dxf>
    <dxf>
      <font>
        <outline val="0"/>
        <shadow val="0"/>
        <vertAlign val="baseline"/>
        <sz val="9"/>
        <name val="Arial"/>
        <family val="2"/>
        <scheme val="none"/>
      </font>
      <numFmt numFmtId="170" formatCode="d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numFmt numFmtId="2" formatCode="0.00"/>
      <alignment horizontal="general" vertical="center" textRotation="0" wrapText="0" indent="0" justifyLastLine="0" shrinkToFit="0" readingOrder="0"/>
    </dxf>
    <dxf>
      <font>
        <outline val="0"/>
        <shadow val="0"/>
        <vertAlign val="baseline"/>
        <sz val="9"/>
        <name val="Arial"/>
        <family val="2"/>
        <scheme val="none"/>
      </font>
      <numFmt numFmtId="170" formatCode="dd\-mmm"/>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numFmt numFmtId="166" formatCode="_-[$$-409]* #,##0_ ;_-[$$-409]* \-#,##0\ ;_-[$$-409]* &quot;-&quot;??_ ;_-@_ "/>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166" formatCode="_-[$$-409]* #,##0_ ;_-[$$-409]* \-#,##0\ ;_-[$$-409]* &quot;-&quot;??_ ;_-@_ "/>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numFmt numFmtId="166" formatCode="_-[$$-409]* #,##0_ ;_-[$$-409]* \-#,##0\ ;_-[$$-409]* &quot;-&quot;??_ ;_-@_ "/>
      <alignment horizontal="center"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alignment horizontal="general" vertical="center" textRotation="0" wrapText="1"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alignment horizontal="general" vertical="center" textRotation="0" wrapText="1" indent="0" justifyLastLine="0" shrinkToFit="0" readingOrder="0"/>
    </dxf>
    <dxf>
      <font>
        <b/>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i val="0"/>
        <strike val="0"/>
        <condense val="0"/>
        <extend val="0"/>
        <outline val="0"/>
        <shadow val="0"/>
        <u val="none"/>
        <vertAlign val="baseline"/>
        <sz val="9"/>
        <color theme="1"/>
        <name val="Arial"/>
        <family val="2"/>
        <scheme val="none"/>
      </font>
      <numFmt numFmtId="30" formatCode="@"/>
      <fill>
        <patternFill patternType="solid">
          <fgColor indexed="64"/>
          <bgColor rgb="FF92D050"/>
        </patternFill>
      </fill>
      <alignment horizontal="general" vertical="center" textRotation="0" wrapText="0" indent="0" justifyLastLine="0" shrinkToFit="0" readingOrder="0"/>
    </dxf>
    <dxf>
      <font>
        <b/>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outline val="0"/>
        <shadow val="0"/>
        <vertAlign val="baseline"/>
        <sz val="9"/>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b val="0"/>
        <i val="0"/>
        <strike val="0"/>
        <condense val="0"/>
        <extend val="0"/>
        <outline val="0"/>
        <shadow val="0"/>
        <u val="none"/>
        <vertAlign val="baseline"/>
        <sz val="9"/>
        <color theme="1"/>
        <name val="Arial"/>
        <family val="2"/>
        <scheme val="none"/>
      </font>
      <alignment horizontal="general" vertical="center" textRotation="0" wrapText="0" indent="0" justifyLastLine="0" shrinkToFit="0" readingOrder="0"/>
      <border diagonalUp="0" diagonalDown="0" outline="0">
        <left/>
        <right/>
        <top/>
        <bottom/>
      </border>
    </dxf>
    <dxf>
      <font>
        <outline val="0"/>
        <shadow val="0"/>
        <vertAlign val="baseline"/>
        <sz val="9"/>
        <name val="Arial"/>
        <family val="2"/>
        <scheme val="none"/>
      </font>
      <numFmt numFmtId="30" formatCode="@"/>
      <alignment horizontal="general" vertical="center" textRotation="0" indent="0" justifyLastLine="0" shrinkToFit="0"/>
    </dxf>
    <dxf>
      <font>
        <b val="0"/>
        <i val="0"/>
        <strike val="0"/>
        <condense val="0"/>
        <extend val="0"/>
        <outline val="0"/>
        <shadow val="0"/>
        <u val="none"/>
        <vertAlign val="baseline"/>
        <sz val="9"/>
        <color theme="1"/>
        <name val="Arial"/>
        <family val="2"/>
        <scheme val="none"/>
      </font>
      <numFmt numFmtId="30" formatCode="@"/>
      <alignment horizontal="general" vertical="center" textRotation="0" wrapText="0" indent="0" justifyLastLine="0" shrinkToFit="0" readingOrder="0"/>
    </dxf>
    <dxf>
      <font>
        <outline val="0"/>
        <shadow val="0"/>
        <vertAlign val="baseline"/>
        <sz val="9"/>
        <name val="Arial"/>
        <family val="2"/>
        <scheme val="none"/>
      </font>
      <numFmt numFmtId="30" formatCode="@"/>
      <alignment horizontal="center" vertical="center" textRotation="0" wrapText="0" indent="0" justifyLastLine="0" shrinkToFit="0" readingOrder="0"/>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pivotCacheDefinition" Target="pivotCache/pivotCacheDefinition3.xml"/><Relationship Id="rId50" Type="http://schemas.openxmlformats.org/officeDocument/2006/relationships/pivotCacheDefinition" Target="pivotCache/pivotCacheDefinition6.xml"/><Relationship Id="rId55"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pivotCacheDefinition" Target="pivotCache/pivotCacheDefinition1.xml"/><Relationship Id="rId53" Type="http://schemas.openxmlformats.org/officeDocument/2006/relationships/styles" Target="styles.xml"/><Relationship Id="rId58" Type="http://schemas.openxmlformats.org/officeDocument/2006/relationships/customXml" Target="../customXml/item2.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pivotCacheDefinition" Target="pivotCache/pivotCacheDefinition4.xml"/><Relationship Id="rId56"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pivotCacheDefinition" Target="pivotCache/pivotCacheDefinition2.xml"/><Relationship Id="rId59" Type="http://schemas.openxmlformats.org/officeDocument/2006/relationships/customXml" Target="../customXml/item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pivotCacheDefinition" Target="pivotCache/pivotCacheDefinition5.xml"/><Relationship Id="rId57" Type="http://schemas.openxmlformats.org/officeDocument/2006/relationships/customXml" Target="../customXml/item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connections" Target="connection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no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TD'!$W$10:$W$90</c:f>
              <c:numCache>
                <c:formatCode>m/d/yyyy</c:formatCode>
                <c:ptCount val="43"/>
                <c:pt idx="0">
                  <c:v>45343</c:v>
                </c:pt>
                <c:pt idx="1">
                  <c:v>45343</c:v>
                </c:pt>
                <c:pt idx="2">
                  <c:v>45323</c:v>
                </c:pt>
                <c:pt idx="3">
                  <c:v>45323</c:v>
                </c:pt>
                <c:pt idx="4">
                  <c:v>45358</c:v>
                </c:pt>
                <c:pt idx="5">
                  <c:v>45323</c:v>
                </c:pt>
                <c:pt idx="6">
                  <c:v>45336</c:v>
                </c:pt>
                <c:pt idx="7">
                  <c:v>45323</c:v>
                </c:pt>
                <c:pt idx="8">
                  <c:v>45323</c:v>
                </c:pt>
                <c:pt idx="9">
                  <c:v>45343</c:v>
                </c:pt>
                <c:pt idx="10">
                  <c:v>45343</c:v>
                </c:pt>
                <c:pt idx="11">
                  <c:v>45323</c:v>
                </c:pt>
                <c:pt idx="12">
                  <c:v>45323</c:v>
                </c:pt>
                <c:pt idx="13">
                  <c:v>45365</c:v>
                </c:pt>
                <c:pt idx="14">
                  <c:v>45372</c:v>
                </c:pt>
                <c:pt idx="15">
                  <c:v>45372</c:v>
                </c:pt>
                <c:pt idx="16">
                  <c:v>45383</c:v>
                </c:pt>
                <c:pt idx="18">
                  <c:v>45383</c:v>
                </c:pt>
                <c:pt idx="19">
                  <c:v>45383</c:v>
                </c:pt>
                <c:pt idx="20">
                  <c:v>45389</c:v>
                </c:pt>
                <c:pt idx="21">
                  <c:v>45464</c:v>
                </c:pt>
                <c:pt idx="22">
                  <c:v>45426</c:v>
                </c:pt>
                <c:pt idx="23">
                  <c:v>45403</c:v>
                </c:pt>
                <c:pt idx="24">
                  <c:v>45403</c:v>
                </c:pt>
                <c:pt idx="25">
                  <c:v>45413</c:v>
                </c:pt>
                <c:pt idx="26">
                  <c:v>45525</c:v>
                </c:pt>
                <c:pt idx="27">
                  <c:v>45474</c:v>
                </c:pt>
                <c:pt idx="28">
                  <c:v>45433</c:v>
                </c:pt>
                <c:pt idx="29">
                  <c:v>45457</c:v>
                </c:pt>
                <c:pt idx="30">
                  <c:v>45494</c:v>
                </c:pt>
                <c:pt idx="31">
                  <c:v>45457</c:v>
                </c:pt>
                <c:pt idx="32">
                  <c:v>45444</c:v>
                </c:pt>
                <c:pt idx="33">
                  <c:v>45403</c:v>
                </c:pt>
                <c:pt idx="34">
                  <c:v>45464</c:v>
                </c:pt>
                <c:pt idx="35">
                  <c:v>45444</c:v>
                </c:pt>
                <c:pt idx="36">
                  <c:v>45444</c:v>
                </c:pt>
                <c:pt idx="37">
                  <c:v>45413</c:v>
                </c:pt>
                <c:pt idx="38">
                  <c:v>45494</c:v>
                </c:pt>
                <c:pt idx="39">
                  <c:v>45505</c:v>
                </c:pt>
                <c:pt idx="40">
                  <c:v>45556</c:v>
                </c:pt>
                <c:pt idx="41">
                  <c:v>45556</c:v>
                </c:pt>
                <c:pt idx="42">
                  <c:v>45579</c:v>
                </c:pt>
              </c:numCache>
            </c:numRef>
          </c:val>
          <c:extLst>
            <c:ext xmlns:c16="http://schemas.microsoft.com/office/drawing/2014/chart" uri="{C3380CC4-5D6E-409C-BE32-E72D297353CC}">
              <c16:uniqueId val="{00000000-6727-4FDE-9D35-B12BF0F88B8B}"/>
            </c:ext>
          </c:extLst>
        </c:ser>
        <c:ser>
          <c:idx val="1"/>
          <c:order val="1"/>
          <c:spPr>
            <a:solidFill>
              <a:schemeClr val="accent2"/>
            </a:solid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TD'!$Y$10:$Y$92</c:f>
              <c:numCache>
                <c:formatCode>0.00</c:formatCode>
                <c:ptCount val="43"/>
                <c:pt idx="0">
                  <c:v>22</c:v>
                </c:pt>
                <c:pt idx="1">
                  <c:v>12</c:v>
                </c:pt>
                <c:pt idx="2">
                  <c:v>1</c:v>
                </c:pt>
                <c:pt idx="3">
                  <c:v>20</c:v>
                </c:pt>
                <c:pt idx="4">
                  <c:v>22</c:v>
                </c:pt>
                <c:pt idx="5">
                  <c:v>62</c:v>
                </c:pt>
                <c:pt idx="6">
                  <c:v>6</c:v>
                </c:pt>
                <c:pt idx="7">
                  <c:v>15</c:v>
                </c:pt>
                <c:pt idx="8">
                  <c:v>15</c:v>
                </c:pt>
                <c:pt idx="9">
                  <c:v>12</c:v>
                </c:pt>
                <c:pt idx="10">
                  <c:v>12</c:v>
                </c:pt>
                <c:pt idx="11">
                  <c:v>5</c:v>
                </c:pt>
                <c:pt idx="12">
                  <c:v>5</c:v>
                </c:pt>
                <c:pt idx="13">
                  <c:v>17</c:v>
                </c:pt>
                <c:pt idx="14">
                  <c:v>12</c:v>
                </c:pt>
                <c:pt idx="15">
                  <c:v>12</c:v>
                </c:pt>
                <c:pt idx="16">
                  <c:v>45</c:v>
                </c:pt>
                <c:pt idx="17">
                  <c:v>0</c:v>
                </c:pt>
                <c:pt idx="18">
                  <c:v>37</c:v>
                </c:pt>
                <c:pt idx="19">
                  <c:v>27</c:v>
                </c:pt>
                <c:pt idx="20">
                  <c:v>22</c:v>
                </c:pt>
                <c:pt idx="21">
                  <c:v>11</c:v>
                </c:pt>
                <c:pt idx="22">
                  <c:v>44</c:v>
                </c:pt>
                <c:pt idx="23">
                  <c:v>35</c:v>
                </c:pt>
                <c:pt idx="24">
                  <c:v>45</c:v>
                </c:pt>
                <c:pt idx="25">
                  <c:v>20</c:v>
                </c:pt>
                <c:pt idx="26">
                  <c:v>6</c:v>
                </c:pt>
                <c:pt idx="27">
                  <c:v>5</c:v>
                </c:pt>
                <c:pt idx="28">
                  <c:v>24</c:v>
                </c:pt>
                <c:pt idx="29">
                  <c:v>11</c:v>
                </c:pt>
                <c:pt idx="30">
                  <c:v>28</c:v>
                </c:pt>
                <c:pt idx="31">
                  <c:v>44</c:v>
                </c:pt>
                <c:pt idx="32">
                  <c:v>40</c:v>
                </c:pt>
                <c:pt idx="33">
                  <c:v>27</c:v>
                </c:pt>
                <c:pt idx="34">
                  <c:v>11</c:v>
                </c:pt>
                <c:pt idx="35">
                  <c:v>30</c:v>
                </c:pt>
                <c:pt idx="36">
                  <c:v>30</c:v>
                </c:pt>
                <c:pt idx="37">
                  <c:v>43</c:v>
                </c:pt>
                <c:pt idx="38">
                  <c:v>5</c:v>
                </c:pt>
                <c:pt idx="39">
                  <c:v>32</c:v>
                </c:pt>
                <c:pt idx="40">
                  <c:v>11</c:v>
                </c:pt>
                <c:pt idx="41">
                  <c:v>5</c:v>
                </c:pt>
                <c:pt idx="42">
                  <c:v>19</c:v>
                </c:pt>
              </c:numCache>
            </c:numRef>
          </c:val>
          <c:extLst>
            <c:ext xmlns:c16="http://schemas.microsoft.com/office/drawing/2014/chart" uri="{C3380CC4-5D6E-409C-BE32-E72D297353CC}">
              <c16:uniqueId val="{00000001-6727-4FDE-9D35-B12BF0F88B8B}"/>
            </c:ext>
          </c:extLst>
        </c:ser>
        <c:ser>
          <c:idx val="2"/>
          <c:order val="2"/>
          <c:spPr>
            <a:solidFill>
              <a:schemeClr val="accent3"/>
            </a:solid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TD'!$AC$10:$AC$92</c:f>
              <c:numCache>
                <c:formatCode>0.00</c:formatCode>
                <c:ptCount val="43"/>
                <c:pt idx="0">
                  <c:v>6</c:v>
                </c:pt>
                <c:pt idx="1">
                  <c:v>6</c:v>
                </c:pt>
                <c:pt idx="2">
                  <c:v>5</c:v>
                </c:pt>
                <c:pt idx="3">
                  <c:v>7</c:v>
                </c:pt>
                <c:pt idx="4">
                  <c:v>5</c:v>
                </c:pt>
                <c:pt idx="5">
                  <c:v>7</c:v>
                </c:pt>
                <c:pt idx="6">
                  <c:v>6</c:v>
                </c:pt>
                <c:pt idx="7">
                  <c:v>6</c:v>
                </c:pt>
                <c:pt idx="8">
                  <c:v>6</c:v>
                </c:pt>
                <c:pt idx="9">
                  <c:v>6</c:v>
                </c:pt>
                <c:pt idx="10">
                  <c:v>6</c:v>
                </c:pt>
                <c:pt idx="11">
                  <c:v>6</c:v>
                </c:pt>
                <c:pt idx="12">
                  <c:v>1</c:v>
                </c:pt>
                <c:pt idx="13">
                  <c:v>5</c:v>
                </c:pt>
                <c:pt idx="14">
                  <c:v>5</c:v>
                </c:pt>
                <c:pt idx="15">
                  <c:v>5</c:v>
                </c:pt>
                <c:pt idx="16">
                  <c:v>10</c:v>
                </c:pt>
                <c:pt idx="17">
                  <c:v>0</c:v>
                </c:pt>
                <c:pt idx="18">
                  <c:v>6</c:v>
                </c:pt>
                <c:pt idx="19">
                  <c:v>6</c:v>
                </c:pt>
                <c:pt idx="20">
                  <c:v>6</c:v>
                </c:pt>
                <c:pt idx="21">
                  <c:v>5</c:v>
                </c:pt>
                <c:pt idx="22">
                  <c:v>10</c:v>
                </c:pt>
                <c:pt idx="23">
                  <c:v>11</c:v>
                </c:pt>
                <c:pt idx="24">
                  <c:v>6</c:v>
                </c:pt>
                <c:pt idx="25">
                  <c:v>9</c:v>
                </c:pt>
                <c:pt idx="26">
                  <c:v>8</c:v>
                </c:pt>
                <c:pt idx="27">
                  <c:v>5</c:v>
                </c:pt>
                <c:pt idx="28">
                  <c:v>11</c:v>
                </c:pt>
                <c:pt idx="29">
                  <c:v>6</c:v>
                </c:pt>
                <c:pt idx="30">
                  <c:v>13</c:v>
                </c:pt>
                <c:pt idx="31">
                  <c:v>11</c:v>
                </c:pt>
                <c:pt idx="32">
                  <c:v>13</c:v>
                </c:pt>
                <c:pt idx="33">
                  <c:v>14</c:v>
                </c:pt>
                <c:pt idx="34">
                  <c:v>5</c:v>
                </c:pt>
                <c:pt idx="35">
                  <c:v>10</c:v>
                </c:pt>
                <c:pt idx="36">
                  <c:v>10</c:v>
                </c:pt>
                <c:pt idx="37">
                  <c:v>11</c:v>
                </c:pt>
                <c:pt idx="38">
                  <c:v>56</c:v>
                </c:pt>
                <c:pt idx="39">
                  <c:v>10</c:v>
                </c:pt>
                <c:pt idx="40">
                  <c:v>6</c:v>
                </c:pt>
                <c:pt idx="41">
                  <c:v>6</c:v>
                </c:pt>
                <c:pt idx="42">
                  <c:v>6</c:v>
                </c:pt>
              </c:numCache>
            </c:numRef>
          </c:val>
          <c:extLst>
            <c:ext xmlns:c16="http://schemas.microsoft.com/office/drawing/2014/chart" uri="{C3380CC4-5D6E-409C-BE32-E72D297353CC}">
              <c16:uniqueId val="{00000002-6727-4FDE-9D35-B12BF0F88B8B}"/>
            </c:ext>
          </c:extLst>
        </c:ser>
        <c:ser>
          <c:idx val="3"/>
          <c:order val="3"/>
          <c:spPr>
            <a:solidFill>
              <a:schemeClr val="accent4"/>
            </a:solidFill>
            <a:ln>
              <a:noFill/>
            </a:ln>
            <a:effectLst/>
          </c:spPr>
          <c:invertIfNegative val="0"/>
          <c:dLbls>
            <c:delete val="1"/>
          </c:dLbls>
          <c:cat>
            <c:strRef>
              <c:f>'Gant TD'!$C$26:$C$90</c:f>
              <c:strCache>
                <c:ptCount val="43"/>
                <c:pt idx="0">
                  <c:v>Upsell</c:v>
                </c:pt>
                <c:pt idx="1">
                  <c:v>Smart routing </c:v>
                </c:pt>
                <c:pt idx="2">
                  <c:v>Integración con uber direct </c:v>
                </c:pt>
                <c:pt idx="3">
                  <c:v>Nuevas funcionalidades
Up / Cross sell Appedir </c:v>
                </c:pt>
                <c:pt idx="4">
                  <c:v>Ley de protección</c:v>
                </c:pt>
                <c:pt idx="5">
                  <c:v>Kiosco V3</c:v>
                </c:pt>
                <c:pt idx="6">
                  <c:v>KFC Fulfillment Campo Delivery time </c:v>
                </c:pt>
                <c:pt idx="7">
                  <c:v>KFC Fulfillment  Compensaciones  JV</c:v>
                </c:pt>
                <c:pt idx="8">
                  <c:v>Inyección v3 y Descuentos</c:v>
                </c:pt>
                <c:pt idx="9">
                  <c:v>Funcionalidades Kiosco Venezuela</c:v>
                </c:pt>
                <c:pt idx="10">
                  <c:v>Funcionalidades APP Venezuela</c:v>
                </c:pt>
                <c:pt idx="11">
                  <c:v>Fidelización JV</c:v>
                </c:pt>
                <c:pt idx="12">
                  <c:v>Juan Valdez Fullfilment</c:v>
                </c:pt>
                <c:pt idx="13">
                  <c:v>Appedir y KFC cambios de estado </c:v>
                </c:pt>
                <c:pt idx="14">
                  <c:v>KFC Fidelización (Lealtad Simple, puntos y tiers)</c:v>
                </c:pt>
                <c:pt idx="15">
                  <c:v>KFC Fidelización  (cupones avanzandos)</c:v>
                </c:pt>
                <c:pt idx="16">
                  <c:v>KFC Fulfillment KFC Flash* pendiente definición con ops</c:v>
                </c:pt>
                <c:pt idx="17">
                  <c:v>Tracking y Chat de motos</c:v>
                </c:pt>
                <c:pt idx="18">
                  <c:v>Metodo de pago Kiosco</c:v>
                </c:pt>
                <c:pt idx="19">
                  <c:v>KFC Métodos de Pago</c:v>
                </c:pt>
                <c:pt idx="20">
                  <c:v>Funcionalidades Kiosco Upsell y Crosell</c:v>
                </c:pt>
                <c:pt idx="21">
                  <c:v>KFC Fulfillment Tiempo rango de entrega</c:v>
                </c:pt>
                <c:pt idx="22">
                  <c:v>KFC Fulfillment Poder programar pedidos a domicilio en el mismo día.</c:v>
                </c:pt>
                <c:pt idx="23">
                  <c:v>KFC Fulfillment Incluir Pickup para Autorápido, con un diferente menú</c:v>
                </c:pt>
                <c:pt idx="24">
                  <c:v>KFC Fulfillment Incluir Pickup Curbside (pedir desde el auto en un lote de estacionamiento)</c:v>
                </c:pt>
                <c:pt idx="25">
                  <c:v>KFC Fulfillment  Aceptar pago de propinas para el motorizado desde la app</c:v>
                </c:pt>
                <c:pt idx="26">
                  <c:v>KFC Fulfillment  Pedidos programados  Appedir </c:v>
                </c:pt>
                <c:pt idx="27">
                  <c:v>KFC Fulfillment  Appedir flash - de acuerdo a zona de pedido del cliente se active las tiendas mas cercanas y que el envío sea en menos de xxxx minutos </c:v>
                </c:pt>
                <c:pt idx="28">
                  <c:v>KFC Fulfillment  Propinas  Appedir </c:v>
                </c:pt>
                <c:pt idx="29">
                  <c:v>KFC Fulfillment  Compensaciones  Appedir </c:v>
                </c:pt>
                <c:pt idx="30">
                  <c:v>Personalización APP</c:v>
                </c:pt>
                <c:pt idx="31">
                  <c:v>Funcionalidades Kiosko</c:v>
                </c:pt>
                <c:pt idx="32">
                  <c:v>Fidelización  Appedir</c:v>
                </c:pt>
                <c:pt idx="33">
                  <c:v>Descuentos Kiosco Chile</c:v>
                </c:pt>
                <c:pt idx="34">
                  <c:v>Appedir Fullfilment</c:v>
                </c:pt>
                <c:pt idx="35">
                  <c:v>Eficiencia Sync menú</c:v>
                </c:pt>
                <c:pt idx="36">
                  <c:v>KFC Fulfillment UI Pickup (ya estoy aquí)</c:v>
                </c:pt>
                <c:pt idx="37">
                  <c:v>KFC Fulfillment Incluir Pickup Tableside (pedir desde la mesa con un número de mesa)</c:v>
                </c:pt>
                <c:pt idx="38">
                  <c:v>Operatividad</c:v>
                </c:pt>
                <c:pt idx="39">
                  <c:v>Metodo de pago APP</c:v>
                </c:pt>
                <c:pt idx="40">
                  <c:v>Funcionalidades Kiosco Facturación</c:v>
                </c:pt>
                <c:pt idx="41">
                  <c:v>Funcionalidades APP Chile</c:v>
                </c:pt>
                <c:pt idx="42">
                  <c:v>Cupones</c:v>
                </c:pt>
              </c:strCache>
            </c:strRef>
          </c:cat>
          <c:val>
            <c:numRef>
              <c:f>'Gant TD'!$AF$26:$AF$90</c:f>
              <c:numCache>
                <c:formatCode>0.00</c:formatCode>
                <c:ptCount val="43"/>
                <c:pt idx="0">
                  <c:v>7</c:v>
                </c:pt>
                <c:pt idx="1">
                  <c:v>6</c:v>
                </c:pt>
                <c:pt idx="2">
                  <c:v>6</c:v>
                </c:pt>
                <c:pt idx="3">
                  <c:v>6</c:v>
                </c:pt>
                <c:pt idx="4">
                  <c:v>5</c:v>
                </c:pt>
                <c:pt idx="5">
                  <c:v>16</c:v>
                </c:pt>
                <c:pt idx="6">
                  <c:v>1</c:v>
                </c:pt>
                <c:pt idx="7">
                  <c:v>1</c:v>
                </c:pt>
                <c:pt idx="8">
                  <c:v>7</c:v>
                </c:pt>
                <c:pt idx="9">
                  <c:v>6</c:v>
                </c:pt>
                <c:pt idx="10">
                  <c:v>6</c:v>
                </c:pt>
                <c:pt idx="11">
                  <c:v>6</c:v>
                </c:pt>
                <c:pt idx="12">
                  <c:v>1</c:v>
                </c:pt>
                <c:pt idx="13">
                  <c:v>5</c:v>
                </c:pt>
                <c:pt idx="14">
                  <c:v>5</c:v>
                </c:pt>
                <c:pt idx="15">
                  <c:v>5</c:v>
                </c:pt>
                <c:pt idx="16">
                  <c:v>11</c:v>
                </c:pt>
                <c:pt idx="17">
                  <c:v>0</c:v>
                </c:pt>
                <c:pt idx="18">
                  <c:v>14</c:v>
                </c:pt>
                <c:pt idx="19">
                  <c:v>6</c:v>
                </c:pt>
                <c:pt idx="20">
                  <c:v>6</c:v>
                </c:pt>
                <c:pt idx="21">
                  <c:v>10</c:v>
                </c:pt>
                <c:pt idx="22">
                  <c:v>13</c:v>
                </c:pt>
                <c:pt idx="23">
                  <c:v>11</c:v>
                </c:pt>
                <c:pt idx="24">
                  <c:v>16</c:v>
                </c:pt>
                <c:pt idx="25">
                  <c:v>16</c:v>
                </c:pt>
                <c:pt idx="26">
                  <c:v>10</c:v>
                </c:pt>
                <c:pt idx="27">
                  <c:v>5</c:v>
                </c:pt>
                <c:pt idx="28">
                  <c:v>10</c:v>
                </c:pt>
                <c:pt idx="29">
                  <c:v>15</c:v>
                </c:pt>
                <c:pt idx="30">
                  <c:v>5</c:v>
                </c:pt>
                <c:pt idx="31">
                  <c:v>13</c:v>
                </c:pt>
                <c:pt idx="32">
                  <c:v>11</c:v>
                </c:pt>
                <c:pt idx="33">
                  <c:v>6</c:v>
                </c:pt>
                <c:pt idx="34">
                  <c:v>5</c:v>
                </c:pt>
                <c:pt idx="35">
                  <c:v>13</c:v>
                </c:pt>
                <c:pt idx="36">
                  <c:v>13</c:v>
                </c:pt>
                <c:pt idx="37">
                  <c:v>10</c:v>
                </c:pt>
                <c:pt idx="38">
                  <c:v>6</c:v>
                </c:pt>
                <c:pt idx="39">
                  <c:v>11</c:v>
                </c:pt>
                <c:pt idx="40">
                  <c:v>6</c:v>
                </c:pt>
                <c:pt idx="41">
                  <c:v>6</c:v>
                </c:pt>
                <c:pt idx="42">
                  <c:v>11</c:v>
                </c:pt>
              </c:numCache>
            </c:numRef>
          </c:val>
          <c:extLst>
            <c:ext xmlns:c16="http://schemas.microsoft.com/office/drawing/2014/chart" uri="{C3380CC4-5D6E-409C-BE32-E72D297353CC}">
              <c16:uniqueId val="{00000003-6727-4FDE-9D35-B12BF0F88B8B}"/>
            </c:ext>
          </c:extLst>
        </c:ser>
        <c:dLbls>
          <c:dLblPos val="ctr"/>
          <c:showLegendKey val="0"/>
          <c:showVal val="1"/>
          <c:showCatName val="0"/>
          <c:showSerName val="0"/>
          <c:showPercent val="0"/>
          <c:showBubbleSize val="0"/>
        </c:dLbls>
        <c:gapWidth val="150"/>
        <c:overlap val="100"/>
        <c:axId val="580891567"/>
        <c:axId val="1119438255"/>
      </c:barChart>
      <c:catAx>
        <c:axId val="580891567"/>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s-EC"/>
          </a:p>
        </c:txPr>
        <c:crossAx val="1119438255"/>
        <c:crosses val="autoZero"/>
        <c:auto val="1"/>
        <c:lblAlgn val="ctr"/>
        <c:lblOffset val="100"/>
        <c:noMultiLvlLbl val="0"/>
      </c:catAx>
      <c:valAx>
        <c:axId val="1119438255"/>
        <c:scaling>
          <c:orientation val="minMax"/>
          <c:min val="45300"/>
        </c:scaling>
        <c:delete val="0"/>
        <c:axPos val="t"/>
        <c:numFmt formatCode="m/d/yyyy" sourceLinked="1"/>
        <c:majorTickMark val="in"/>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C"/>
          </a:p>
        </c:txPr>
        <c:crossAx val="58089156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C"/>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555625" cy="284834"/>
    <xdr:pic>
      <xdr:nvPicPr>
        <xdr:cNvPr id="2" name="Imagen 1">
          <a:extLst>
            <a:ext uri="{FF2B5EF4-FFF2-40B4-BE49-F238E27FC236}">
              <a16:creationId xmlns:a16="http://schemas.microsoft.com/office/drawing/2014/main" id="{0B323D0F-F33E-452A-A902-D5BEF67D577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22222" t="32222" r="24814" b="40740"/>
        <a:stretch/>
      </xdr:blipFill>
      <xdr:spPr>
        <a:xfrm>
          <a:off x="0" y="0"/>
          <a:ext cx="555625" cy="284834"/>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xdr:from>
      <xdr:col>35</xdr:col>
      <xdr:colOff>557892</xdr:colOff>
      <xdr:row>8</xdr:row>
      <xdr:rowOff>62594</xdr:rowOff>
    </xdr:from>
    <xdr:to>
      <xdr:col>78</xdr:col>
      <xdr:colOff>348342</xdr:colOff>
      <xdr:row>219</xdr:row>
      <xdr:rowOff>176894</xdr:rowOff>
    </xdr:to>
    <xdr:graphicFrame macro="">
      <xdr:nvGraphicFramePr>
        <xdr:cNvPr id="2" name="Gráfico 1">
          <a:extLst>
            <a:ext uri="{FF2B5EF4-FFF2-40B4-BE49-F238E27FC236}">
              <a16:creationId xmlns:a16="http://schemas.microsoft.com/office/drawing/2014/main" id="{F792D090-369E-4599-B626-7FF7CE443E5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52</xdr:col>
      <xdr:colOff>739487</xdr:colOff>
      <xdr:row>7</xdr:row>
      <xdr:rowOff>261504</xdr:rowOff>
    </xdr:from>
    <xdr:to>
      <xdr:col>53</xdr:col>
      <xdr:colOff>185305</xdr:colOff>
      <xdr:row>221</xdr:row>
      <xdr:rowOff>112568</xdr:rowOff>
    </xdr:to>
    <xdr:cxnSp macro="">
      <xdr:nvCxnSpPr>
        <xdr:cNvPr id="3" name="Conector recto 2">
          <a:extLst>
            <a:ext uri="{FF2B5EF4-FFF2-40B4-BE49-F238E27FC236}">
              <a16:creationId xmlns:a16="http://schemas.microsoft.com/office/drawing/2014/main" id="{0202CBEC-C945-454D-9833-12A41FA97E43}"/>
            </a:ext>
          </a:extLst>
        </xdr:cNvPr>
        <xdr:cNvCxnSpPr/>
      </xdr:nvCxnSpPr>
      <xdr:spPr>
        <a:xfrm>
          <a:off x="40363487" y="1528329"/>
          <a:ext cx="207818" cy="40684739"/>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61</xdr:col>
      <xdr:colOff>5196</xdr:colOff>
      <xdr:row>8</xdr:row>
      <xdr:rowOff>74468</xdr:rowOff>
    </xdr:from>
    <xdr:to>
      <xdr:col>61</xdr:col>
      <xdr:colOff>213014</xdr:colOff>
      <xdr:row>222</xdr:row>
      <xdr:rowOff>5196</xdr:rowOff>
    </xdr:to>
    <xdr:cxnSp macro="">
      <xdr:nvCxnSpPr>
        <xdr:cNvPr id="4" name="Conector recto 3">
          <a:extLst>
            <a:ext uri="{FF2B5EF4-FFF2-40B4-BE49-F238E27FC236}">
              <a16:creationId xmlns:a16="http://schemas.microsoft.com/office/drawing/2014/main" id="{ACAD2120-1CF9-4460-AC67-F32C1B4DF8E8}"/>
            </a:ext>
          </a:extLst>
        </xdr:cNvPr>
        <xdr:cNvCxnSpPr/>
      </xdr:nvCxnSpPr>
      <xdr:spPr>
        <a:xfrm>
          <a:off x="46487196" y="1598468"/>
          <a:ext cx="207818" cy="4069772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69</xdr:col>
      <xdr:colOff>27709</xdr:colOff>
      <xdr:row>8</xdr:row>
      <xdr:rowOff>79663</xdr:rowOff>
    </xdr:from>
    <xdr:to>
      <xdr:col>69</xdr:col>
      <xdr:colOff>235527</xdr:colOff>
      <xdr:row>222</xdr:row>
      <xdr:rowOff>10391</xdr:rowOff>
    </xdr:to>
    <xdr:cxnSp macro="">
      <xdr:nvCxnSpPr>
        <xdr:cNvPr id="5" name="Conector recto 4">
          <a:extLst>
            <a:ext uri="{FF2B5EF4-FFF2-40B4-BE49-F238E27FC236}">
              <a16:creationId xmlns:a16="http://schemas.microsoft.com/office/drawing/2014/main" id="{8B7E7ADF-1359-4F1C-89EB-A1D62A523C04}"/>
            </a:ext>
          </a:extLst>
        </xdr:cNvPr>
        <xdr:cNvCxnSpPr/>
      </xdr:nvCxnSpPr>
      <xdr:spPr>
        <a:xfrm>
          <a:off x="52605709" y="1603663"/>
          <a:ext cx="207818" cy="40697728"/>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Ana Jacho" id="{1B14BBA8-FACB-42F8-A7AA-7A4AFFD20B34}" userId="S::ana.jacho@kfc.com.ec::4edb0438-6054-4b71-a6f3-7d2f9f31a144" providerId="AD"/>
  <person displayName="Daira Oña" id="{28F6C3C0-35BD-479B-BE60-FACF2EA83CED}" userId="S::daira.ona@kfc.com.ec::72a4b543-d4fc-4231-8ede-43f147559185" providerId="AD"/>
  <person displayName="Darwin Mora" id="{5BDDB8D7-8CB1-4684-BB98-A54555A0A6F2}" userId="S::darwin.mora@kfc.com.ec::adcc783c-7d7f-4ba6-9274-bcb1af4384a4" providerId="AD"/>
  <person displayName="Vanessa Soria" id="{89CBC532-1B10-4ABC-953A-C3EEA194CEBA}" userId="S::vanessa.soria@degasa.cl::bdfd023c-fc99-486b-84a7-9353a285aa1d" providerId="AD"/>
  <person displayName="Jose Fernandez" id="{C1372D6D-2F3A-452B-AB96-2A659F500919}" userId="S::jose.fernandez@kfc.com.ec::5206c609-3d01-4c16-9d46-97a00ccd093b" providerId="AD"/>
  <person displayName="Mychael Castro" id="{1B7A9E83-1E66-4F83-8C51-0F27172D4771}" userId="S::mychael.castro@kfc.com.ec::2f382e81-4c6e-4cae-8560-4428f106be40" providerId="AD"/>
  <person displayName="Ramiro Avendaño" id="{3F913046-5034-4E39-A8CA-25A54461BAD3}" userId="S::ramiro.avendano@kfc.com.ec::9ac6c3c9-9c1b-41b4-9b32-652a7866fc70" providerId="AD"/>
  <person displayName="Tatiana Vizcaino" id="{E780620E-C9A1-4446-AF00-93ED69FC1A83}" userId="S::tatiana.vizcaino@kfc.com.ec::c31bf4cf-4ce1-4de7-af01-3cf0db13b396" providerId="AD"/>
</personList>
</file>

<file path=xl/pivotCache/_rels/pivotCacheDefinition1.xml.rels><?xml version="1.0" encoding="UTF-8" standalone="yes"?>
<Relationships xmlns="http://schemas.openxmlformats.org/package/2006/relationships"><Relationship Id="rId2" Type="http://schemas.openxmlformats.org/officeDocument/2006/relationships/externalLinkPath" Target="https://grupokfc.sharepoint.com/sites/Ecu-ITDSI/_vti_history/114688/Documentos%20compartidos/Portafolio%202024/0.%20Resumen%20General/Portafolio%20Proyectos%202024.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2" Type="http://schemas.openxmlformats.org/officeDocument/2006/relationships/externalLinkPath" Target="https://grupokfc.sharepoint.com/sites/Ecu-ITDSI/_vti_history/114688/Documentos%20compartidos/Portafolio%202024/0.%20Resumen%20General/Portafolio%20Proyectos%202024.xlsx" TargetMode="External"/><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76.613057060182" createdVersion="8" refreshedVersion="8" minRefreshableVersion="3" recordCount="413" xr:uid="{7C4E91C6-A6FD-495F-A77A-4BC273799628}">
  <cacheSource type="worksheet">
    <worksheetSource ref="A1:AP421" sheet="BASE" r:id="rId2"/>
  </cacheSource>
  <cacheFields count="44">
    <cacheField name="Año" numFmtId="49">
      <sharedItems containsBlank="1" containsMixedTypes="1" containsNumber="1" containsInteger="1" minValue="2024" maxValue="2024" count="4">
        <s v="2024"/>
        <s v="2023"/>
        <m/>
        <n v="2024"/>
      </sharedItems>
    </cacheField>
    <cacheField name="Requiere _x000a_Presupuesto" numFmtId="49">
      <sharedItems containsBlank="1"/>
    </cacheField>
    <cacheField name="Producto" numFmtId="49">
      <sharedItems containsBlank="1" count="10">
        <s v="CANALES DIGITALES"/>
        <s v="SIR"/>
        <s v="ERP"/>
        <s v="MXP LEGACY"/>
        <s v="SISTEMAS INTERNOS"/>
        <s v="BI"/>
        <s v="Devsecops"/>
        <m/>
        <s v="MXP NUEVO"/>
        <s v="SAP"/>
      </sharedItems>
    </cacheField>
    <cacheField name="Proyecto" numFmtId="0">
      <sharedItems containsBlank="1"/>
    </cacheField>
    <cacheField name="Titulo" numFmtId="0">
      <sharedItems containsBlank="1"/>
    </cacheField>
    <cacheField name="Vínculo" numFmtId="0">
      <sharedItems containsBlank="1"/>
    </cacheField>
    <cacheField name="Columna2" numFmtId="0">
      <sharedItems containsBlank="1"/>
    </cacheField>
    <cacheField name="Descripción" numFmtId="0">
      <sharedItems containsBlank="1" longText="1"/>
    </cacheField>
    <cacheField name="Prioridad" numFmtId="0">
      <sharedItems containsBlank="1"/>
    </cacheField>
    <cacheField name="ALCANCE" numFmtId="0">
      <sharedItems containsBlank="1" count="6">
        <s v="LOCAL"/>
        <s v="REGIONAL"/>
        <s v="LOCAL*"/>
        <s v="REGIONAL*"/>
        <m/>
        <s v="REGIONAL "/>
      </sharedItems>
    </cacheField>
    <cacheField name="PROYECTO SAP" numFmtId="0">
      <sharedItems containsBlank="1" count="65">
        <s v="Funcionalidades Locales"/>
        <s v="Funcionalidades Regionales"/>
        <s v="Proyectos TD 2024"/>
        <s v="Mantenimiento"/>
        <s v="Reportería Regional SAP ANALYTIC CLOUD"/>
        <s v="Operaciones Aeropuerto 2024"/>
        <s v="Mejoras Maxpoint Auditoría 2024"/>
        <s v="Integración con Agregadores (Regional)"/>
        <m/>
        <s v="Mejoras B2B - Finanzas"/>
        <s v="Mejoras B2B - Tesorería"/>
        <s v="Talento Humano Planta"/>
        <s v="Pendiente Juan Carlos B"/>
        <s v="Creación Sociedad Financiera DEVISO"/>
        <s v="Reingenieria de Procesos Planta Cubiertplast"/>
        <s v="Notas de Crédito"/>
        <s v="Landing Page"/>
        <s v="Optimizar envío de data a Blob Storage"/>
        <s v="Desarrollo Software Integración Granjas con SAP"/>
        <s v="Mejora en la entrega de data para BI"/>
        <s v="Debe mantenerse reunion con el área de BA y Negocio"/>
        <s v="Implementación Coproductos empresa Embutser"/>
        <s v="Easy Scripting"/>
        <s v="Aprobación orden de compra - Planta"/>
        <s v="Optimización Procesos Plantas"/>
        <s v="Control Costos Productos Importados"/>
        <s v="Control Ocupación Camiones"/>
        <s v="Firma Digitales Contratos"/>
        <s v="Mejorar los desarrollos en SAP"/>
        <s v="Implementacion Modelo MPS Plantas"/>
        <s v="RPA: Cruce Suministros"/>
        <s v="SAP(Licencias, Servicios Externos)"/>
        <s v="Aprobación orden de compra - CAR"/>
        <s v="Mejoras Contabilidad"/>
        <s v="Reunión con Requisidor, obtener mas información"/>
        <s v="Juan Celi"/>
        <s v="Desarrollo Reporte Deuda"/>
        <s v="Consolidacion prestamos intercompany"/>
        <s v="Calidad Planta"/>
        <s v="Pendientes Matriz Regional 2023"/>
        <s v="Implementar DRP / BCP SAP Países"/>
        <s v="Funcionalidades País"/>
        <s v="Aprobación orden de compra - Mercadeo"/>
        <s v="Celula Operaciones Maxpoint 2024"/>
        <s v="Otros - Presupuesto 2023"/>
        <s v="Restructura de manejo de Plu´s y MasterPlu"/>
        <s v="Célula de Operaciones SIR 2023"/>
        <s v="Célula de Operaciones SIR 2024"/>
        <s v="Mejoras Auditoría"/>
        <s v="Traspaso de Sistemas Internos a SAP para analizar"/>
        <s v="Mantenimiento Restaurantes"/>
        <s v="Administración Caja Chica"/>
        <s v="Mejoras App Gestiona"/>
        <s v="Mejoras App Somos"/>
        <s v="Elearning Varios Clientes"/>
        <s v="Validar con ambos aeropuertos, pendiente confirmacion Jose Luis Tello"/>
        <s v="Reingeniería Payroll - Cambio a AKS"/>
        <s v="Servicio de tarjetas en netCore"/>
        <s v="LOPDP"/>
        <s v="España"/>
        <s v="Creación Empresas: FAMILY OFFICE"/>
        <s v="Mejora herramientas Otros Negocios"/>
        <s v="Respaldo Digital Mayor Contable"/>
        <s v="Mantenimiento procesos RPA"/>
        <s v="DSI"/>
      </sharedItems>
    </cacheField>
    <cacheField name="Frente" numFmtId="0">
      <sharedItems containsBlank="1"/>
    </cacheField>
    <cacheField name="País" numFmtId="0">
      <sharedItems containsBlank="1" count="7">
        <s v="Ecuador"/>
        <s v="Chile"/>
        <s v="Argentina"/>
        <s v="Colombia"/>
        <s v="Venezuela"/>
        <s v="España"/>
        <m/>
      </sharedItems>
    </cacheField>
    <cacheField name="Contacto" numFmtId="0">
      <sharedItems containsBlank="1"/>
    </cacheField>
    <cacheField name="Área" numFmtId="0">
      <sharedItems containsBlank="1"/>
    </cacheField>
    <cacheField name="Aprobación" numFmtId="0">
      <sharedItems containsBlank="1" count="5">
        <s v="APROBADO"/>
        <s v="IDENTIFICADO"/>
        <s v="SUSPENDIDO"/>
        <m/>
        <s v="NO REQUERIDO"/>
      </sharedItems>
    </cacheField>
    <cacheField name="Progreso" numFmtId="0">
      <sharedItems containsBlank="1"/>
    </cacheField>
    <cacheField name="Prioridad Cliente" numFmtId="0">
      <sharedItems containsBlank="1" containsMixedTypes="1" containsNumber="1" containsInteger="1" minValue="0" maxValue="26"/>
    </cacheField>
    <cacheField name="Prioridad_x000a_PO" numFmtId="0">
      <sharedItems containsBlank="1" count="5">
        <s v="Q1"/>
        <s v="Q3"/>
        <s v="Q2"/>
        <s v="Q4"/>
        <m/>
      </sharedItems>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166">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09-27T00:00:00"/>
    </cacheField>
    <cacheField name="InicioPil" numFmtId="0">
      <sharedItems containsDate="1" containsBlank="1" containsMixedTypes="1" minDate="2014-10-08T00:00:00" maxDate="3024-03-27T00:00:00"/>
    </cacheField>
    <cacheField name="FinPil" numFmtId="0">
      <sharedItems containsDate="1" containsBlank="1" containsMixedTypes="1" minDate="2014-04-16T00:00:00" maxDate="2025-04-01T00:00:00"/>
    </cacheField>
    <cacheField name="Diferencia Pil" numFmtId="0">
      <sharedItems containsDate="1" containsBlank="1" containsMixedTypes="1" minDate="1899-12-31T00:00:00" maxDate="2897-12-04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2024-03-01T00:00:00" maxDate="2024-11-05T00:00:00"/>
    </cacheField>
    <cacheField name="Fin Real" numFmtId="0">
      <sharedItems containsDate="1" containsBlank="1" containsMixedTypes="1" minDate="1900-01-27T00:00:00" maxDate="2025-01-14T00:00:00"/>
    </cacheField>
    <cacheField name="N° Sprint" numFmtId="0">
      <sharedItems containsSemiMixedTypes="0" containsDate="1" containsString="0" containsMixedTypes="1" minDate="1899-12-31T00:00:00" maxDate="1900-01-03T00:00:00"/>
    </cacheField>
    <cacheField name="DiferenciaDes2" numFmtId="0">
      <sharedItems containsBlank="1" containsMixedTypes="1" containsNumber="1" containsInteger="1" minValue="-359" maxValue="45670"/>
    </cacheField>
    <cacheField name="Observaciónes" numFmtId="0">
      <sharedItems containsBlank="1"/>
    </cacheField>
    <cacheField name="ROI2" numFmtId="0">
      <sharedItems containsBlank="1"/>
    </cacheField>
    <cacheField name="ROI3"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393.547413657405" createdVersion="8" refreshedVersion="8" minRefreshableVersion="3" recordCount="403" xr:uid="{00000000-000A-0000-FFFF-FFFFD8000000}">
  <cacheSource type="worksheet">
    <worksheetSource name="Tabla_query__2"/>
  </cacheSource>
  <cacheFields count="42">
    <cacheField name="Año" numFmtId="49">
      <sharedItems containsBlank="1" containsMixedTypes="1" containsNumber="1" containsInteger="1" minValue="2023" maxValue="2025" count="6">
        <s v="2024"/>
        <s v="2023"/>
        <m/>
        <n v="2024"/>
        <n v="2025" u="1"/>
        <n v="2023" u="1"/>
      </sharedItems>
    </cacheField>
    <cacheField name="Producto" numFmtId="49">
      <sharedItems containsNonDate="0" containsBlank="1" count="18">
        <s v="MXP LEGACY"/>
        <s v="SIR"/>
        <s v="CANALES DIGITALES"/>
        <s v="SISTEMAS INTERNOS"/>
        <s v="BI"/>
        <s v="ERP"/>
        <m/>
        <s v="Devsecops"/>
        <s v="MXP NUEVO"/>
        <s v="SAP" u="1"/>
        <s v="BA" u="1"/>
        <s v="POR DEFINIR" u="1"/>
        <s v="Maxpoint Legacy" u="1"/>
        <s v="ERP - BI" u="1"/>
        <s v="Nuevo Maxpoint" u="1"/>
        <s v="ERP - SIR" u="1"/>
        <s v="ERP - BA" u="1"/>
        <s v="ERP -BA" u="1"/>
      </sharedItems>
    </cacheField>
    <cacheField name="Proyecto" numFmtId="0">
      <sharedItems containsNonDate="0" containsBlank="1"/>
    </cacheField>
    <cacheField name="Titulo" numFmtId="0">
      <sharedItems containsNonDate="0" containsBlank="1" count="344">
        <s v=" La digitación es muy lenta  para digital posible problema de de red"/>
        <s v="52 semanas diario y semanal"/>
        <s v="Activar en todas las marcas los descuentos que ya utiliza El Español"/>
        <s v="Administración Artículos -  Validación de campos"/>
        <s v="Administración cuentas de banco"/>
        <s v="Administración de Tarjetas crédito Kioskos"/>
        <s v="Administración Restaurante - Regional"/>
        <s v="Agregar número de ficha la orden de la cocina y en el RIDE que sea el mismo número"/>
        <s v="Agrupar tarjetas a una sola forma de pago "/>
        <s v="Alertas de caducidad para productos inventario restaurante"/>
        <s v="Añadir Campos Fidelización"/>
        <s v="Api Core Formas de Pago"/>
        <s v="App Encuestas Fase 2"/>
        <s v="APP Gestiona: Indicadores de sostenibilidad - dashboard y registro decentralizado V4"/>
        <s v="APP Gestiona: Mejoras en Reporteria y administración de Fomularios"/>
        <s v="APP Somos repotenciar (Objetivo engagement)-&gt; administrar en DSI"/>
        <s v="Appedir Pedidos multiples Multimarca"/>
        <s v="Base de datos de Curriculums para Reclutamiento"/>
        <s v="Appedir y KFC cambios de Estado"/>
        <s v="Arqueo de tiendas"/>
        <s v="Atar Notas de crédito de empresas Relacionadas  - Cliente Proveedor en SAP"/>
        <s v="Automatización de asignación de permisos PDA"/>
        <s v="Automatización de cajas chicas - tipos de cuenta y diarios de venta"/>
        <s v="Automatización de Compras Automaticas PLT-TIENDAS"/>
        <s v="Automatización de Drive through"/>
        <s v="Automatización de proveedores de cajas chicas Ecuador"/>
        <s v="Automatización en el proceso de envío de notificación de pedidos planta"/>
        <s v="Automatizar el registro de las ventas de campaña solidaria"/>
        <s v="B2B Materiales"/>
        <s v="Cajas Chicas Admin: Conciliacion de Facturas"/>
        <s v="Cajas Chicas Administrativas: Control Fondos por Rendir Chile"/>
        <s v="Cambio de costo maximo y minimo costo configurado en artículo y Usos y Consumos"/>
        <s v="Cambio de datos de clientes de transacciones de días anteriores"/>
        <s v="Cambio en Reportes (Pedidos, Usos&amp;Consumos, Listado de Articulos)"/>
        <s v="Campaña sonrisa - nueva forma de pago"/>
        <s v="Carga de Compras Automaticas de acuerdo a Cronograma"/>
        <s v="Cargas Masivas: Contabilización de Facturas Fisicas Venezuel"/>
        <s v="Cashless multiples formas de pago"/>
        <s v="cheetah  KFC Fidelización (Lealtad Simple, puntos y tiers) + (cupones avanzandos) "/>
        <s v="Cierre automático de Pedidos segun Configuracion por Proveedor"/>
        <s v="Clasificación Automatizada de Facturas de Autoconsumo vs Descarga de Inventarios"/>
        <s v="Código de Barras ( Español)"/>
        <s v="Colombia - Articulos sin conversión"/>
        <s v="Conciliador de Tarjetas de Crédito  Delivery  que incluya información depurada de ventas del swt "/>
        <s v="Confirmación de pago a proveedores en SAP"/>
        <s v="Consola  Administración QR Digitales (Cupones Promocionales) "/>
        <s v="Contabilizar las ordentes de trabajo por activo q ingresan y ponerlas como reprocesos"/>
        <s v="Control de cambio de Claves  de Usuarios Maxpoint"/>
        <s v="Control de modificación de inventarios en SIR"/>
        <s v="Control Motorizados/Agregadores [2] - Depósito de Efectivo"/>
        <s v="Control Motorizados/Agregadores [2] - Picking Agregadores QR"/>
        <s v="Cotejamiento de Listado de Suministros de Servicios Básicos vs Debitos Bancarios"/>
        <s v="Creación de módulo de Administración de devoluciones "/>
        <s v="Creación de pantalla de correos ordenes de mantenimiento"/>
        <s v="Creación Empresa: DEVISO"/>
        <s v="Creación Empresas: FAMILY OFFICE"/>
        <s v="Cuadre de Fondo de Caja SIR"/>
        <s v="Cubierplast: Implementación de picking - Integracion Nueva Linea de Carton"/>
        <s v="Cupones de Cortesía, Dinero y Empleados"/>
        <s v="Cupones de Dinero y Descuentos"/>
        <s v="Cupones impresos fuera de la App"/>
        <s v="Cupones QR - Cupones por horario"/>
        <s v="Cupones QR - Empresariales"/>
        <s v="Cupones QR - V3 Centralizada (App KFC) "/>
        <s v="Datos dinamicos de facturación en Kioscos"/>
        <s v="Definir Modelo de Costos en SIR ( Sug. Promedio ponderado similar a SAP)"/>
        <s v="Desarrollo para cambio de pindpad por posnet"/>
        <s v="Descuadres de Cupones CCC. Entre MP Y SIR"/>
        <s v="Descuentos bancos por Bines counter"/>
        <s v="Descuentos bancos por Bines kioscos"/>
        <s v="DEUNA BANCO DEL PICHINCHA KFC"/>
        <s v="DEUNA BANCO DEL PICHINCHA Multimarca"/>
        <s v="Devoluciones - Agregar observaciones planta"/>
        <s v="WAF Fortinet"/>
        <s v="DGEN: Cargas masivas de documentos tributarios a SAP (boletas de honorarios, facturas de arriendo y servicios básicos)"/>
        <s v="Digitacion de pedidos Mensajes, desarrollos por mail "/>
        <s v="Digitalización de Toma Fisica de Inventario"/>
        <s v="Obtención y Consolidación de reportes de compras. _x000a_Reporte de cierre de compras, KPIs de compras."/>
        <s v="Digitalización del Proceso de Canje de Cupones para Socios Corporativos en el Aeropuerto"/>
        <s v="Digitalizar toma fisica de activos fijos"/>
        <s v="Envío de Pedidos Pick Up V3"/>
        <s v="Estabilización proceso de fidelizacion juan valdez"/>
        <s v="Establecer órden de cupones (Soporte Cupones)"/>
        <s v="Etapa final implementación de Costos Ecuapork"/>
        <s v="Extracción de Datos SAP para BI"/>
        <s v="Facturas Tipo A (con datos)"/>
        <s v="Fidelización en local Appedir / Pickup"/>
        <s v="Fidelización JV, (QA Formas de pago)"/>
        <s v="FIONA: Coordinación de Movilización Colaboradores"/>
        <s v="FIONA: Mejoras Operativas"/>
        <s v="FIONA: Registro y procesamiento de control de calidad en planta"/>
        <s v="FIONA: Ventas Clientes Externos Cerrados Subproductos Planta"/>
        <s v="Flujo de Caja Chica Locales"/>
        <s v="Flujo Pedido productos No Despachados ( Restaurantes)"/>
        <s v="Funcionalidades KioscoCrosell Modificadores"/>
        <s v="Funcionalidades Kiosko y app"/>
        <s v="Generar  Orden de trabajo Directa a SAP desde SIR locales."/>
        <s v="Generar pedido automatico de Consumibles que se disponen en Planta "/>
        <s v="Gestión de Contratos de Arriendos"/>
        <s v="Habilitar completamente el proceso de desasignado del cajero en el backoffice de la tienda"/>
        <s v="Hoja de Proyeccion de Pre-Producción Articulos Materia primas"/>
        <s v="Homologar la versión del maxpoint en la cadena de dolce incontro"/>
        <s v="Identificar en la impresión de la comanda a los pedidos de salón y llevar"/>
        <s v="Identificar extras/modificadores asociados al producto padre en la pantalla de toma de pedido y la impresión de la orden de la cocina"/>
        <s v="Igualar Funcionalidades APP Venezuela"/>
        <s v="Implementación costos coproductos Embutser"/>
        <s v="Implementación SAP Analytic Cloud + Datasphere"/>
        <s v="Implementar B2B en Depto. Tesorería"/>
        <s v="Importación de Plantillas para Cargas de datos: Pagos, Retenciones, etc"/>
        <s v="Imprimir reporte de desmontado de cajero en la impresora de la caja cuando se realice el proceso desde el backoffice"/>
        <s v="Incluir 2 opciones en el proceso de pago con credito relacionado"/>
        <s v="Incluir 2 selecciones adicionales en Landing Page para la marca KFC"/>
        <s v="Incluir auditoría en Gastos cajas chicas"/>
        <s v="Incluir columna de Número de Mesa en reporte Maxpoint"/>
        <s v="Incluir el valor de la propina al total de la transacción en las notas de crédito - dolce incontro"/>
        <s v="Incluir en el reporte de transacciones la visualización detallada de items facturados en maxpoint"/>
        <s v="Incluir los tipos de diarios para los reportes de Ventas no exportadas"/>
        <s v="Incluir una alerta cuando ingresen un activo ya utilizado en una orden de trabajo"/>
        <s v="Inclusión de PLUS en LUNCH, MERMAS y  DEGUSTACIÓN"/>
        <s v="Ingresar las Facturas Relacionadas  Log de Errores Y Doc Preliminares -SAP"/>
        <s v="Ingreso de Proyeccion Ventas y Gastos (pyg) - Real y avance"/>
        <s v="Flujos de Caja"/>
        <s v="Integración API CORE Formas PAGO en Kioskos"/>
        <s v="Integración con maxpoint v2 para modulo de productos"/>
        <s v="Integración con uber direct "/>
        <s v="Integración de Credibanco"/>
        <s v="Integración de cupones empresariales"/>
        <s v="Integración de Herramientas SatCon: Venezuela"/>
        <s v="Integración Directo a Agregadores KFC"/>
        <s v="Integración Herramientas SatCon: Otros Negocios"/>
        <s v="Integración Maxpoint con Agregadores (Yummy)"/>
        <s v="Integracion Pinpad SITEF (Reemplazo de Megasoft)"/>
        <s v="Integración SIR con SAGE"/>
        <s v="Integraciones Automáticas - Canales Propios"/>
        <s v="Integraciones Automáticas- Agregadores"/>
        <s v="Interfaces ERP - Maxpoint - SIR"/>
        <s v="Interfaz de activos fijos SAP-SIR"/>
        <s v="Interfaz de centralización de remuneraciones SAP-REX+ (nómina)"/>
        <s v="Interfaz SAP-SIR: Mayores Contables y Usos y Consumos"/>
        <s v="Reporte Actualizado de Inversión a Directorio - Proyectos Construcción "/>
        <s v="Reporte de pedidos no despachados por no disponibilidad"/>
        <s v="Inyección V3 Descuentos en Delivery"/>
        <s v="KDS DragonTail Salon - Kiosko - Pickup"/>
        <s v="KFC Fulfillment  Aceptar pago de propinas para el motorizado desde la app"/>
        <s v="KFC Fulfillment  Appedir flash - de acuerdo a zona de pedido del cliente se active las tiendas mas cercanas y que el envío sea en menos de xxxx minutos "/>
        <s v="KFC Fulfillment  Propinas  Appedir "/>
        <s v="KFC Fulfillment Campo Delivery time "/>
        <s v="Modelar la selección del canal en una misma transacción por producto"/>
        <s v="Asignacion de Modificadores mendiante Popup y otros como la división de sándwiches"/>
        <s v=" Desacoplar las preguntas de los productos, y crear preguntas del macro al micro por categorías y subcategorías de forma general para poder asociar los modificadores"/>
        <s v="KFC Fulfillment Incluir Pickup Curbside (pedir desde el auto en un lote de estacionamiento)"/>
        <s v="KFC Fulfillment Incluir Pickup Tableside (pedir desde la mesa con un número de mesa)"/>
        <s v="Ordenar botones por reglas de negocio por definirse"/>
        <s v="Que aparezcan en las pantallas de publicidad el valor de la factura a  pagar"/>
        <s v="KFC Fulfillment KFC Flash* pendiente definición con ops"/>
        <s v="Asignación de tamaños a de productividad ctos a botones para selección mediante popup de tamanos (Ej.: Café 8onz 12Onz 16Onz., Cola 12onz 16onz 22onz."/>
        <s v="Al momento de cobrar el sistema  tiene muchas preguntas / simplificar"/>
        <s v="KFC Fulfillment Tiempo rango de entrega"/>
        <s v="KFC Fulfillment UI Pickup (ya estoy aquí)"/>
        <s v="Kiosco V3 (Nueva Api Tiendas)"/>
        <s v="Incorporar venta detallada de complementos (productos) por cajeros"/>
        <s v="Poder imprimir en la orden el canal SALÓN - LLEVAR de forma separada e identificada con trazabilidad al BI"/>
        <s v="Semáforo venta inteligente en los Menús, Se desea colocar colores en los botones por relevancia de venta de PODUCTIVIDAD ctos por venta inteligente VERDE&gt; contribución AMARILLO = ROJO &lt; contribución (actualmente hay muchos colores)"/>
        <s v="Toma de pedido en Tablet debe ser amigable, rehacer repensar todo el sistema para lograr el efecto"/>
        <s v="Kioskos - Pagos en Efectivo con cambio automatico"/>
        <s v="Kioskos (KFC, WENDYS)"/>
        <s v="Ley de protección - Kioskos (optim)"/>
        <s v="Liberacion de Facturas Bloqueadas MRBR - FBL1H-SAP"/>
        <s v="LOPDP - Adaptación del proceso de cupones app a la master data de clientes"/>
        <s v="LOPDP - Adaptación del proceso de motorizados a la master data de clientes"/>
        <s v="LOPDP - Automatización del proceso de revocatoria de uso de datos personales"/>
        <s v="Mantenimiento"/>
        <s v="Mantenimiento Argentina"/>
        <s v="Mantenimiento Chile"/>
        <s v="Mantenimiento Colombia"/>
        <s v="Mantenimiento España"/>
        <s v="Mantenimiento Legacy Ecuador 2024"/>
        <s v="Mantenimiento Maxpoint"/>
        <s v="Agrupación de Plus para armar picadas (El Español)"/>
        <s v="Mantenimiento Venezuela"/>
        <s v="Master Data de Clientes para MaxPoint y Kiosko"/>
        <s v="Maxpoint Delivery CW"/>
        <s v="Desarrollo PMV "/>
        <s v="Maxpoint Delivery WD"/>
        <s v="Mayores contables - mensaje de ejecución"/>
        <s v="Mayores Contables por Cco"/>
        <s v="MCL-1. Administración de Gavetas"/>
        <s v="MCO-1. Activación Modulo Aceite quemado "/>
        <s v="MCO-2. Horarios Mayores Contables"/>
        <s v="MCO-3. Compras Bloqueo de Proveedor INT"/>
        <s v="Mejora de UX de pantalla de datos en toma de pedido (landing page)"/>
        <s v="Mejora de UX del Turnero para estandarización regional"/>
        <s v="Mejora de UX para agilizar selección de menú en moódulo de toma de pedido"/>
        <s v="Mejora de UX para el proceso de recuperación de pedidos kiosko/pickup"/>
        <s v="Mejoras B2B: Visualizar Fecha de Vencimiento - Adjuntar Certificado Bancario"/>
        <s v="Mejoras de integración del servicio de impresión MXP España"/>
        <s v="Mejoras MaxPoint Azure ( integración de países)"/>
        <s v="Mejoras POS MaxPoint España"/>
        <s v="Menu V3 - Envio de Descuentos desde MXP"/>
        <s v="MES-1. Bloqueo de costos proveedor"/>
        <s v="Metodo de pago  - Kiosko Integración DEUNA B.P"/>
        <s v="Metodo de pago APP"/>
        <s v="Migración de Aplicativo de Reclutamiento a AKS"/>
        <s v="Migración de Aplicativo Integracion KFC a SIR Integration"/>
        <s v="Migración de Wendys al MaxPoint Legacy"/>
        <s v="Migración del Sistema SIR a última versión"/>
        <s v="Migración Plataforma B2b a Genexus"/>
        <s v="Modificación Reporte: Administración de facturas"/>
        <s v="Modificación Reporte: Crédito sin Cupon SIR"/>
        <s v="Modificadores por Default"/>
        <s v="Módulo de Auditoría en SIR"/>
        <s v="Monitor de Pedidos Motorizados DY Propios"/>
        <s v="Multimoneda en Maxpoint"/>
        <s v="Multinube para pedidos de domicilio"/>
        <s v="MVE-1. Homologación Reporte Inventario"/>
        <s v="Mxp - Impresión v2.1 NETCORE"/>
        <s v="Mxp Delivery - Dragon Tail (Envío de TrackingID)"/>
        <s v="Mxp Delivery - Dragon Tail (Integración)"/>
        <s v="Mxp Delivery - Dragon Tail (Seguimiento)"/>
        <s v="Mxp Delivery - FLY Delivery"/>
        <s v="Mxp Delivery - Turneros v3.0 "/>
        <s v="Mxp Delivery- Core Integraciones Ultimas Millas"/>
        <s v="Restructura de manejo de Plu´s y MasterPlu"/>
        <s v="Repositorio de Proyectos Centralizado"/>
        <s v="Nivel de Ocupación de camiones"/>
        <s v="Notificación Cliente de llegada a destino"/>
        <s v="Notificación de estado cancelado de los pedidos de agregadores hacia maxpoint"/>
        <s v="Notificación de pedido listo hacia los agregadores"/>
        <s v="Nueva Versión Turnero v.3"/>
        <s v="Nuevas funcionalidades Up / Cross sell Appedir "/>
        <s v="Nuevo reporte de retiros, arqueos y desmontajes de usuarios"/>
        <s v="Nuevo Reporte de Ventas Baskin y Cinnabon"/>
        <s v="Nuevo servicio de tarjetas v2.0"/>
        <s v="Nuevo UX de pantalla de desmontado de cajero"/>
        <s v="Nuevos procesos en el flujo de Facturación."/>
        <s v="Nuevos Reportes Maxpoint"/>
        <s v="Optimizacion de desarrollos Z en SAP Regional"/>
        <s v="Optimización de la velocidad de carga del menú luego de loguear al cajero"/>
        <s v="Optimización en algoritmo de búsqueda de productos"/>
        <s v="Optimizacion Procesos RPA"/>
        <s v="Órdenes de compra en SIR para proveedores de Inventario (Tesalia, ARCA)"/>
        <s v="Pantalla para rastreo de pedidos (Tracking) motorizados en CDC "/>
        <s v="Pasar mayor contable de SAP a SIR e incluir respaldos digitales"/>
        <s v="Payrol: Integración Venezuela"/>
        <s v="Pedidos Planta: Control de Cupos por empleado"/>
        <s v="Pedidos Planta: Reclamos Proveedores"/>
        <s v="Pedidos programados"/>
        <s v="Pedidos Sugeridos con interface SAP"/>
        <s v="Pedidos Sugeridos con interface SAP - Extensión BI"/>
        <s v="Permitir ingreso de cedulas de extranjeros"/>
        <s v="Picking Lotes consolidados"/>
        <s v="Picking Motorizado v2.0"/>
        <s v="Planificación de la Producción (MPS)"/>
        <s v="Planificación de Recetas y subrecetas para degustación  y Lunch (productos, articulos y presupuesto total al mes)(Calculadora) (calendario)"/>
        <s v="Plataforma Elearning: Paises Chile"/>
        <s v="Plataforma Elearning: Paises Venezuela"/>
        <s v="Plataforma Elearning: Planta"/>
        <s v="Plataforma Etraining: Operaciones"/>
        <s v="Proceso de Cuadre de información ventas"/>
        <s v="Proceso para Firmas Digitales de Contratos"/>
        <s v="Productos Importados - Reporte de costo de Negociación y variables de Costeo"/>
        <s v="Propinas desde el pinpad"/>
        <s v="QA  KFC Fulfillment Incluir Pickup para Autorápido, con un diferente menú"/>
        <s v="QA KFC Fulfillment  Compensaciones  Appedir "/>
        <s v="QA KFC Métodos de Pago"/>
        <s v="QR Champions Kiosco Tarjetas de Crédito (Adicional)"/>
        <s v="Reabastecimiento"/>
        <s v="Realizar cruce de suministros que se encuentran para el débito bancario para evitar cortes y recargos adicionales"/>
        <s v="Recepción de Descuentos -  Pick up"/>
        <s v="Recepción de Descuentos - Offering/Agregadores Trade"/>
        <s v="Recepción de Pollos por Lotes"/>
        <s v="Recepciones de Pedidos V3 - Maxpoint Rastreo Pedidos Panel domicilio v2.0.4.2"/>
        <s v="Recepciones de Pedidos V3 - Monitor  de transacciones (Tracking) de Pedidos"/>
        <s v="Rediseño del algoritmo para clasificar el medio de venta de una transacción"/>
        <s v="Rediseño Estructura de Recetas ( Optimización Plus por Canales)"/>
        <s v="Registro de descuentos a transportistas ( Cuentas por Cobrar- Rastreo Satelital-Fumigacion)-SAP"/>
        <s v="Reingeniería Payroll"/>
        <s v="Remedación Dynatrace"/>
        <s v="Remediación MaxPoint"/>
        <s v="Replica de información v2.0"/>
        <s v="Reporte de Compras consolidado"/>
        <s v="Reporte de Stock V2"/>
        <s v="Reporte: Anexo de Deuda Bancaria SAP"/>
        <s v="Restricción de digitación de formas de pago de agregadores"/>
        <s v="Retiros Motorizados Multimoneda"/>
        <s v="Revision / Cierre de Pedidos Abiertos VA05-SAP"/>
        <s v="RollOut Chile - Logistica"/>
        <s v="RollOut Venezuela"/>
        <s v="RPA: Obtencion Tablas de amortización prestamos Bancarios en empresas relacionadas para Consolidar"/>
        <s v="SAP Disaster Recovery"/>
        <s v="SAP(Licencias, Servicios Externos)"/>
        <s v="Seguimiento Gestion de Cartera / Gestion de Cobro -SAP"/>
        <s v="Separación del diario de ventas (interfaz locales SIR a SAP)"/>
        <s v="Sistema Aprobaciones OCs: Control de Cupos por Solicitantes e interfaz de CM ( Mercadeo )"/>
        <s v="Sistema Aprobaciones OCs: Fase 1 "/>
        <s v="Sistema Aprobaciones OCs: Interfaz con SAP"/>
        <s v="Sistema Aprobaciones OCs: Manejo de Items/Materiales creados en SAP"/>
        <s v="Sistema de Conciliaciones: Depósitos (SIR-Bancos Chile)"/>
        <s v="Sistema de Conciliaciones: Facturas Electronica vs Venta"/>
        <s v="Sistema de Conciliaciones: Switch Transaccional vs Venta"/>
        <s v="Sitio SIR Historico"/>
        <s v="Smart routing (Recepcion formas de pago)"/>
        <s v="SMS tracking pedido vía llamada"/>
        <s v="THEOBALD Estabilización de procesamiento y calidad de datos SAP"/>
        <s v="Tiempos de Cambios de estado en todos los canales Maxpoint"/>
        <s v="Topes en Descuentos"/>
        <s v="Unificación de Cupones QR y Online"/>
        <s v="Upgrade de versión a .net 8 del aplicativo de impresión"/>
        <s v="Upsell (Analítica)"/>
        <s v="Usos y Consumos con grupo de artículos cadena"/>
        <s v="Usos y Consumos Resumido por Grupo de Articulos"/>
        <s v="Usos y Consumos: Sobrantes y Faltantes"/>
        <s v="V2. Calculo de proyecciones sugeridas de PyG"/>
        <s v="Vaciado de materiales en Centro de Transito - SAP"/>
        <s v="VAR (Real + Proyeccion)"/>
        <s v="Venta IRSA"/>
        <s v="Ventas de Producto por formas de pago"/>
        <s v="Visualización resaltada en notas de crédito por concepto de cambio de datos"/>
        <s v="Visualizar lo que planta tiene en stock y fecha de caducidad para tener datos reales"/>
        <m/>
        <s v="Kioskos wendys" u="1"/>
        <s v="Cupones QR - Cupones por horario (marlon)" u="1"/>
        <s v="Kioskos kfc" u="1"/>
        <s v="Fidelización en local Appedir" u="1"/>
        <s v="Funcionalidades APP Chile_x000a_Envío Tracker id Dragon Tail" u="1"/>
        <s v="Integraciones Automáticas- Agregadores - + Justo​+Trade" u="1"/>
        <s v="Descuentos bancos" u="1"/>
        <s v="Envío de Menú con Descuentos (capacitación)" u="1"/>
        <s v="Descuentos por Bin de Tarjetas counter" u="1"/>
        <s v="Descuentos por Bin de Tarjetas Kioscos" u="1"/>
        <s v="Integraciones Automáticas - Canales Propios -  Web DUNA " u="1"/>
        <s v="Integraciones Automáticas- Agregadores - + TicTuk + Trade​" u="1"/>
        <s v="Retiro de motorizados" u="1"/>
        <s v="52 semanas diario y semanal ( plantilla en SIR para ingreso manual real y proyeccion)" u="1"/>
        <s v="Control Motorizados/Agregadores [2] - Retiros de Efectivo" u="1"/>
        <s v="Automatizar el registro de la ventas de campaña solidaria" u="1"/>
        <s v="Monitor Domicilio" u="1"/>
        <s v="Upsell" u="1"/>
        <s v="Flujo de retiro de motorizados" u="1"/>
        <s v="Mxp Delivery - Turneros v2.0 " u="1"/>
        <s v="Mxp - Impresión v2.1 NETCORE de Boletas (Reducción)" u="1"/>
        <s v="Remediacion dynatrace" u="1"/>
        <s v="Retiros Motorizados" u="1"/>
        <s v="FILETILLO AURORA CW-PROD 1X15KG" u="1"/>
      </sharedItems>
    </cacheField>
    <cacheField name="Dependencia" numFmtId="0">
      <sharedItems containsNonDate="0" containsBlank="1"/>
    </cacheField>
    <cacheField name="Descripción" numFmtId="0">
      <sharedItems containsNonDate="0" containsBlank="1" longText="1"/>
    </cacheField>
    <cacheField name="Prioridad" numFmtId="0">
      <sharedItems containsNonDate="0" containsBlank="1"/>
    </cacheField>
    <cacheField name="ALCANCE" numFmtId="0">
      <sharedItems containsNonDate="0" containsBlank="1" count="7">
        <m/>
        <s v="REGIONAL*"/>
        <s v="LOCAL"/>
        <s v="REGIONAL"/>
        <s v="LOCAL*"/>
        <s v="REGIONAL "/>
        <s v="LOCAL " u="1"/>
      </sharedItems>
    </cacheField>
    <cacheField name="Proyecto Contable" numFmtId="0">
      <sharedItems containsNonDate="0" containsBlank="1"/>
    </cacheField>
    <cacheField name="Frente" numFmtId="0">
      <sharedItems containsNonDate="0" containsBlank="1" count="12">
        <s v="OPER"/>
        <s v="DSI"/>
        <s v="CAR"/>
        <s v="REGIONAL"/>
        <s v="PLANTA"/>
        <s v="Funcionalidades Locales"/>
        <m/>
        <s v="OTROS NEGOCIOS" u="1"/>
        <s v="AUD" u="1"/>
        <s v="AUDITORIA" u="1"/>
        <s v="CL" u="1"/>
        <s v="IT" u="1"/>
      </sharedItems>
    </cacheField>
    <cacheField name="País" numFmtId="0">
      <sharedItems containsNonDate="0" containsBlank="1" count="9">
        <s v="Ecuador"/>
        <s v="Venezuela"/>
        <s v="Argentina"/>
        <s v="Colombia"/>
        <s v="Chile"/>
        <s v="España"/>
        <m/>
        <s v="todos paises" u="1"/>
        <s v="Regional" u="1"/>
      </sharedItems>
    </cacheField>
    <cacheField name="Contacto" numFmtId="0">
      <sharedItems containsNonDate="0" containsBlank="1" count="69">
        <s v="Sandra Paillacho"/>
        <s v="Sandra Pailacho"/>
        <s v="Vanessa Soria"/>
        <s v="Vladimir Morillo"/>
        <s v="José Luis Tello"/>
        <s v="Jonathan Darquea"/>
        <s v="Mychael Castro"/>
        <s v="Jhustin Vergara"/>
        <s v="Javier Cruz"/>
        <s v="Javier Cruz / Veronica Ramos"/>
        <s v="Daniel Barreno"/>
        <s v="William Villegas"/>
        <s v="Diego Díaz "/>
        <s v="Diego Díaz"/>
        <s v="Justin Vergara"/>
        <s v="Juan Carlos Benalcázar"/>
        <s v="Diego Díaz / Vladimir Morillo"/>
        <s v="Davis Nuñez"/>
        <s v="Operaciones Aeropuerto"/>
        <s v="Amparo Aleman"/>
        <s v="Andres Canelos / Ma. Paula Tapia"/>
        <s v="MIguel Lincango"/>
        <s v="Carolina Pantoja"/>
        <s v="Ana Cordova"/>
        <s v="Mychael Castro - José Fernandez"/>
        <m/>
        <s v="Adrian Gadja"/>
        <s v="Doménica Bucheli"/>
        <s v="Mauricio Andrade"/>
        <s v="Jorge Samaniego / Estefanía Viteri"/>
        <s v="Renato Loayza"/>
        <s v="Amarilis Loor"/>
        <s v="Narciza Espin"/>
        <s v="Sebastián Jara"/>
        <s v="Daniel Barreno / Jhustin Vergara"/>
        <s v="Maria A Stay"/>
        <s v="José Fernandez"/>
        <s v="María Paula Tapia / José Fernandez"/>
        <s v="Veronica Suntaxi"/>
        <s v="Davis"/>
        <s v="Juan Estevez"/>
        <s v="DSI"/>
        <s v="Jeison Caguana"/>
        <s v="Adrian Gadja / Juan Carlos Benalcazar"/>
        <s v="Rodrigo Burbano"/>
        <s v="Shuber Aguirre"/>
        <s v="Luis Salazar"/>
        <s v="Alex Ponce"/>
        <s v="José Fernández"/>
        <s v="Byron Realpe"/>
        <s v="Juan Alejandro"/>
        <s v="Francisco López"/>
        <s v="Daniel Barreno / Davis Nuñez"/>
        <s v="Ruben Guanolisa"/>
        <s v="José Fernandez - Darwin Mora"/>
        <s v="Verónica Marañon / Renato Loayza"/>
        <s v="Vladimir Salazar"/>
        <s v="Davis Nuñez / Adrian Gadja"/>
        <s v="Juan Alejadro"/>
        <s v="Verónica Ramos"/>
        <s v="Shuber Ahuirre"/>
        <s v=" Sandra PAillacho / Andrea Rodríguez"/>
        <s v="Sabrina Chinchin"/>
        <s v="Martin Iparraguirre"/>
        <s v="Antonio Sampayo"/>
        <s v="Verónica Marañon"/>
        <s v="Sandra Pailacho/Andres Valencia"/>
        <s v="Ramiro Avedaño" u="1"/>
        <s v="Jaime Salazar" u="1"/>
      </sharedItems>
    </cacheField>
    <cacheField name="Área" numFmtId="0">
      <sharedItems containsNonDate="0" containsBlank="1" count="45">
        <s v="OPERACIONES"/>
        <s v="DSI"/>
        <s v="AUDITORIA"/>
        <s v="AEROPUERTO GYE"/>
        <s v="TRANSFORMACIÓN DIGITAL"/>
        <s v="VE"/>
        <s v="GESTIÓN"/>
        <m/>
        <s v="CO"/>
        <s v="CONTABILIDAD"/>
        <s v="COMPRAS"/>
        <s v="CONTABILIDAD Y SAP"/>
        <s v="CL"/>
        <s v="AEROPUERTO UIO"/>
        <s v="TESORERÍA"/>
        <s v="MERCADEO KFC"/>
        <s v="MTO Restaurantes"/>
        <s v="OTROS NEGOCIOS"/>
        <s v="AR"/>
        <s v="MERCADEO OTRAS MARCAS"/>
        <s v="IT"/>
        <s v="PLANTAS"/>
        <s v="ES"/>
        <s v="PROYECTOS DE CONSTRUCCIÓN"/>
        <s v="LOGISTICA"/>
        <s v="OPERACIONES KFC"/>
        <s v="CALIDAD"/>
        <s v="BODEGA"/>
        <s v="PRODUCCION"/>
        <s v="CAPACITACIÓN INTERNA"/>
        <s v="BI"/>
        <s v="Mercadeo"/>
        <s v="NOMINA"/>
        <s v="MANTENIMIENTO" u="1"/>
        <s v="TI" u="1"/>
        <s v="CONTABILIDAD " u="1"/>
        <s v="Mantenimiento España" u="1"/>
        <s v="ESP" u="1"/>
        <s v="REGIONAL" u="1"/>
        <s v="SEGURIDAD" u="1"/>
        <s v="CH" u="1"/>
        <s v="PLANTA UIO" u="1"/>
        <s v="PLANAS" u="1"/>
        <s v="CAR" u="1"/>
        <s v="REGIÓN" u="1"/>
      </sharedItems>
    </cacheField>
    <cacheField name="Aprobación" numFmtId="0">
      <sharedItems containsNonDate="0" containsBlank="1" count="6">
        <s v="SUSPENDIDO"/>
        <s v="APROBADO"/>
        <s v="IDENTIFICADO"/>
        <s v="NO REQUERIDO"/>
        <m/>
        <s v="Por Levantar" u="1"/>
      </sharedItems>
    </cacheField>
    <cacheField name="Progreso" numFmtId="0">
      <sharedItems containsNonDate="0" containsBlank="1" count="9">
        <s v="No iniciado"/>
        <s v="Pruebas"/>
        <s v="iniciado"/>
        <s v="Finalizado"/>
        <s v="En curso"/>
        <m/>
        <s v="Identificado"/>
        <s v="Por Levantar"/>
        <s v="Cancelado" u="1"/>
      </sharedItems>
    </cacheField>
    <cacheField name="Prioridad Cliente" numFmtId="0">
      <sharedItems containsBlank="1" containsMixedTypes="1" containsNumber="1" containsInteger="1" minValue="0" maxValue="26"/>
    </cacheField>
    <cacheField name="Prioridad_x000a_PO" numFmtId="0">
      <sharedItems containsNonDate="0" containsBlank="1" count="6">
        <s v="Q3"/>
        <s v="Q1"/>
        <s v="Q2"/>
        <s v="Q4"/>
        <m/>
        <s v="???" u="1"/>
      </sharedItems>
    </cacheField>
    <cacheField name="Dependencia " numFmtId="0">
      <sharedItems containsNonDate="0" containsBlank="1"/>
    </cacheField>
    <cacheField name="Complejidad" numFmtId="0">
      <sharedItems containsNonDate="0" containsDate="1" containsBlank="1" containsMixedTypes="1" minDate="2024-04-14T00:00:00" maxDate="2024-04-15T00:00:00" count="9">
        <s v="BAJA"/>
        <s v="MEDIA"/>
        <s v="ALTA"/>
        <m/>
        <s v="BAJO" u="1"/>
        <s v="MEDIO" u="1"/>
        <s v="ALTO" u="1"/>
        <d v="2024-04-14T00:00:00" u="1"/>
        <s v="???" u="1"/>
      </sharedItems>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166">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InicioDes" numFmtId="0">
      <sharedItems containsNonDate="0"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05-01T00:00:00"/>
    </cacheField>
    <cacheField name="InicioPil" numFmtId="0">
      <sharedItems containsNonDate="0" containsDate="1" containsBlank="1" containsMixedTypes="1" minDate="2014-10-08T00:00:00" maxDate="3024-03-27T00:00:00"/>
    </cacheField>
    <cacheField name="FinPil" numFmtId="0">
      <sharedItems containsNonDate="0" containsDate="1" containsBlank="1" containsMixedTypes="1" minDate="2014-04-16T00:00:00" maxDate="2025-04-01T00:00:00"/>
    </cacheField>
    <cacheField name="Diferencia Pil" numFmtId="0">
      <sharedItems containsDate="1" containsBlank="1" containsMixedTypes="1" minDate="1899-12-31T00:00:00" maxDate="2899-04-11T00:00:00"/>
    </cacheField>
    <cacheField name="InicioDes2" numFmtId="0">
      <sharedItems containsNonDate="0" containsDate="1" containsString="0" containsBlank="1" minDate="2023-10-14T00:00:00" maxDate="2025-03-02T00:00:00"/>
    </cacheField>
    <cacheField name="FinDes2" numFmtId="0">
      <sharedItems containsNonDate="0" containsDate="1" containsBlank="1" containsMixedTypes="1" minDate="2023-07-07T00:00:00" maxDate="2025-04-01T00:00:00"/>
    </cacheField>
    <cacheField name="Inicio Real" numFmtId="0">
      <sharedItems containsNonDate="0" containsDate="1" containsBlank="1" containsMixedTypes="1" minDate="2024-03-01T00:00:00" maxDate="2024-11-05T00:00:00"/>
    </cacheField>
    <cacheField name="Fin Real" numFmtId="0">
      <sharedItems containsNonDate="0" containsDate="1" containsBlank="1" containsMixedTypes="1" minDate="1900-02-24T00:00:00" maxDate="2025-01-15T00:00:00"/>
    </cacheField>
    <cacheField name="N° Sprint" numFmtId="0">
      <sharedItems containsSemiMixedTypes="0" containsDate="1" containsString="0" containsMixedTypes="1" minDate="1899-12-31T00:00:00" maxDate="1899-12-31T03:53:03"/>
    </cacheField>
    <cacheField name="DiferenciaDes2" numFmtId="0">
      <sharedItems containsBlank="1" containsMixedTypes="1" containsNumber="1" containsInteger="1" minValue="-359" maxValue="45670"/>
    </cacheField>
    <cacheField name="Observaciónes" numFmtId="0">
      <sharedItems containsNonDate="0" containsBlank="1"/>
    </cacheField>
    <cacheField name="ROI2" numFmtId="0">
      <sharedItems containsNonDate="0" containsBlank="1"/>
    </cacheField>
    <cacheField name="ROI3" numFmtId="0">
      <sharedItems containsNonDate="0" containsBlank="1"/>
    </cacheField>
  </cacheFields>
  <extLst>
    <ext xmlns:x14="http://schemas.microsoft.com/office/spreadsheetml/2009/9/main" uri="{725AE2AE-9491-48be-B2B4-4EB974FC3084}">
      <x14:pivotCacheDefinition pivotCacheId="9759676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ira Oña" refreshedDate="45397.463273726855" createdVersion="8" refreshedVersion="8" minRefreshableVersion="3" recordCount="419" xr:uid="{BE15D568-8C3B-4843-BD26-5269939CC346}">
  <cacheSource type="worksheet">
    <worksheetSource ref="A1:AQ1048576" sheet="BASE" r:id="rId2"/>
  </cacheSource>
  <cacheFields count="43">
    <cacheField name="Año" numFmtId="0">
      <sharedItems containsBlank="1" containsMixedTypes="1" containsNumber="1" containsInteger="1" minValue="2024" maxValue="2024"/>
    </cacheField>
    <cacheField name="Producto" numFmtId="0">
      <sharedItems containsBlank="1" count="9">
        <s v="MXP LEGACY"/>
        <s v="SIR"/>
        <s v="CANALES DIGITALES"/>
        <s v="SISTEMAS INTERNOS"/>
        <s v="BI"/>
        <s v="ERP"/>
        <s v="Devsecops"/>
        <s v="MXP NUEVO"/>
        <m/>
      </sharedItems>
    </cacheField>
    <cacheField name="Proyecto" numFmtId="0">
      <sharedItems containsBlank="1"/>
    </cacheField>
    <cacheField name="Titulo" numFmtId="0">
      <sharedItems containsBlank="1" count="336">
        <s v=" La digitación es muy lenta  para digital posible problema de de red"/>
        <s v="52 semanas diario y semanal"/>
        <s v="Activar en todas las marcas los descuentos que ya utiliza El Español"/>
        <s v="Administración Artículos -  Validación de campos"/>
        <s v="Administración cuentas de banco"/>
        <s v="Administración de Tarjetas crédito Kioskos"/>
        <s v="Administración Restaurante - Regional"/>
        <s v="Agregar número de ficha la orden de la cocina y en el RIDE que sea el mismo número"/>
        <s v="Agrupar tarjetas a una sola forma de pago "/>
        <s v="Alertas de caducidad para productos inventario restaurante"/>
        <s v="Añadir Campos Fidelizaciónduna"/>
        <s v="Establecer órden de cupones (Soporte Cupones)"/>
        <s v="Api Core Formas de Pago"/>
        <s v="Fidelización en local Appedir / Pickup"/>
        <s v="App Encuestas Fase 2"/>
        <s v="APP Gestiona: Indicadores de sostenibilidad - dashboard y registro decentralizado V4"/>
        <s v="APP Gestiona: Mejoras en Reporteria y administración de Fomularios"/>
        <s v="APP Somos repotenciar (Objetivo engagement)-&gt; administrar en DSI"/>
        <s v="Appedir Pedidos multiples Multimarca"/>
        <s v="Base de datos de Curriculums para Reclutamiento"/>
        <s v="Appedir y KFC cambios de Estado"/>
        <s v="Arqueo de tiendas"/>
        <s v="Atar Notas de crédito de empresas Relacionadas  - Cliente Proveedor en SAP"/>
        <s v="Automatización de asignación de permisos PDA"/>
        <s v="Automatización de cajas chicas - tipos de cuenta y diarios de venta"/>
        <s v="Automatización de Compras Automaticas PLT-TIENDAS"/>
        <s v="Automatización de Drive through"/>
        <s v="Automatización de proveedores de cajas chicas Ecuador"/>
        <s v="Automatización en el proceso de envío de notificación de pedidos planta"/>
        <s v="Automatizar el registro de las ventas de campaña solidaria"/>
        <s v="B2B Materiales"/>
        <s v="Cajas Chicas Admin: Conciliacion de Facturas"/>
        <s v="Cajas Chicas Administrativas: Control Fondos por Rendir Chile"/>
        <s v="Cambio de costo maximo y minimo costo configurado en artículo y Usos y Consumos"/>
        <s v="Cambio de datos de clientes de transacciones de días anteriores"/>
        <s v="Cambio en Reportes (Pedidos, Usos&amp;Consumos, Listado de Articulos)"/>
        <s v="Campaña sonrisa - nueva forma de pago"/>
        <s v="Carga de Compras Automaticas de acuerdo a Cronograma"/>
        <s v="Cargas Masivas: Contabilización de Facturas Fisicas Venezuel"/>
        <s v="Cashless multiples formas de pago"/>
        <s v="Cheetah  KFC Fidelización"/>
        <s v="Cierre automático de Pedidos segun Configuracion por Proveedor"/>
        <s v="Clasificación Automatizada de Facturas de Autoconsumo vs Descarga de Inventarios"/>
        <s v="Código de Barras ( Español)"/>
        <s v="Colombia - Articulos sin conversión"/>
        <s v="Conciliador de Tarjetas de Crédito  Delivery  que incluya información depurada de ventas del swt "/>
        <s v="Confirmación de pago a proveedores en SAP"/>
        <s v="Consola  Administración QR Digitales (Cupones Promocionales) "/>
        <s v="Contabilizar las ordentes de trabajo por activo q ingresan y ponerlas como reprocesos"/>
        <s v="Control de cambio de Claves  de Usuarios Maxpoint"/>
        <s v="Control de modificación de inventarios en SIR"/>
        <s v="Control Motorizados/Agregadores [2] - Depósito de Efectivo"/>
        <s v="Control Motorizados/Agregadores [2] - Picking Agregadores QR V1"/>
        <s v="Cotejamiento de Listado de Suministros de Servicios Básicos vs Debitos Bancarios"/>
        <s v="Creación de módulo de Administración de devoluciones "/>
        <s v="Creación de pantalla de correos ordenes de mantenimiento"/>
        <s v="Creación Empresa: DEVISO"/>
        <s v="Creación Empresas: FAMILY OFFICE"/>
        <s v="Cuadre de Fondo de Caja SIR"/>
        <s v="Cubierplast: Implementación de picking - Integracion Nueva Linea de Carton"/>
        <s v="Cupones de Cortesía, Dinero y Empleados"/>
        <s v="Cupones de Dinero y Descuentos"/>
        <s v="Cupones impresos fuera de la App"/>
        <s v="Igualar Funcionalidades APP Venezuela"/>
        <s v="Inyección V3 Descuentos en Delivery"/>
        <s v="Cupones QR - V3 Centralizada (App KFC) "/>
        <s v="Datos dinamicos de facturación en Kioscos"/>
        <s v="Definir Modelo de Costos en SIR ( Sug. Promedio ponderado similar a SAP)"/>
        <s v="Desarrollo para cambio de pindpad por posnet"/>
        <s v="Descuadres de Cupones CCC. Entre MP Y SIR"/>
        <s v="Descuentos bancos por Bines counter"/>
        <s v="Descuentos bancos por Bines kioscos"/>
        <s v="DEUNA BANCO DEL PICHINCHA KFC"/>
        <s v="DEUNA BANCO DEL PICHINCHA Multimarca"/>
        <s v="Devoluciones - Agregar observaciones planta"/>
        <s v="WAF Fortinet"/>
        <s v="DGEN: Cargas masivas de documentos tributarios a SAP (boletas de honorarios, facturas de arriendo y servicios básicos)"/>
        <s v="Digitacion de pedidos Mensajes, desarrollos por mail "/>
        <s v="Digitalización de Toma Fisica de Inventario"/>
        <s v="Obtención y Consolidación de reportes de compras. _x000a_Reporte de cierre de compras, KPIs de compras."/>
        <s v="Digitalización del Proceso de Canje de Cupones para Socios Corporativos en el Aeropuerto"/>
        <s v="Digitalizar toma fisica de activos fijos"/>
        <s v="Envío de Pedidos Pick Up V3"/>
        <s v="Estabilización proceso de fidelizacion juan valdez"/>
        <s v="Etapa final implementación de Costos Ecuapork"/>
        <s v="Extracción de Datos SAP para BI"/>
        <s v="Facturas Tipo A (con datos)"/>
        <s v="Kiosco V3 (Nueva Api Tiendas)"/>
        <s v="Fidelización JV, (QA Formas de pago)"/>
        <s v="FIONA: Coordinación de Movilización Colaboradores"/>
        <s v="FIONA: Mejoras Operativas"/>
        <s v="FIONA: Registro y procesamiento de control de calidad en planta"/>
        <s v="FIONA: Ventas Clientes Externos Cerrados Subproductos Planta"/>
        <s v="Flujo de Caja Chica Locales"/>
        <s v="Flujo Pedido productos No Despachados ( Restaurantes)"/>
        <s v="Funcionalidades KioscoCrosell Modificadores"/>
        <s v="Funcionalidades Kiosko y app"/>
        <s v="Generar  Orden de trabajo Directa a SAP desde SIR locales."/>
        <s v="Generar pedido automatico de Consumibles que se disponen en Planta "/>
        <s v="Gestión de Contratos de Arriendos"/>
        <s v="Habilitar completamente el proceso de desasignado del cajero en el backoffice de la tienda"/>
        <s v="Hoja de Proyeccion de Pre-Producción Articulos Materia primas"/>
        <s v="Homologar la versión del maxpoint en la cadena de dolce incontro"/>
        <s v="Identificar en la impresión de la comanda a los pedidos de salón y llevar"/>
        <s v="Identificar extras/modificadores asociados al producto padre en la pantalla de toma de pedido y la impresión de la orden de la cocina"/>
        <s v="Ley de protección - Kioskos (optim)"/>
        <s v="Implementación costos coproductos Embutser"/>
        <s v="Implementación SAP Analytic Cloud + Datasphere"/>
        <s v="Implementar B2B en Depto. Tesorería"/>
        <s v="Importación de Plantillas para Cargas de datos: Pagos, Retenciones, etc"/>
        <s v="Imprimir reporte de desmontado de cajero en la impresora de la caja cuando se realice el proceso desde el backoffice"/>
        <s v="Incluir 2 opciones en el proceso de pago con credito relacionado"/>
        <s v="Incluir 2 selecciones adicionales en Landing Page para la marca KFC"/>
        <s v="Incluir auditoría en Gastos cajas chicas"/>
        <s v="Incluir columna de Número de Mesa en reporte Maxpoint"/>
        <s v="Incluir el valor de la propina al total de la transacción en las notas de crédito - dolce incontro"/>
        <s v="Incluir en el reporte de transacciones la visualización detallada de items facturados en maxpoint"/>
        <s v="Incluir los tipos de diarios para los reportes de Ventas no exportadas"/>
        <s v="Incluir una alerta cuando ingresen un activo ya utilizado en una orden de trabajo"/>
        <s v="Inclusión de PLUS en LUNCH, MERMAS y  DEGUSTACIÓN"/>
        <s v="Ingresar las Facturas Relacionadas  Log de Errores Y Doc Preliminares -SAP"/>
        <s v="Ingreso de Proyeccion Ventas y Gastos (pyg) - Real y avance"/>
        <s v="Flujos de Caja"/>
        <s v="Integración API CORE Formas PAGO en Kioskos"/>
        <s v="Integración con maxpoint v2 para modulo de productos"/>
        <s v="Integración con uber direct "/>
        <s v="Integración de Credibanco"/>
        <s v="Integración de cupones empresariales"/>
        <s v="Integración de Herramientas SatCon: Venezuela"/>
        <s v="Inyección V3 - Descuentos Pick up"/>
        <s v="Integración Directo a Agregadores KFC"/>
        <s v="Integración Herramientas SatCon: Otros Negocios"/>
        <s v="Integración Maxpoint con Agregadores (Yummy)"/>
        <s v="Integracion Pinpad SITEF (Reemplazo de Megasoft)"/>
        <s v="Integración SIR con SAGE"/>
        <s v="Integraciones Automáticas - Canales Propios"/>
        <s v="Integraciones Automáticas- Agregadores"/>
        <s v="Interfaces ERP - Maxpoint - SIR"/>
        <s v="Interfaz de activos fijos SAP-SIR"/>
        <s v="Interfaz de centralización de remuneraciones SAP-REX+ (nómina)"/>
        <s v="Interfaz SAP-SIR: Mayores Contables y Usos y Consumos"/>
        <s v="Reporte Actualizado de Inversión a Directorio - Proyectos Construcción "/>
        <s v="Reporte de pedidos no despachados por no disponibilidad"/>
        <s v="Unificación QR Kiosco &amp; Local (Ec)"/>
        <s v="KDS DragonTail Salon - Kiosko - Pickup"/>
        <s v="KFC Fulfillment  Aceptar pago de propinas para el motorizado desde la app"/>
        <s v="KFC Fulfillment  Appedir flash - de acuerdo a zona de pedido del cliente se active las tiendas mas cercanas y que el envío sea en menos de xxxx minutos "/>
        <s v="KFC Fulfillment  Propinas  Appedir "/>
        <s v="KFC Fulfillment Campo Delivery time "/>
        <s v="Modelar la selección del canal en una misma transacción por producto"/>
        <s v="Asignacion de Modificadores mendiante Popup y otros como la división de sándwiches"/>
        <s v=" Desacoplar las preguntas de los productos, y crear preguntas del macro al micro por categorías y subcategorías de forma general para poder asociar los modificadores"/>
        <s v="KFC Fulfillment Incluir Pickup Curbside (pedir desde el auto en un lote de estacionamiento)"/>
        <s v="KFC Fulfillment Incluir Pickup Tableside (pedir desde la mesa con un número de mesa)"/>
        <s v="Ordenar botones por reglas de negocio por definirse"/>
        <s v="Que aparezcan en las pantallas de publicidad el valor de la factura a  pagar"/>
        <s v="KFC Fulfillment KFC Flash* pendiente definición con ops"/>
        <s v="Asignación de tamaños a de productividad ctos a botones para selección mediante popup de tamanos (Ej.: Café 8onz 12Onz 16Onz., Cola 12onz 16onz 22onz."/>
        <s v="Al momento de cobrar el sistema  tiene muchas preguntas / simplificar"/>
        <s v="KFC Fulfillment Tiempo rango de entrega"/>
        <s v="KFC Fulfillment UI Pickup (ya estoy aquí)"/>
        <s v="Incorporar venta detallada de complementos (productos) por cajeros"/>
        <s v="Poder imprimir en la orden el canal SALÓN - LLEVAR de forma separada e identificada con trazabilidad al BI"/>
        <s v="Semáforo venta inteligente en los Menús, Se desea colocar colores en los botones por relevancia de venta de PODUCTIVIDAD ctos por venta inteligente VERDE&gt; contribución AMARILLO = ROJO &lt; contribución (actualmente hay muchos colores)"/>
        <s v="Toma de pedido en Tablet debe ser amigable, rehacer repensar todo el sistema para lograr el efecto"/>
        <s v="Kioskos - Pagos en Efectivo con cambio automatico"/>
        <s v="Kioskos (KFC, WENDYS)"/>
        <s v="Cupones QR - Cupones por horario"/>
        <s v="Liberacion de Facturas Bloqueadas MRBR - FBL1H-SAP"/>
        <s v="LOPDP - Adaptación del proceso de cupones app a la master data de clientes"/>
        <s v="LOPDP - Adaptación del proceso de motorizados a la master data de clientes"/>
        <s v="LOPDP - Automatización del proceso de revocatoria de uso de datos personales"/>
        <s v="Mantenimiento"/>
        <s v="Mantenimiento Argentina"/>
        <s v="Mantenimiento Chile"/>
        <s v="Mantenimiento Colombia"/>
        <s v="Mantenimiento España"/>
        <s v="Mantenimiento Legacy Ecuador 2024"/>
        <s v="Mantenimiento Maxpoint"/>
        <s v="Agrupación de Plus para armar picadas (El Español)"/>
        <s v="Mantenimiento Venezuela"/>
        <s v="Master Data de Clientes para MaxPoint y Kiosko"/>
        <s v="Maxpoint Delivery CW"/>
        <s v="Desarrollo PMV "/>
        <s v="Maxpoint Delivery WD"/>
        <s v="Mayores contables - mensaje de ejecución"/>
        <s v="Mayores Contables por Cco"/>
        <s v="MCL-1. Administración de Gavetas"/>
        <s v="MCO-1. Activación Modulo Aceite quemado "/>
        <s v="MCO-2. Horarios Mayores Contables"/>
        <s v="MCO-4. Modificación Reporte Relación de Cajas"/>
        <s v="MCO-5. Reporte de compras consolidado Artículo SAP regional"/>
        <s v="MCO-3. Compras Bloqueo de Proveedor INT"/>
        <s v="Mejora de UX de pantalla de datos en toma de pedido (landing page)"/>
        <s v="Nueva Versión Turnero v.3"/>
        <s v="Mejora de UX para agilizar selección de menú en moódulo de toma de pedido"/>
        <s v="Mejora de UX para el proceso de recuperación de pedidos kiosko/pickup"/>
        <s v="Mejoras B2B: Visualizar Fecha de Vencimiento - Adjuntar Certificado Bancario"/>
        <s v="Mejoras de integración del servicio de impresión MXP España"/>
        <s v="Mejoras MaxPoint Azure ( integración de países)"/>
        <s v="Mejoras POS MaxPoint España"/>
        <s v="Cupones QR - Empresariales"/>
        <s v="MES-2. Carga Masiva de Costos Artículos"/>
        <s v="MES-3. Estilos en recetas"/>
        <s v="MES-1. Bloqueo de costos proveedor"/>
        <s v="Metodo de pago  - Kiosko Integración DEUNA B.P"/>
        <s v="Metodo de pago APP"/>
        <s v="Migración de Aplicativo de Reclutamiento a AKS"/>
        <s v="Migración de Aplicativo Integracion KFC a SIR Integration"/>
        <s v="Migración de Wendys al MaxPoint Legacy"/>
        <s v="Migración del Sistema SIR a última versión"/>
        <s v="Migración Plataforma B2b a Genexus"/>
        <s v="Modificación Reporte: Administración de facturas"/>
        <s v="Modificación Reporte: Crédito sin Cupon SIR"/>
        <s v="Modificadores por Default"/>
        <s v="Módulo de Auditoría en SIR"/>
        <s v="Monitor de Pedidos Motorizados DY Propios"/>
        <s v="Multimoneda en Maxpoint"/>
        <s v="Multinube para pedidos de domicilio"/>
        <s v="MVE-3. Corrección de Ajustes"/>
        <s v="MVE-2. Modificación Reporte Relación de Caja"/>
        <s v="MVE-1. Homologación Reporte Inventario"/>
        <s v="Mxp - Impresión v2.1 NETCORE"/>
        <s v="Mxp Delivery - Dragon Tail"/>
        <s v="Menu V3 - Envio de Descuentos desde MXP"/>
        <s v="Mxp Delivery- Core Integraciones Ultimas Millas - Shipday"/>
        <s v="Restructura de manejo de Plu´s y MasterPlu"/>
        <s v="Repositorio de Proyectos Centralizado"/>
        <s v="Nivel de Ocupación de camiones"/>
        <s v="Notificación Cliente de llegada a destino"/>
        <s v="Notificación de estado cancelado de los pedidos de agregadores hacia maxpoint"/>
        <s v="Notificación de pedido listo hacia los agregadores"/>
        <s v="Nuevas funcionalidades Up / Cross sell Appedir "/>
        <s v="Nuevo reporte de retiros, arqueos y desmontajes de usuarios"/>
        <s v="Nuevo Reporte de Ventas Baskin y Cinnabon"/>
        <s v="Nuevo servicio de tarjetas v2.0"/>
        <s v="Nuevo UX de pantalla de desmontado de cajero"/>
        <s v="Nuevos procesos en el flujo de Facturación."/>
        <s v="Nuevos Reportes Maxpoint"/>
        <s v="Optimizacion de desarrollos Z en SAP Regional"/>
        <s v="Optimización de la velocidad de carga del menú luego de loguear al cajero"/>
        <s v="Optimización en algoritmo de búsqueda de productos"/>
        <s v="Optimizacion Procesos RPA"/>
        <s v="Órdenes de compra en SIR para proveedores de Inventario (Tesalia, ARCA)"/>
        <s v="Pantalla para rastreo de pedidos (Tracking) motorizados en CDC "/>
        <s v="Pasar mayor contable de SAP a SIR e incluir respaldos digitales"/>
        <s v="Payrol: Integración Venezuela"/>
        <s v="Pedidos Planta: Control de Cupos por empleado"/>
        <s v="Pedidos Planta: Reclamos Proveedores"/>
        <s v="Pedidos programados"/>
        <s v="Pedidos Sugeridos con interface SAP"/>
        <s v="Pedidos Sugeridos con interface SAP - Extensión BI"/>
        <s v="Permitir ingreso de cedulas de extranjeros"/>
        <s v="Picking Lotes consolidados"/>
        <s v="Control Motorizados/Agregadores [2] - Picking Agregadores QR V2"/>
        <s v="Planificación de la Producción (MPS)"/>
        <s v="Planificación de Recetas y subrecetas para degustación  y Lunch (productos, articulos y presupuesto total al mes)(Calculadora) (calendario)"/>
        <s v="Plataforma Elearning: Paises Chile"/>
        <s v="Plataforma Elearning: Paises Venezuela"/>
        <s v="Plataforma Elearning: Planta"/>
        <s v="Plataforma Etraining: Operaciones"/>
        <s v="Proceso de Cuadre de información ventas"/>
        <s v="Proceso para Firmas Digitales de Contratos"/>
        <s v="Productos Importados - Reporte de costo de Negociación y variables de Costeo"/>
        <s v="Propinas desde el pinpad"/>
        <s v="QA  KFC Fulfillment Incluir Pickup para Autorápido, con un diferente menú"/>
        <s v="QA KFC Fulfillment  Compensaciones  Appedir "/>
        <s v="QA KFC Métodos de Pago"/>
        <s v="Reabastecimiento"/>
        <s v="Realizar cruce de suministros que se encuentran para el débito bancario para evitar cortes y recargos adicionales"/>
        <s v="Mxp Delivery - FLY Delivery"/>
        <s v="Recepción de Descuentos - Offering/Agregadores Trade"/>
        <s v="Recepción de Pollos por Lotes"/>
        <s v="Recepciones de Pedidos V3 - Maxpoint Rastreo Pedidos Panel domicilio v2.0.4.2"/>
        <s v="Recepciones de Pedidos V3 - Monitor  de transacciones (Tracking) de Pedidos"/>
        <s v="Rediseño del algoritmo para clasificar el medio de venta de una transacción"/>
        <s v="Rediseño Estructura de Recetas ( Optimización Plus por Canales)"/>
        <s v="Registro de descuentos a transportistas ( Cuentas por Cobrar- Rastreo Satelital-Fumigacion)-SAP"/>
        <s v="Reingeniería Payroll"/>
        <s v="Remedación Dynatrace"/>
        <s v="Remediación MaxPoint"/>
        <s v="Replica de información v2.0"/>
        <s v="Reporte de Compras consolidado"/>
        <s v="Reporte de Stock V2"/>
        <s v="Reporte: Anexo de Deuda Bancaria SAP"/>
        <s v="Restricción de digitación de formas de pago de agregadores"/>
        <s v="Retiros Motorizados Multimoneda"/>
        <s v="Revision / Cierre de Pedidos Abiertos VA05-SAP"/>
        <s v="RollOut Chile - Logistica"/>
        <s v="RollOut Venezuela"/>
        <s v="RPA: Obtencion Tablas de amortización prestamos Bancarios en empresas relacionadas para Consolidar"/>
        <s v="SAP Disaster Recovery"/>
        <s v="SAP(Licencias, Servicios Externos)"/>
        <s v="Seguimiento Gestion de Cartera / Gestion de Cobro -SAP"/>
        <s v="Separación del diario de ventas (interfaz locales SIR a SAP)"/>
        <s v="Sistema Aprobaciones OCs: Control de Cupos por Solicitantes e interfaz de CM ( Mercadeo )"/>
        <s v="Sistema Aprobaciones OCs: Fase 1 "/>
        <s v="Sistema Aprobaciones OCs: Interfaz con SAP"/>
        <s v="Sistema Aprobaciones OCs: Manejo de Items/Materiales creados en SAP"/>
        <s v="Sistema de Conciliaciones: Depósitos (SIR-Bancos Chile)"/>
        <s v="Sistema de Conciliaciones: Facturas Electronica vs Venta"/>
        <s v="Sistema de Conciliaciones: Switch Transaccional vs Venta"/>
        <s v="Sitio SIR Historico"/>
        <s v="Smart routing (Recepcion formas de pago)"/>
        <s v="SMS tracking pedido vía llamada"/>
        <s v="THEOBALD Estabilización de procesamiento y calidad de datos SAP"/>
        <s v="Tiempos de Cambios de estado en todos los canales Maxpoint"/>
        <s v="Topes en Descuentos"/>
        <s v="QR Champions Kiosco Tarjetas de Crédito (Adicional)"/>
        <s v="Unificación de Cupones QR y Online"/>
        <s v="Upgrade de versión a .net 8 del aplicativo de impresión"/>
        <s v="Upsell (Analítica)"/>
        <s v="Usos y Consumos con grupo de artículos cadena"/>
        <s v="Usos y Consumos Resumido por Grupo de Articulos"/>
        <s v="Usos y Consumos: Sobrantes y Faltantes"/>
        <s v="V2. Calculo de proyecciones sugeridas de PyG"/>
        <s v="Vaciado de materiales en Centro de Transito - SAP"/>
        <s v="VAR (Real + Proyeccion)"/>
        <s v="Venta IRSA"/>
        <s v="Ventas de Producto por formas de pago"/>
        <s v="Visualización resaltada en notas de crédito por concepto de cambio de datos"/>
        <s v="Visualizar lo que planta tiene en stock y fecha de caducidad para tener datos reales"/>
        <m/>
        <s v="Recepción de Descuentos -  Pick up" u="1"/>
        <s v="Añadir Campos Fidelización" u="1"/>
        <s v="cheetah  KFC Fidelización (Lealtad Simple, puntos y tiers) + (cupones avanzandos) " u="1"/>
        <s v="Control Motorizados/Agregadores [2] - Picking Agregadores QR" u="1"/>
        <s v="Picking Motorizado v2.0" u="1"/>
        <s v="Mxp Delivery- Core Integraciones Ultimas Millas" u="1"/>
        <s v="Mejora de UX del Turnero para estandarización regional" u="1"/>
        <s v="Mxp Delivery - Turneros v3.0 " u="1"/>
        <s v="Mxp Delivery - Dragon Tail (Envío de TrackingID)" u="1"/>
        <s v="Mxp Delivery - Dragon Tail (Integración)" u="1"/>
        <s v="Mxp Delivery - Dragon Tail (Seguimiento)" u="1"/>
        <s v="Kioskos kfc" u="1"/>
        <s v="Kioskos wendys" u="1"/>
      </sharedItems>
    </cacheField>
    <cacheField name="Dependencia" numFmtId="0">
      <sharedItems containsBlank="1"/>
    </cacheField>
    <cacheField name="Descripción" numFmtId="0">
      <sharedItems containsBlank="1" longText="1"/>
    </cacheField>
    <cacheField name="Prioridad" numFmtId="0">
      <sharedItems containsBlank="1"/>
    </cacheField>
    <cacheField name="ALCANCE" numFmtId="0">
      <sharedItems containsBlank="1" count="6">
        <s v="LOCAL"/>
        <m/>
        <s v="REGIONAL*"/>
        <s v="REGIONAL"/>
        <s v="REGIONAL "/>
        <s v="LOCAL*" u="1"/>
      </sharedItems>
    </cacheField>
    <cacheField name="Proyecto Contable" numFmtId="0">
      <sharedItems containsBlank="1"/>
    </cacheField>
    <cacheField name="Frente" numFmtId="0">
      <sharedItems containsBlank="1"/>
    </cacheField>
    <cacheField name="País" numFmtId="0">
      <sharedItems containsBlank="1" count="7">
        <s v="Ecuador"/>
        <s v="Argentina"/>
        <s v="Venezuela"/>
        <s v="Colombia"/>
        <s v="Chile"/>
        <s v="España"/>
        <m/>
      </sharedItems>
    </cacheField>
    <cacheField name="Contacto" numFmtId="0">
      <sharedItems containsBlank="1"/>
    </cacheField>
    <cacheField name="Área" numFmtId="0">
      <sharedItems containsBlank="1" count="34">
        <s v="OPERACIONES"/>
        <s v="DSI"/>
        <s v="AUDITORIA"/>
        <s v="AEROPUERTO GYE"/>
        <s v="TRANSFORMACIÓN DIGITAL"/>
        <s v="MERCADEO KFC"/>
        <s v="VE"/>
        <s v="GESTIÓN"/>
        <m/>
        <s v="CO"/>
        <s v="CONTABILIDAD"/>
        <s v="COMPRAS"/>
        <s v="CONTABILIDAD Y SAP"/>
        <s v="CL"/>
        <s v="AEROPUERTO UIO"/>
        <s v="TESORERÍA"/>
        <s v="MTO Restaurantes"/>
        <s v="OTROS NEGOCIOS"/>
        <s v="AR"/>
        <s v="MERCADEO OTRAS MARCAS"/>
        <s v="IT"/>
        <s v="PLANTAS"/>
        <s v="ES"/>
        <s v="PROYECTOS DE CONSTRUCCIÓN"/>
        <s v="En curso"/>
        <s v="LOGISTICA"/>
        <s v="OPERACIONES KFC"/>
        <s v="CALIDAD"/>
        <s v="BODEGA"/>
        <s v="PRODUCCION"/>
        <s v="CAPACITACIÓN INTERNA"/>
        <s v="BI"/>
        <s v="NOMINA"/>
        <s v="Mercadeo"/>
      </sharedItems>
    </cacheField>
    <cacheField name="Aprobación" numFmtId="0">
      <sharedItems containsBlank="1" count="5">
        <s v="SUSPENDIDO"/>
        <s v="APROBADO"/>
        <s v="IDENTIFICADO"/>
        <m/>
        <s v="NO REQUERIDO" u="1"/>
      </sharedItems>
    </cacheField>
    <cacheField name="Progreso" numFmtId="0">
      <sharedItems containsBlank="1" count="8">
        <s v="No iniciado"/>
        <s v="En curso"/>
        <s v="Finalizado"/>
        <m/>
        <s v="Pruebas" u="1"/>
        <s v="iniciado" u="1"/>
        <s v="Identificado" u="1"/>
        <s v="Por Levantar" u="1"/>
      </sharedItems>
    </cacheField>
    <cacheField name="Prioridad Cliente" numFmtId="0">
      <sharedItems containsBlank="1" containsMixedTypes="1" containsNumber="1" containsInteger="1" minValue="0" maxValue="26"/>
    </cacheField>
    <cacheField name="Prioridad_x000a_PO" numFmtId="0">
      <sharedItems containsBlank="1"/>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0">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05-01T00:00:00"/>
    </cacheField>
    <cacheField name="InicioPil" numFmtId="0">
      <sharedItems containsDate="1" containsBlank="1" containsMixedTypes="1" minDate="2014-10-08T00:00:00" maxDate="3024-03-27T00:00:00"/>
    </cacheField>
    <cacheField name="FinPil" numFmtId="0">
      <sharedItems containsDate="1" containsBlank="1" containsMixedTypes="1" minDate="2014-04-16T00:00:00" maxDate="2025-04-01T00:00:00"/>
    </cacheField>
    <cacheField name="Diferencia Pil" numFmtId="0">
      <sharedItems containsDate="1" containsBlank="1" containsMixedTypes="1" minDate="1899-12-31T00:00:00" maxDate="2899-04-11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1899-12-30T00:00:00" maxDate="2027-06-02T00:00:00" count="83">
        <d v="2024-08-12T00:00:00"/>
        <d v="2024-02-19T00:00:00"/>
        <d v="2024-09-11T00:00:00"/>
        <d v="2024-09-02T00:00:00"/>
        <d v="2024-05-13T00:00:00"/>
        <d v="2024-10-14T00:00:00"/>
        <d v="2024-09-23T00:00:00"/>
        <d v="2024-05-20T00:00:00"/>
        <d v="2024-04-22T00:00:00"/>
        <d v="1899-12-30T00:00:00"/>
        <d v="2024-06-17T00:00:00"/>
        <d v="2024-04-01T00:00:00"/>
        <d v="2024-08-01T00:00:00"/>
        <d v="2024-04-14T00:00:00"/>
        <d v="2024-10-01T00:00:00"/>
        <d v="2024-05-01T00:00:00"/>
        <d v="2024-05-06T00:00:00"/>
        <d v="2024-02-26T00:00:00"/>
        <d v="2023-11-01T00:00:00"/>
        <d v="2024-07-01T00:00:00"/>
        <d v="2024-07-08T00:00:00"/>
        <d v="2024-03-04T00:00:00"/>
        <d v="2024-04-30T00:00:00"/>
        <d v="2024-02-21T00:00:00"/>
        <s v="01/0/2024"/>
        <d v="2024-01-15T00:00:00"/>
        <d v="2024-11-11T00:00:00"/>
        <d v="2024-03-25T00:00:00"/>
        <d v="2024-11-18T00:00:00"/>
        <m/>
        <d v="2024-04-07T00:00:00"/>
        <d v="2024-03-11T00:00:00"/>
        <d v="2024-05-27T00:00:00"/>
        <d v="2024-06-01T00:00:00"/>
        <d v="2024-04-29T00:00:00"/>
        <d v="2024-02-07T00:00:00"/>
        <d v="2024-03-07T00:00:00"/>
        <d v="2024-03-14T00:00:00"/>
        <d v="2024-04-08T00:00:00"/>
        <d v="2024-03-01T00:00:00"/>
        <d v="2024-03-20T00:00:00"/>
        <d v="2024-11-01T00:00:00"/>
        <d v="2024-11-04T00:00:00"/>
        <d v="2024-01-01T00:00:00"/>
        <s v="NA"/>
        <d v="2024-04-15T00:00:00"/>
        <d v="2024-02-14T00:00:00"/>
        <d v="2024-09-01T00:00:00"/>
        <d v="2024-07-15T00:00:00"/>
        <d v="2023-12-17T00:00:00"/>
        <d v="2023-08-07T00:00:00"/>
        <d v="2024-06-03T00:00:00"/>
        <d v="2024-05-02T00:00:00"/>
        <d v="2024-01-07T00:00:00"/>
        <d v="2024-09-16T00:00:00"/>
        <d v="2024-06-11T00:00:00"/>
        <d v="2024-08-05T00:00:00"/>
        <d v="2024-10-21T00:00:00"/>
        <d v="2024-02-11T00:00:00"/>
        <d v="2024-05-15T00:00:00"/>
        <d v="2024-03-18T00:00:00"/>
        <d v="2024-06-15T00:00:00"/>
        <d v="2025-04-06T00:00:00"/>
        <d v="2024-08-18T00:00:00"/>
        <d v="2024-05-07T00:00:00"/>
        <d v="2023-09-01T00:00:00"/>
        <d v="2024-04-23T00:00:00"/>
        <s v="marzo"/>
        <d v="2024-08-19T00:00:00"/>
        <d v="2024-02-05T00:00:00"/>
        <d v="2024-06-25T00:00:00"/>
        <d v="2024-03-03T00:00:00"/>
        <d v="2024-02-28T00:00:00"/>
        <d v="2024-08-14T00:00:00"/>
        <d v="2024-09-07T00:00:00"/>
        <d v="2024-01-14T00:00:00"/>
        <d v="2024-03-21T00:00:00"/>
        <d v="2024-06-08T00:00:00"/>
        <d v="2024-01-29T00:00:00"/>
        <d v="2023-12-03T00:00:00"/>
        <d v="2027-06-01T00:00:00" u="1"/>
        <s v="Por confirmar" u="1"/>
        <d v="2024-05-08T00:00:00" u="1"/>
      </sharedItems>
    </cacheField>
    <cacheField name="Fin Real" numFmtId="0">
      <sharedItems containsDate="1" containsBlank="1" containsMixedTypes="1" minDate="1899-12-30T00:00:00" maxDate="2027-08-25T00:00:00" count="135">
        <d v="2024-09-25T00:00:00"/>
        <d v="1899-12-30T00:00:00"/>
        <d v="2024-11-01T00:00:00"/>
        <d v="2024-06-15T00:00:00"/>
        <d v="2024-07-08T00:00:00"/>
        <d v="2024-05-13T00:00:00"/>
        <d v="2024-08-29T00:00:00"/>
        <d v="2024-06-10T00:00:00"/>
        <d v="2024-04-28T00:00:00"/>
        <d v="2023-07-07T00:00:00"/>
        <d v="2023-10-21T00:00:00"/>
        <d v="2024-12-10T00:00:00"/>
        <d v="2024-06-05T00:00:00"/>
        <d v="2024-05-31T00:00:00"/>
        <d v="2024-09-04T00:00:00"/>
        <d v="2024-06-20T00:00:00"/>
        <d v="2024-05-14T00:00:00"/>
        <d v="2024-12-07T00:00:00"/>
        <d v="2024-05-29T00:00:00"/>
        <d v="2024-06-28T00:00:00"/>
        <d v="2024-04-05T00:00:00"/>
        <d v="2024-08-12T00:00:00"/>
        <d v="1900-02-24T00:00:00"/>
        <d v="2024-09-09T00:00:00"/>
        <d v="2024-07-24T00:00:00"/>
        <d v="2024-04-30T00:00:00"/>
        <d v="2024-07-13T00:00:00"/>
        <d v="2024-06-12T00:00:00"/>
        <d v="2024-03-14T00:00:00"/>
        <d v="2024-04-07T00:00:00"/>
        <d v="2024-06-29T00:00:00"/>
        <m/>
        <d v="2024-04-26T00:00:00"/>
        <d v="2024-05-20T00:00:00"/>
        <d v="2024-05-27T00:00:00"/>
        <d v="2024-05-15T00:00:00"/>
        <d v="2024-12-20T00:00:00"/>
        <d v="2024-11-19T00:00:00"/>
        <d v="2024-12-13T00:00:00"/>
        <d v="2024-04-02T00:00:00"/>
        <d v="2024-04-16T00:00:00"/>
        <d v="2024-07-10T00:00:00"/>
        <d v="2024-05-22T00:00:00"/>
        <e v="#VALUE!"/>
        <s v="01/12/12024"/>
        <d v="2024-02-15T00:00:00"/>
        <d v="2024-08-28T00:00:00"/>
        <d v="2024-03-07T00:00:00"/>
        <d v="2024-02-28T00:00:00"/>
        <d v="2024-05-24T00:00:00"/>
        <d v="2024-08-15T00:00:00"/>
        <d v="2024-10-22T00:00:00"/>
        <d v="2024-10-06T00:00:00"/>
        <d v="2024-09-12T00:00:00"/>
        <d v="2024-05-01T00:00:00"/>
        <d v="2024-07-31T00:00:00"/>
        <d v="2024-06-22T00:00:00"/>
        <d v="2024-03-21T00:00:00"/>
        <d v="2024-08-05T00:00:00"/>
        <d v="2024-05-19T00:00:00"/>
        <d v="2024-05-21T00:00:00"/>
        <d v="2024-07-25T00:00:00"/>
        <d v="2024-05-08T00:00:00"/>
        <d v="2024-03-29T00:00:00"/>
        <d v="2024-07-17T00:00:00"/>
        <d v="2024-10-09T00:00:00"/>
        <d v="2024-06-14T00:00:00"/>
        <d v="2024-04-29T00:00:00"/>
        <d v="2024-12-02T00:00:00"/>
        <d v="2025-01-13T00:00:00"/>
        <d v="2024-08-26T00:00:00"/>
        <d v="2024-04-10T00:00:00"/>
        <d v="2024-04-01T00:00:00"/>
        <d v="2024-09-23T00:00:00"/>
        <d v="2024-06-26T00:00:00"/>
        <d v="2024-10-27T00:00:00"/>
        <d v="2024-12-27T00:00:00"/>
        <d v="2024-09-05T00:00:00"/>
        <d v="2024-09-22T00:00:00"/>
        <d v="2024-08-22T00:00:00"/>
        <d v="2024-04-24T00:00:00"/>
        <d v="2024-09-26T00:00:00"/>
        <d v="2024-09-19T00:00:00"/>
        <d v="2024-07-06T00:00:00"/>
        <d v="2024-07-03T00:00:00"/>
        <d v="2024-10-10T00:00:00"/>
        <d v="2024-08-02T00:00:00"/>
        <d v="2024-08-09T00:00:00"/>
        <d v="2024-09-06T00:00:00"/>
        <d v="2024-07-29T00:00:00"/>
        <d v="2024-09-29T00:00:00"/>
        <d v="2024-06-19T00:00:00"/>
        <d v="2025-01-31T00:00:00"/>
        <d v="2024-12-31T00:00:00"/>
        <d v="2024-03-27T00:00:00"/>
        <d v="2024-03-22T00:00:00"/>
        <d v="2024-07-09T00:00:00"/>
        <d v="2024-04-11T00:00:00"/>
        <d v="2024-08-14T00:00:00"/>
        <d v="2024-02-21T00:00:00"/>
        <d v="2024-08-13T00:00:00"/>
        <d v="2024-04-15T00:00:00"/>
        <d v="2024-11-22T00:00:00"/>
        <d v="2025-01-03T00:00:00"/>
        <d v="2024-04-14T00:00:00"/>
        <d v="2024-07-12T00:00:00"/>
        <d v="2024-12-03T00:00:00"/>
        <d v="2024-04-03T00:00:00"/>
        <s v="marzo"/>
        <d v="2024-06-21T00:00:00"/>
        <d v="2025-01-14T00:00:00"/>
        <d v="2024-10-23T00:00:00"/>
        <d v="2024-03-08T00:00:00"/>
        <d v="2024-12-28T00:00:00"/>
        <d v="2024-10-01T00:00:00"/>
        <d v="2024-12-24T00:00:00"/>
        <d v="2024-08-10T00:00:00"/>
        <d v="2024-12-15T00:00:00"/>
        <d v="2024-11-07T00:00:00"/>
        <d v="2024-10-21T00:00:00"/>
        <d v="2024-09-14T00:00:00"/>
        <d v="2024-09-28T00:00:00"/>
        <d v="2024-05-28T00:00:00"/>
        <d v="2024-11-08T00:00:00"/>
        <d v="2024-04-22T00:00:00"/>
        <d v="2024-04-12T00:00:00"/>
        <d v="2025-03-31T00:00:00"/>
        <d v="2024-03-28T00:00:00"/>
        <d v="2024-04-21T00:00:00"/>
        <d v="2024-10-13T00:00:00"/>
        <d v="2024-11-26T00:00:00"/>
        <d v="2024-07-26T00:00:00"/>
        <d v="2024-04-18T00:00:00"/>
        <d v="2024-07-20T00:00:00"/>
        <d v="2027-08-24T00:00:00" u="1"/>
      </sharedItems>
    </cacheField>
    <cacheField name="N° Sprint" numFmtId="0">
      <sharedItems containsDate="1" containsString="0" containsBlank="1" containsMixedTypes="1" minDate="1899-12-31T00:00:00" maxDate="1899-12-31T03:53:03"/>
    </cacheField>
    <cacheField name="DiferenciaDes2" numFmtId="0">
      <sharedItems containsBlank="1" containsMixedTypes="1" containsNumber="1" containsInteger="1" minValue="-45635" maxValue="45688"/>
    </cacheField>
    <cacheField name="Observaciónes" numFmtId="0">
      <sharedItems containsBlank="1"/>
    </cacheField>
    <cacheField name="ROI2" numFmtId="0">
      <sharedItems containsBlank="1"/>
    </cacheField>
    <cacheField name="ROI3" numFmtId="0">
      <sharedItems containsBlank="1"/>
    </cacheField>
    <cacheField name="580"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sar Siguenza" refreshedDate="45406.494836689817" createdVersion="8" refreshedVersion="8" minRefreshableVersion="3" recordCount="436" xr:uid="{DA8E1628-A647-47AE-AA99-A719D571C97C}">
  <cacheSource type="worksheet">
    <worksheetSource ref="A1:AV1048576" sheet="BASE"/>
  </cacheSource>
  <cacheFields count="43">
    <cacheField name="Año" numFmtId="0">
      <sharedItems containsBlank="1" containsMixedTypes="1" containsNumber="1" containsInteger="1" minValue="2024" maxValue="2024"/>
    </cacheField>
    <cacheField name="Producto" numFmtId="0">
      <sharedItems containsBlank="1"/>
    </cacheField>
    <cacheField name="Proyecto" numFmtId="0">
      <sharedItems containsBlank="1"/>
    </cacheField>
    <cacheField name="Titulo" numFmtId="0">
      <sharedItems containsBlank="1"/>
    </cacheField>
    <cacheField name="Dependencia" numFmtId="0">
      <sharedItems containsBlank="1"/>
    </cacheField>
    <cacheField name="Descripción" numFmtId="0">
      <sharedItems containsBlank="1" longText="1"/>
    </cacheField>
    <cacheField name="Prioridad" numFmtId="0">
      <sharedItems containsBlank="1"/>
    </cacheField>
    <cacheField name="ALCANCE" numFmtId="0">
      <sharedItems containsBlank="1"/>
    </cacheField>
    <cacheField name="Proyecto Contable" numFmtId="0">
      <sharedItems containsBlank="1"/>
    </cacheField>
    <cacheField name="Frente" numFmtId="0">
      <sharedItems containsBlank="1" count="8">
        <s v="CAR"/>
        <s v="DSI"/>
        <m/>
        <s v="Funcionalidades Locales"/>
        <s v="OPER"/>
        <s v="PLANTA"/>
        <s v="REGIONAL"/>
        <s v="Transformación Digital"/>
      </sharedItems>
    </cacheField>
    <cacheField name="País" numFmtId="0">
      <sharedItems containsBlank="1"/>
    </cacheField>
    <cacheField name="Contacto" numFmtId="0">
      <sharedItems containsBlank="1" count="67">
        <s v="Vladimir Morillo"/>
        <s v="Jonathan Darquea"/>
        <s v="Andres Canelos / Ma. Paula Tapia"/>
        <s v="Daniel Barreno"/>
        <s v="Javier Cruz"/>
        <s v="Javier Cruz / Veronica Ramos"/>
        <s v="Diego Díaz"/>
        <s v="Juan Carlos Benalcázar"/>
        <s v="Diego Díaz / Vladimir Morillo"/>
        <m/>
        <s v="Amparo Aleman"/>
        <s v="MIguel Lincango"/>
        <s v="Carolina Pantoja"/>
        <s v="Ana Cordova"/>
        <s v="Daniel Barreno / Jhustin Vergara"/>
        <s v="Doménica Bucheli"/>
        <s v="Narciza Espin"/>
        <s v="María Paula Tapia / José Fernandez"/>
        <s v="José Fernandez"/>
        <s v="Veronica Suntaxi"/>
        <s v="Mychael Castro"/>
        <s v="Rodrigo Burbano"/>
        <s v="Luis Salazar"/>
        <s v="Alex Ponce"/>
        <s v="Daniel Barreno / Davis Nuñez"/>
        <s v="Ruben Guanolisa"/>
        <s v="Verónica Marañon / Renato Loayza"/>
        <s v="Verónica Ramos"/>
        <s v="Diego Díaz "/>
        <s v="Sabrina Chinchin"/>
        <s v="Verónica Marañon"/>
        <s v="Amarilis Loor"/>
        <s v="Vanessa Soria"/>
        <s v="Jhustin Vergara"/>
        <s v="William Villegas"/>
        <s v="Mychael Castro - José Fernandez"/>
        <s v="Davis Nuñez"/>
        <s v="Mauricio Andrade"/>
        <s v="Maria A Stay"/>
        <s v="Juan Estevez"/>
        <s v="DSI"/>
        <s v="Adrian Gadja"/>
        <s v="José Fernández"/>
        <s v="Juan Alejandro"/>
        <s v="José Fernandez - Darwin Mora"/>
        <s v="Juan Alejadro"/>
        <s v="Sandra Paillacho"/>
        <s v="Sandra Pailacho"/>
        <s v="José Luis Tello"/>
        <s v="Operaciones Aeropuerto"/>
        <s v="Jorge Samaniego / Estefanía Viteri"/>
        <s v="Renato Loayza"/>
        <s v="Sebastián Jara"/>
        <s v="Byron Realpe"/>
        <s v="Francisco López"/>
        <s v="Vladimir Salazar"/>
        <s v=" Sandra PAillacho / Andrea Rodríguez"/>
        <s v="Sandra Pailacho/Andres Valencia"/>
        <s v="Shuber Aguirre"/>
        <s v="Shuber Ahuirre"/>
        <s v="Justin Vergara"/>
        <s v="Davis"/>
        <s v="Jeison Caguana"/>
        <s v="Adrian Gadja / Juan Carlos Benalcazar"/>
        <s v="Davis Nuñez / Adrian Gadja"/>
        <s v="Martin Iparraguirre"/>
        <s v="Antonio Sampayo"/>
      </sharedItems>
    </cacheField>
    <cacheField name="0" numFmtId="0">
      <sharedItems containsBlank="1" count="34">
        <s v="AUDITORIA"/>
        <s v="TRANSFORMACIÓN DIGITAL"/>
        <s v="MERCADEO KFC"/>
        <s v="GESTIÓN"/>
        <s v="CONTABILIDAD"/>
        <s v="COMPRAS"/>
        <s v="CONTABILIDAD Y SAP"/>
        <s v="TESORERÍA"/>
        <s v="MTO Restaurantes"/>
        <s v="OTROS NEGOCIOS"/>
        <s v="MERCADEO OTRAS MARCAS"/>
        <s v="IT"/>
        <s v="PLANTAS"/>
        <s v="PROYECTOS DE CONSTRUCCIÓN"/>
        <s v="DSI"/>
        <s v="CALIDAD"/>
        <s v="NOMINA"/>
        <s v="VE"/>
        <s v="CO"/>
        <s v="CL"/>
        <s v="AR"/>
        <s v="BI"/>
        <s v="OPERACIONES"/>
        <s v="AEROPUERTO GYE"/>
        <s v="AEROPUERTO UIO"/>
        <s v="OPERACIONES KFC"/>
        <s v="CAPACITACIÓN INTERNA"/>
        <s v="LOGISTICA"/>
        <s v="BODEGA"/>
        <s v="PRODUCCION"/>
        <m/>
        <s v="ES"/>
        <s v="En curso"/>
        <s v="Mercadeo"/>
      </sharedItems>
    </cacheField>
    <cacheField name="Aprobación" numFmtId="0">
      <sharedItems containsBlank="1" count="4">
        <s v="IDENTIFICADO"/>
        <s v="APROBADO"/>
        <s v="SUSPENDIDO"/>
        <m/>
      </sharedItems>
    </cacheField>
    <cacheField name="Progreso" numFmtId="0">
      <sharedItems containsBlank="1"/>
    </cacheField>
    <cacheField name="Prioridad Cliente" numFmtId="0">
      <sharedItems containsBlank="1" containsMixedTypes="1" containsNumber="1" containsInteger="1" minValue="0" maxValue="26"/>
    </cacheField>
    <cacheField name="Prioridad_x000a_PO" numFmtId="0">
      <sharedItems containsBlank="1"/>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0">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String="0" containsBlank="1"/>
    </cacheField>
    <cacheField name="Sprint" numFmtId="0">
      <sharedItems containsBlank="1" containsMixedTypes="1" containsNumber="1" containsInteger="1" minValue="0" maxValue="5"/>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10-15T00:00:00"/>
    </cacheField>
    <cacheField name="InicioPil" numFmtId="0">
      <sharedItems containsDate="1" containsBlank="1" containsMixedTypes="1" minDate="2014-10-08T00:00:00" maxDate="3024-03-27T00:00:00"/>
    </cacheField>
    <cacheField name="FinPil" numFmtId="0">
      <sharedItems containsDate="1" containsBlank="1" containsMixedTypes="1" minDate="2024-01-28T00:00:00" maxDate="2025-04-01T00:00:00"/>
    </cacheField>
    <cacheField name="Diferencia Pil" numFmtId="0">
      <sharedItems containsDate="1" containsBlank="1" containsMixedTypes="1" minDate="1899-12-31T00:00:00" maxDate="1899-12-31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1899-12-30T00:00:00" maxDate="2025-04-07T00:00:00"/>
    </cacheField>
    <cacheField name="Fin Real" numFmtId="0">
      <sharedItems containsDate="1" containsBlank="1" containsMixedTypes="1" minDate="1899-12-30T00:00:00" maxDate="2025-04-01T00:00:00"/>
    </cacheField>
    <cacheField name="N° Sprint" numFmtId="0">
      <sharedItems containsDate="1" containsString="0" containsBlank="1" containsMixedTypes="1" minDate="1899-12-31T00:00:00" maxDate="1899-12-31T00:00:00"/>
    </cacheField>
    <cacheField name="DiferenciaDes2" numFmtId="0">
      <sharedItems containsBlank="1" containsMixedTypes="1" containsNumber="1" containsInteger="1" minValue="-45635" maxValue="45688"/>
    </cacheField>
    <cacheField name="Observaciónes" numFmtId="0">
      <sharedItems containsBlank="1"/>
    </cacheField>
    <cacheField name="ROI2" numFmtId="0">
      <sharedItems containsBlank="1"/>
    </cacheField>
    <cacheField name="ROI3"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aira Oña" refreshedDate="45412.704006828702" createdVersion="8" refreshedVersion="8" minRefreshableVersion="3" recordCount="451" xr:uid="{6B34D7F0-1110-4179-8858-41233A3B5F6D}">
  <cacheSource type="worksheet">
    <worksheetSource ref="A1:AW1048576" sheet="BASE"/>
  </cacheSource>
  <cacheFields count="47">
    <cacheField name="Año" numFmtId="0">
      <sharedItems containsBlank="1" containsMixedTypes="1" containsNumber="1" containsInteger="1" minValue="2024" maxValue="2024"/>
    </cacheField>
    <cacheField name="Producto" numFmtId="0">
      <sharedItems containsBlank="1" count="9">
        <s v="SIR"/>
        <s v="CANALES DIGITALES"/>
        <s v="SISTEMAS INTERNOS"/>
        <s v="MXP LEGACY"/>
        <s v="ERP"/>
        <s v="Devsecops"/>
        <s v="BI"/>
        <s v="MXP NUEVO"/>
        <m/>
      </sharedItems>
    </cacheField>
    <cacheField name="Proyecto" numFmtId="0">
      <sharedItems containsBlank="1"/>
    </cacheField>
    <cacheField name="Titulo" numFmtId="0">
      <sharedItems containsBlank="1"/>
    </cacheField>
    <cacheField name="Dependencia" numFmtId="0">
      <sharedItems containsBlank="1"/>
    </cacheField>
    <cacheField name="Descripción" numFmtId="0">
      <sharedItems containsBlank="1" longText="1"/>
    </cacheField>
    <cacheField name="Prioridad" numFmtId="0">
      <sharedItems containsBlank="1"/>
    </cacheField>
    <cacheField name="ALCANCE" numFmtId="0">
      <sharedItems containsBlank="1"/>
    </cacheField>
    <cacheField name="Proyecto Contable" numFmtId="0">
      <sharedItems containsBlank="1"/>
    </cacheField>
    <cacheField name="Frente" numFmtId="0">
      <sharedItems containsBlank="1"/>
    </cacheField>
    <cacheField name="Features" numFmtId="0">
      <sharedItems containsBlank="1"/>
    </cacheField>
    <cacheField name="HU" numFmtId="0">
      <sharedItems containsBlank="1"/>
    </cacheField>
    <cacheField name="País" numFmtId="0">
      <sharedItems containsBlank="1"/>
    </cacheField>
    <cacheField name="Contacto" numFmtId="0">
      <sharedItems containsBlank="1"/>
    </cacheField>
    <cacheField name="Correo Electrónico" numFmtId="0">
      <sharedItems containsBlank="1"/>
    </cacheField>
    <cacheField name="Área" numFmtId="0">
      <sharedItems containsBlank="1" count="36">
        <s v="AUDITORIA"/>
        <s v="TRANSFORMACIÓN DIGITAL"/>
        <s v="MERCADEO KFC"/>
        <s v="GESTIÓN"/>
        <s v="CONTABILIDAD"/>
        <s v="COMPRAS"/>
        <s v="CONTABILIDAD Y SAP"/>
        <s v="TESORERÍA"/>
        <s v="MTO Restaurantes"/>
        <s v="OTROS NEGOCIOS"/>
        <s v="MERCADEO OTRAS MARCAS"/>
        <s v="IT"/>
        <s v="PLANTAS"/>
        <s v="Operaciones Multimarca"/>
        <s v="PROYECTOS DE CONSTRUCCIÓN"/>
        <s v="OPERACIONES"/>
        <s v="DSI"/>
        <s v="CALIDAD"/>
        <s v="NOMINA"/>
        <s v="VE"/>
        <s v="PAÍSES"/>
        <s v="CL"/>
        <s v="AR"/>
        <s v="CO"/>
        <s v="BI"/>
        <s v="AEROPUERTO GYE"/>
        <s v="AEROPUERTO UIO"/>
        <s v="OPERACIONES KFC"/>
        <s v="CAPACITACIÓN INTERNA"/>
        <s v="LOGISTICA"/>
        <s v="BODEGA"/>
        <s v="PRODUCCION"/>
        <m/>
        <s v="ES"/>
        <s v="En curso"/>
        <s v="MERCADEO"/>
      </sharedItems>
    </cacheField>
    <cacheField name="Aprobación" numFmtId="0">
      <sharedItems containsBlank="1"/>
    </cacheField>
    <cacheField name="Progreso" numFmtId="0">
      <sharedItems containsBlank="1"/>
    </cacheField>
    <cacheField name="Prioridad Cliente" numFmtId="0">
      <sharedItems containsBlank="1" containsMixedTypes="1" containsNumber="1" containsInteger="1" minValue="0" maxValue="26"/>
    </cacheField>
    <cacheField name="Prioridad_x000a_PO" numFmtId="0">
      <sharedItems containsBlank="1"/>
    </cacheField>
    <cacheField name="Dependencia " numFmtId="0">
      <sharedItems containsBlank="1"/>
    </cacheField>
    <cacheField name="Complejidad" numFmtId="0">
      <sharedItems containsBlank="1"/>
    </cacheField>
    <cacheField name="Factor País" numFmtId="0">
      <sharedItems containsString="0" containsBlank="1" containsNumber="1" minValue="0" maxValue="1"/>
    </cacheField>
    <cacheField name="Número_x000a_Semanas" numFmtId="0">
      <sharedItems containsString="0" containsBlank="1" containsNumber="1" containsInteger="1" minValue="0" maxValue="44"/>
    </cacheField>
    <cacheField name="Número_x000a_Personas" numFmtId="0">
      <sharedItems containsString="0" containsBlank="1" containsNumber="1" containsInteger="1" minValue="0" maxValue="24"/>
    </cacheField>
    <cacheField name="Costo_x000a_Mano Obra/semana" numFmtId="0">
      <sharedItems containsString="0" containsBlank="1" containsNumber="1" minValue="0" maxValue="101428"/>
    </cacheField>
    <cacheField name="Otros _x000a_Costos" numFmtId="0">
      <sharedItems containsString="0" containsBlank="1" containsNumber="1" containsInteger="1" minValue="0" maxValue="40000"/>
    </cacheField>
    <cacheField name="TOTAL" numFmtId="0">
      <sharedItems containsString="0" containsBlank="1" containsNumber="1" minValue="0" maxValue="289120"/>
    </cacheField>
    <cacheField name="Costos _x000a_Recurrente" numFmtId="0">
      <sharedItems containsString="0" containsBlank="1" containsNumber="1" minValue="364" maxValue="108310.40000000001"/>
    </cacheField>
    <cacheField name="ROI" numFmtId="0">
      <sharedItems containsNonDate="0" containsDate="1" containsString="0" containsBlank="1" minDate="2024-05-13T00:00:00" maxDate="2024-05-14T00:00:00"/>
    </cacheField>
    <cacheField name="Sprint" numFmtId="0">
      <sharedItems containsBlank="1" containsMixedTypes="1" containsNumber="1" containsInteger="1" minValue="0" maxValue="5" count="17">
        <s v="Sprint 3"/>
        <s v="Sprint 2"/>
        <m/>
        <s v="Sprint 7"/>
        <s v="Sprint 4"/>
        <n v="0"/>
        <n v="4"/>
        <s v="Sprint 1"/>
        <s v="Sprint 8"/>
        <s v="Sprint 0"/>
        <s v="Sprint 5"/>
        <s v="Sprint 6"/>
        <s v="5"/>
        <n v="5"/>
        <n v="3" u="1"/>
        <n v="2" u="1"/>
        <n v="1" u="1"/>
      </sharedItems>
    </cacheField>
    <cacheField name="InicioDes" numFmtId="0">
      <sharedItems containsDate="1" containsBlank="1" containsMixedTypes="1" minDate="2023-08-07T00:00:00" maxDate="2025-04-07T00:00:00"/>
    </cacheField>
    <cacheField name="FinDes" numFmtId="0">
      <sharedItems containsNonDate="0" containsDate="1" containsString="0" containsBlank="1" minDate="2023-12-15T00:00:00" maxDate="2025-11-02T00:00:00"/>
    </cacheField>
    <cacheField name="DiferenciaDes" numFmtId="0">
      <sharedItems containsDate="1" containsBlank="1" containsMixedTypes="1" minDate="1900-01-02T23:53:12" maxDate="2024-10-15T00:00:00"/>
    </cacheField>
    <cacheField name="InicioPil" numFmtId="0">
      <sharedItems containsDate="1" containsBlank="1" containsMixedTypes="1" minDate="2014-10-08T00:00:00" maxDate="3024-03-27T00:00:00"/>
    </cacheField>
    <cacheField name="FinPil" numFmtId="0">
      <sharedItems containsDate="1" containsBlank="1" containsMixedTypes="1" minDate="2024-01-28T00:00:00" maxDate="2025-04-01T00:00:00"/>
    </cacheField>
    <cacheField name="Diferencia Pil" numFmtId="0">
      <sharedItems containsDate="1" containsBlank="1" containsMixedTypes="1" minDate="1899-12-31T00:00:00" maxDate="1899-12-31T00:00:00"/>
    </cacheField>
    <cacheField name="InicioDes2" numFmtId="0">
      <sharedItems containsNonDate="0" containsDate="1" containsString="0" containsBlank="1" minDate="2023-10-14T00:00:00" maxDate="2025-03-02T00:00:00"/>
    </cacheField>
    <cacheField name="FinDes2" numFmtId="0">
      <sharedItems containsDate="1" containsBlank="1" containsMixedTypes="1" minDate="2023-07-07T00:00:00" maxDate="2025-04-01T00:00:00"/>
    </cacheField>
    <cacheField name="Inicio Real" numFmtId="0">
      <sharedItems containsDate="1" containsBlank="1" containsMixedTypes="1" minDate="1899-12-30T00:00:00" maxDate="2025-04-07T00:00:00"/>
    </cacheField>
    <cacheField name="Fin Real" numFmtId="0">
      <sharedItems containsDate="1" containsBlank="1" containsMixedTypes="1" minDate="1899-12-30T00:00:00" maxDate="2025-04-01T00:00:00"/>
    </cacheField>
    <cacheField name="N° Sprint" numFmtId="0">
      <sharedItems containsDate="1" containsString="0" containsBlank="1" containsMixedTypes="1" minDate="1899-12-31T00:00:00" maxDate="1900-01-03T00:00:00"/>
    </cacheField>
    <cacheField name="DiferenciaDes2" numFmtId="0">
      <sharedItems containsDate="1" containsBlank="1" containsMixedTypes="1" minDate="1900-01-02T10:53:12" maxDate="1900-01-03T10:51:04"/>
    </cacheField>
    <cacheField name="Observaciónes" numFmtId="0">
      <sharedItems containsBlank="1"/>
    </cacheField>
    <cacheField name="ROI2" numFmtId="0">
      <sharedItems containsBlank="1"/>
    </cacheField>
    <cacheField name="ROI3" numFmtId="0">
      <sharedItems containsBlank="1"/>
    </cacheField>
    <cacheField name="Observaciones" numFmtId="0">
      <sharedItems containsDate="1" containsBlank="1" containsMixedTypes="1" minDate="2024-05-13T00:00:00" maxDate="2024-05-14T00:00:00" longText="1"/>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sar Siguenza" refreshedDate="45413.67061296296" createdVersion="8" refreshedVersion="8" minRefreshableVersion="3" recordCount="36" xr:uid="{BC5F141F-1DF8-4E7B-BC4B-9AEF0A3582A7}">
  <cacheSource type="worksheet">
    <worksheetSource ref="A1:Y37" sheet="Hoja3"/>
  </cacheSource>
  <cacheFields count="25">
    <cacheField name="Año" numFmtId="49">
      <sharedItems containsMixedTypes="1" containsNumber="1" containsInteger="1" minValue="2024" maxValue="2024"/>
    </cacheField>
    <cacheField name="Producto" numFmtId="49">
      <sharedItems count="2">
        <s v="MXP LEGACY"/>
        <s v="SIR"/>
      </sharedItems>
    </cacheField>
    <cacheField name="Proyecto" numFmtId="49">
      <sharedItems containsNonDate="0" containsString="0" containsBlank="1" count="1">
        <m/>
      </sharedItems>
    </cacheField>
    <cacheField name="Titulo" numFmtId="49">
      <sharedItems count="36">
        <s v="Agregar número de ficha la orden de la cocina y en el RIDE que sea el mismo número"/>
        <s v="Digitalización del Proceso de Canje de Cupones para Socios Corporativos en el Aeropuerto"/>
        <s v="Estabilización proceso de fidelizacion juan valdez"/>
        <s v="Habilitar completamente el proceso de desasignado del cajero en el backoffice de la tienda"/>
        <s v="Homologar la versión del maxpoint en la cadena de dolce incontro"/>
        <s v="Identificar en la impresión de la comanda a los pedidos de salón y llevar"/>
        <s v="Identificar extras/modificadores asociados al producto padre en la pantalla de toma de pedido y la impresión de la orden de la cocina"/>
        <s v="Imprimir reporte de desmontado de cajero en la impresora de la caja cuando se realice el proceso desde el backoffice"/>
        <s v="Integración de cupones empresariales"/>
        <s v="Mejora de UX de pantalla de datos en toma de pedido (landing page)"/>
        <s v="Nueva Versión Turnero v.3"/>
        <s v="Mejora de UX para agilizar selección de menú en moódulo de toma de pedido"/>
        <s v="Mejora de UX para el proceso de recuperación de pedidos kiosko/pickup"/>
        <s v="Notificación de estado cancelado de los pedidos de agregadores hacia maxpoint"/>
        <s v="Notificación de pedido listo hacia los agregadores"/>
        <s v="Nuevo servicio de tarjetas v2.0"/>
        <s v="Nuevo UX de pantalla de desmontado de cajero"/>
        <s v="Optimización de la velocidad de carga del menú luego de loguear al cajero"/>
        <s v="Optimización en algoritmo de búsqueda de productos"/>
        <s v="Permitir ingreso de cedulas de extranjeros"/>
        <s v="Rediseño del algoritmo para clasificar el medio de venta de una transacción"/>
        <s v="Cambio en Reportes (Pedidos, Usos&amp;Consumos, Listado de Articulos)"/>
        <s v="Cierre automático de Pedidos segun Configuracion por Proveedor"/>
        <s v="Código de Barras ( Español)"/>
        <s v="Cupones de Dinero y Descuentos"/>
        <s v="Definir Modelo de Costos en SIR ( Sug. Promedio ponderado similar a SAP)"/>
        <s v="Digitalización de Toma Fisica de Inventario"/>
        <s v="Digitalizar toma fisica de activos fijos"/>
        <s v="Inclusión de PLUS en LUNCH, MERMAS y  DEGUSTACIÓN"/>
        <s v="Ingreso de Proyeccion Ventas y Gastos (pyg) - Real y avance"/>
        <s v="Pedidos Sugeridos con interface SAP - Extensión BI"/>
        <s v="Planificación de Recetas y subrecetas para degustación  y Lunch (productos, articulos y presupuesto total al mes)(Calculadora) (calendario)"/>
        <s v="Rediseño Estructura de Recetas ( Optimización Plus por Canales)"/>
        <s v="Reporte de Stock V2 Cambio de alcance "/>
        <s v="Usos y Consumos con grupo de artículos cadena"/>
        <s v="V2. Calculo de proyecciones sugeridas de PyG"/>
      </sharedItems>
    </cacheField>
    <cacheField name="Descripción" numFmtId="0">
      <sharedItems containsBlank="1" longText="1"/>
    </cacheField>
    <cacheField name="Prioridad" numFmtId="0">
      <sharedItems containsNonDate="0" containsString="0" containsBlank="1"/>
    </cacheField>
    <cacheField name="ALCANCE" numFmtId="0">
      <sharedItems/>
    </cacheField>
    <cacheField name="Proyecto Contable" numFmtId="0">
      <sharedItems/>
    </cacheField>
    <cacheField name="Frente" numFmtId="0">
      <sharedItems/>
    </cacheField>
    <cacheField name="Features" numFmtId="0">
      <sharedItems containsNonDate="0" containsString="0" containsBlank="1"/>
    </cacheField>
    <cacheField name="HU" numFmtId="0">
      <sharedItems containsNonDate="0" containsString="0" containsBlank="1"/>
    </cacheField>
    <cacheField name="País" numFmtId="0">
      <sharedItems/>
    </cacheField>
    <cacheField name="Área" numFmtId="0">
      <sharedItems/>
    </cacheField>
    <cacheField name="Aprobación" numFmtId="0">
      <sharedItems/>
    </cacheField>
    <cacheField name="Progreso" numFmtId="0">
      <sharedItems/>
    </cacheField>
    <cacheField name="Prioridad Cliente" numFmtId="0">
      <sharedItems containsString="0" containsBlank="1" containsNumber="1" containsInteger="1" minValue="1" maxValue="26"/>
    </cacheField>
    <cacheField name="Prioridad_x000a_PO" numFmtId="0">
      <sharedItems/>
    </cacheField>
    <cacheField name="Dependencia " numFmtId="0">
      <sharedItems containsBlank="1"/>
    </cacheField>
    <cacheField name="Complejidad" numFmtId="0">
      <sharedItems containsBlank="1"/>
    </cacheField>
    <cacheField name="Factor País" numFmtId="0">
      <sharedItems containsString="0" containsBlank="1" containsNumber="1" containsInteger="1" minValue="1" maxValue="1"/>
    </cacheField>
    <cacheField name="Número_x000a_Semanas" numFmtId="0">
      <sharedItems containsSemiMixedTypes="0" containsString="0" containsNumber="1" containsInteger="1" minValue="2" maxValue="8"/>
    </cacheField>
    <cacheField name="Número_x000a_Personas" numFmtId="0">
      <sharedItems containsSemiMixedTypes="0" containsString="0" containsNumber="1" containsInteger="1" minValue="1" maxValue="2"/>
    </cacheField>
    <cacheField name="Costo_x000a_Mano Obra/semana" numFmtId="0">
      <sharedItems containsSemiMixedTypes="0" containsString="0" containsNumber="1" containsInteger="1" minValue="400" maxValue="550"/>
    </cacheField>
    <cacheField name="Otros _x000a_Costos" numFmtId="0">
      <sharedItems containsNonDate="0" containsString="0" containsBlank="1"/>
    </cacheField>
    <cacheField name="TOTAL" numFmtId="166">
      <sharedItems containsSemiMixedTypes="0" containsString="0" containsNumber="1" containsInteger="1" minValue="1680" maxValue="938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3">
  <r>
    <x v="0"/>
    <m/>
    <x v="0"/>
    <s v="Fidelización"/>
    <s v="Añadir Campos Fidelización"/>
    <s v="MXP LEGACY_x000a_MXP 2.0"/>
    <m/>
    <s v="Añadir campos al envio de fidelizacion. Añadir un campo adicional dentro del request de fidelización sobre MaxPoint"/>
    <s v="MEDIA"/>
    <x v="0"/>
    <x v="0"/>
    <s v="CAR"/>
    <x v="0"/>
    <s v="Jonathan Darquea"/>
    <s v="TRANSFORMACIÓN DIGITAL"/>
    <x v="0"/>
    <m/>
    <m/>
    <x v="0"/>
    <m/>
    <s v="BAJA"/>
    <m/>
    <n v="3"/>
    <n v="2"/>
    <n v="550"/>
    <m/>
    <n v="3300"/>
    <m/>
    <m/>
    <d v="2024-03-04T00:00:00"/>
    <d v="2024-03-11T00:00:00"/>
    <n v="7"/>
    <d v="2024-03-11T00:00:00"/>
    <d v="2024-03-18T00:00:00"/>
    <n v="362903"/>
    <d v="2024-03-18T00:00:00"/>
    <d v="2024-03-25T00:00:00"/>
    <d v="2024-04-01T00:00:00"/>
    <d v="2024-04-22T00:00:00"/>
    <n v="0.75"/>
    <n v="7"/>
    <m/>
    <m/>
    <m/>
  </r>
  <r>
    <x v="0"/>
    <m/>
    <x v="0"/>
    <s v="Motorizado Delivery"/>
    <s v="Picking Motorizado v2.0"/>
    <s v="MXP LEGACY"/>
    <m/>
    <s v="Nuevo Requerimiento (Ya levantado a Juan Daniel, documentación adjunta)"/>
    <s v="MEDIA"/>
    <x v="0"/>
    <x v="1"/>
    <s v="DSI"/>
    <x v="1"/>
    <s v="Davis Nuñez"/>
    <s v="DSI"/>
    <x v="0"/>
    <s v="No iniciado"/>
    <m/>
    <x v="1"/>
    <m/>
    <s v="ALTA"/>
    <n v="1"/>
    <n v="10"/>
    <n v="3"/>
    <n v="625"/>
    <m/>
    <n v="18750"/>
    <m/>
    <m/>
    <d v="2024-07-15T00:00:00"/>
    <d v="2024-07-22T00:00:00"/>
    <n v="7"/>
    <d v="2024-07-22T00:00:00"/>
    <d v="2024-07-29T00:00:00"/>
    <n v="363967"/>
    <d v="2024-07-29T00:00:00"/>
    <d v="2024-08-19T00:00:00"/>
    <d v="2024-07-01T00:00:00"/>
    <d v="2024-09-09T00:00:00"/>
    <n v="2.5"/>
    <n v="21"/>
    <m/>
    <m/>
    <m/>
  </r>
  <r>
    <x v="0"/>
    <m/>
    <x v="0"/>
    <s v="Kioscos"/>
    <s v="Kioskos wendys"/>
    <s v="MXP LEGACY_x000a_TRADE"/>
    <m/>
    <s v="Implementación de kioskos en todas las tiendas KFC y Wendys"/>
    <s v="MEDIA"/>
    <x v="1"/>
    <x v="1"/>
    <s v="DSI"/>
    <x v="2"/>
    <s v="Adrian Gadja"/>
    <s v="DSI"/>
    <x v="0"/>
    <s v="No iniciado"/>
    <m/>
    <x v="2"/>
    <s v="p35"/>
    <s v="MEDIA"/>
    <n v="1"/>
    <n v="8"/>
    <n v="2"/>
    <n v="550"/>
    <m/>
    <n v="9440"/>
    <m/>
    <m/>
    <d v="2024-03-18T00:00:00"/>
    <d v="2024-04-15T00:00:00"/>
    <n v="28"/>
    <d v="2024-04-15T00:00:00"/>
    <d v="2024-04-29T00:00:00"/>
    <n v="363190"/>
    <d v="2024-04-29T00:00:00"/>
    <d v="2024-05-13T00:00:00"/>
    <d v="2024-05-01T00:00:00"/>
    <d v="2024-06-26T00:00:00"/>
    <n v="2"/>
    <n v="14"/>
    <s v="PROYECTO REGIONAL"/>
    <m/>
    <s v="x"/>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3"/>
    <s v="Mychael Castro"/>
    <s v="DSI"/>
    <x v="0"/>
    <s v="No iniciado"/>
    <s v="Q1"/>
    <x v="0"/>
    <m/>
    <s v="MEDIA"/>
    <n v="1"/>
    <n v="12"/>
    <n v="1"/>
    <n v="550"/>
    <m/>
    <n v="7240"/>
    <m/>
    <m/>
    <d v="2024-03-04T00:00:00"/>
    <d v="2024-04-29T00:00:00"/>
    <n v="56"/>
    <d v="2024-04-29T00:00:00"/>
    <d v="2024-05-13T00:00:00"/>
    <n v="363302"/>
    <d v="2024-05-13T00:00:00"/>
    <d v="2024-05-27T00:00:00"/>
    <s v="Por confirmar"/>
    <e v="#VALUE!"/>
    <n v="3"/>
    <n v="14"/>
    <s v="PROYECTO REGIONAL"/>
    <m/>
    <s v="x"/>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0"/>
    <m/>
    <s v="DSI"/>
    <x v="0"/>
    <m/>
    <s v="Q1"/>
    <x v="0"/>
    <m/>
    <s v="MEDIA"/>
    <n v="1"/>
    <n v="6"/>
    <n v="1"/>
    <n v="550"/>
    <m/>
    <n v="3940"/>
    <m/>
    <m/>
    <d v="2024-03-04T00:00:00"/>
    <d v="2024-03-18T00:00:00"/>
    <n v="14"/>
    <d v="2024-03-18T00:00:00"/>
    <d v="2024-03-25T00:00:00"/>
    <n v="362959"/>
    <d v="2024-03-25T00:00:00"/>
    <d v="2024-04-08T00:00:00"/>
    <d v="2024-04-01T00:00:00"/>
    <d v="2024-05-13T00:00:00"/>
    <n v="1.5"/>
    <n v="14"/>
    <s v="PROYECTO REGIONAL"/>
    <m/>
    <s v="x"/>
  </r>
  <r>
    <x v="0"/>
    <m/>
    <x v="0"/>
    <s v="Appedir"/>
    <s v="Appedir Pedidos multiples Multimarca"/>
    <s v="MXP LEGACY_x000a_TRADE"/>
    <m/>
    <s v="Si hay en un mismo centro comercial 2, 3 o 4 marcas del grupo a traves de la Appedir se pueda hacer compras multiples. "/>
    <s v="BAJA"/>
    <x v="0"/>
    <x v="2"/>
    <s v="CAR"/>
    <x v="0"/>
    <s v="Daniel Barreno"/>
    <s v="TRANSFORMACIÓN DIGITAL"/>
    <x v="0"/>
    <s v="No iniciado"/>
    <s v="Q4"/>
    <x v="3"/>
    <s v="p71"/>
    <s v="ALTA"/>
    <m/>
    <n v="10"/>
    <n v="2"/>
    <n v="550"/>
    <m/>
    <n v="11640"/>
    <m/>
    <m/>
    <d v="2024-10-07T00:00:00"/>
    <d v="2024-11-18T00:00:00"/>
    <n v="42"/>
    <d v="2024-11-18T00:00:00"/>
    <d v="2024-12-02T00:00:00"/>
    <n v="364926"/>
    <d v="2024-12-02T00:00:00"/>
    <d v="2024-12-16T00:00:00"/>
    <d v="2024-10-01T00:00:00"/>
    <d v="2024-12-10T00:00:00"/>
    <n v="2.5"/>
    <n v="14"/>
    <s v="ECOMERCE"/>
    <m/>
    <s v="x"/>
  </r>
  <r>
    <x v="0"/>
    <m/>
    <x v="0"/>
    <s v="Appedir"/>
    <s v="Appedir y KFC cambios de Estado"/>
    <s v="MXP LEGACY_x000a_TRADE"/>
    <m/>
    <s v="Al finalizar una orden empiezan a llegar los cambios de estado seguidos, y no en el momento adecuado cuando el pedido esta en proceso. Revisar solución con DragonTail"/>
    <s v="MEDIA"/>
    <x v="0"/>
    <x v="2"/>
    <s v="CAR"/>
    <x v="0"/>
    <s v="Daniel Barreno"/>
    <s v="TRANSFORMACIÓN DIGITAL"/>
    <x v="0"/>
    <s v="No iniciado"/>
    <s v="Q1"/>
    <x v="2"/>
    <s v="p28"/>
    <s v="MEDIA"/>
    <m/>
    <n v="5"/>
    <n v="1"/>
    <n v="550"/>
    <m/>
    <n v="3390"/>
    <m/>
    <m/>
    <d v="2024-05-13T00:00:00"/>
    <d v="2024-06-03T00:00:00"/>
    <n v="21"/>
    <d v="2024-06-03T00:00:00"/>
    <d v="2024-06-10T00:00:00"/>
    <n v="363575"/>
    <d v="2024-06-10T00:00:00"/>
    <d v="2024-06-17T00:00:00"/>
    <d v="2024-05-01T00:00:00"/>
    <d v="2024-06-05T00:00:00"/>
    <n v="1.25"/>
    <n v="7"/>
    <s v="ECOMERCE"/>
    <m/>
    <s v="x"/>
  </r>
  <r>
    <x v="0"/>
    <m/>
    <x v="0"/>
    <s v="Fidelización"/>
    <s v="cheetah  KFC Fidelización (Lealtad Simple, puntos y tiers) + (cupones avanzandos) "/>
    <s v="MXP LEGACY_x000a_MXP 2.0_x000a_TRADE"/>
    <m/>
    <s v="Recepción de órdenes con descuentos y lealtad ***_x000a_Validar si BIG DATA se pega a CHEETAH. El POS va a tener afectación."/>
    <s v="ALTA"/>
    <x v="2"/>
    <x v="2"/>
    <s v="CAR"/>
    <x v="0"/>
    <s v="Daniel Barreno"/>
    <s v="TRANSFORMACIÓN DIGITAL"/>
    <x v="0"/>
    <s v="No iniciado"/>
    <s v="Q1"/>
    <x v="0"/>
    <s v="p29"/>
    <s v="MEDIA"/>
    <m/>
    <n v="6"/>
    <n v="1"/>
    <n v="550"/>
    <m/>
    <n v="3940"/>
    <m/>
    <m/>
    <d v="2024-05-13T00:00:00"/>
    <d v="2024-05-27T00:00:00"/>
    <n v="14"/>
    <d v="2024-05-27T00:00:00"/>
    <d v="2024-06-10T00:00:00"/>
    <n v="363526"/>
    <d v="2024-06-10T00:00:00"/>
    <d v="2024-06-17T00:00:00"/>
    <d v="2024-05-01T00:00:00"/>
    <d v="2024-06-12T00:00:00"/>
    <n v="1.5"/>
    <n v="7"/>
    <s v="ECOMERCE"/>
    <m/>
    <s v="x"/>
  </r>
  <r>
    <x v="0"/>
    <m/>
    <x v="1"/>
    <m/>
    <s v="Administración de Tarjetas crédito Kioskos"/>
    <m/>
    <m/>
    <m/>
    <m/>
    <x v="3"/>
    <x v="3"/>
    <s v="DSI"/>
    <x v="0"/>
    <s v="Vanessa Soria"/>
    <s v="DSI"/>
    <x v="0"/>
    <s v="No iniciado"/>
    <m/>
    <x v="3"/>
    <m/>
    <s v="BAJA"/>
    <m/>
    <n v="2"/>
    <n v="2"/>
    <n v="400"/>
    <m/>
    <n v="2240"/>
    <m/>
    <m/>
    <d v="2024-10-14T00:00:00"/>
    <d v="2024-10-25T00:00:00"/>
    <e v="#REF!"/>
    <d v="2024-10-29T00:00:00"/>
    <d v="2024-11-05T00:00:00"/>
    <d v="2898-09-02T00:00:00"/>
    <m/>
    <m/>
    <m/>
    <m/>
    <n v="0.5"/>
    <n v="0"/>
    <m/>
    <m/>
    <m/>
  </r>
  <r>
    <x v="0"/>
    <m/>
    <x v="0"/>
    <s v="Cupones"/>
    <s v="Consola  Administración QR Digitales (Cupones Promocionales) "/>
    <s v="MXP LEGACY_x000a_TRADE"/>
    <m/>
    <s v="Sustitución de cupones manuales"/>
    <s v="MEDIA"/>
    <x v="0"/>
    <x v="0"/>
    <s v="CAR"/>
    <x v="0"/>
    <s v="Andres Canelos / Ma. Paula Tapia"/>
    <s v="MERCADEO KFC"/>
    <x v="0"/>
    <s v="No iniciado"/>
    <n v="3"/>
    <x v="1"/>
    <s v="p56"/>
    <s v="MEDIA"/>
    <m/>
    <n v="10"/>
    <n v="1"/>
    <n v="550"/>
    <m/>
    <n v="6140"/>
    <m/>
    <m/>
    <d v="2024-07-22T00:00:00"/>
    <d v="2024-09-16T00:00:00"/>
    <n v="56"/>
    <d v="2024-09-16T00:00:00"/>
    <d v="2024-09-23T00:00:00"/>
    <n v="364415"/>
    <d v="2024-09-23T00:00:00"/>
    <d v="2024-09-30T00:00:00"/>
    <d v="2024-07-01T00:00:00"/>
    <d v="2024-09-09T00:00:00"/>
    <n v="2.5"/>
    <n v="7"/>
    <s v="Consultar si los cupones Digitales de Colombia se adaptan a esta solicitud."/>
    <m/>
    <s v="x"/>
  </r>
  <r>
    <x v="0"/>
    <m/>
    <x v="0"/>
    <s v="Motorizado Delivery"/>
    <s v="Control Motorizados/Agregadores [2] - Picking Agregadores QR"/>
    <s v="MXP LEGACY"/>
    <m/>
    <s v="Integracion Picking QR Agregadores"/>
    <s v="ALTA"/>
    <x v="1"/>
    <x v="1"/>
    <s v="DSI"/>
    <x v="0"/>
    <s v="Mychael Castro"/>
    <s v="DSI"/>
    <x v="0"/>
    <s v="En curso"/>
    <m/>
    <x v="0"/>
    <s v="p13"/>
    <s v="ALTA"/>
    <n v="1"/>
    <n v="6"/>
    <n v="1"/>
    <n v="550"/>
    <m/>
    <n v="3940"/>
    <m/>
    <m/>
    <d v="2024-03-04T00:00:00"/>
    <d v="2024-03-18T00:00:00"/>
    <n v="14"/>
    <d v="2024-03-18T00:00:00"/>
    <d v="2024-03-25T00:00:00"/>
    <n v="362959"/>
    <d v="2024-03-25T00:00:00"/>
    <d v="2024-04-01T00:00:00"/>
    <d v="2024-04-01T00:00:00"/>
    <d v="2024-05-13T00:00:00"/>
    <n v="1.5"/>
    <n v="7"/>
    <s v="PROYECTO REGIONAL"/>
    <m/>
    <m/>
  </r>
  <r>
    <x v="0"/>
    <m/>
    <x v="2"/>
    <m/>
    <s v="Implementación SAP Analytic Cloud + Datasphere"/>
    <m/>
    <m/>
    <s v="Contar con una herramienta de reporteria facil de implemantar y puedan utilizar los usuarios de SAP, sin mayor aporte del area de tecnologia"/>
    <m/>
    <x v="1"/>
    <x v="4"/>
    <s v="CAR"/>
    <x v="0"/>
    <s v="Diego Díaz"/>
    <s v="CONTABILIDAD"/>
    <x v="1"/>
    <m/>
    <s v="Q2"/>
    <x v="2"/>
    <m/>
    <s v="MEDIA"/>
    <n v="1"/>
    <n v="8"/>
    <n v="4"/>
    <n v="637.5"/>
    <n v="40000"/>
    <n v="60400"/>
    <n v="40000"/>
    <m/>
    <d v="2024-04-07T00:00:00"/>
    <d v="2024-05-14T00:00:00"/>
    <n v="37"/>
    <m/>
    <m/>
    <d v="1899-12-30T00:00:00"/>
    <m/>
    <m/>
    <m/>
    <m/>
    <n v="2"/>
    <n v="0"/>
    <m/>
    <m/>
    <m/>
  </r>
  <r>
    <x v="1"/>
    <m/>
    <x v="3"/>
    <m/>
    <s v="Cashless multiples formas de pago"/>
    <m/>
    <m/>
    <s v="A cargo de Javier Sánchez, se tiene un avance del 70%. Se ofreció entregar para  el 2 de enero."/>
    <m/>
    <x v="0"/>
    <x v="5"/>
    <s v="OPER"/>
    <x v="0"/>
    <s v="Operaciones Aeropuerto"/>
    <s v="AEROPUERTO UIO"/>
    <x v="2"/>
    <s v="En curso"/>
    <n v="4"/>
    <x v="0"/>
    <s v="Veronica Jácome indica que este proceso se encuentra suspendido por temas legales."/>
    <s v="BAJA"/>
    <n v="1"/>
    <n v="0"/>
    <n v="0"/>
    <n v="550"/>
    <m/>
    <n v="580"/>
    <m/>
    <m/>
    <d v="2024-02-26T00:00:00"/>
    <d v="2024-03-01T00:00:00"/>
    <d v="1900-01-03T00:00:00"/>
    <d v="2024-03-11T00:00:00"/>
    <d v="2024-03-22T00:00:00"/>
    <d v="2893-08-07T00:00:00"/>
    <d v="2024-03-25T00:00:00"/>
    <d v="2024-04-05T00:00:00"/>
    <m/>
    <m/>
    <n v="0"/>
    <n v="11"/>
    <s v="Eliminar"/>
    <m/>
    <m/>
  </r>
  <r>
    <x v="0"/>
    <m/>
    <x v="3"/>
    <m/>
    <s v="Restricción de digitación de formas de pago de agregadores"/>
    <s v="MXP 2.0"/>
    <m/>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x v="0"/>
    <x v="6"/>
    <s v="CAR"/>
    <x v="0"/>
    <s v="Vladimir Morillo"/>
    <s v="AUDITORIA"/>
    <x v="1"/>
    <s v="No iniciado"/>
    <n v="1"/>
    <x v="0"/>
    <s v="Socializar con auditoría que este proceso ya se encuentra implementado"/>
    <s v="BAJA"/>
    <n v="1"/>
    <n v="4"/>
    <n v="1"/>
    <n v="550"/>
    <m/>
    <n v="2780"/>
    <m/>
    <m/>
    <d v="2024-03-25T00:00:00"/>
    <d v="2024-04-22T00:00:00"/>
    <d v="1900-01-27T00:00:00"/>
    <d v="2024-04-23T00:00:00"/>
    <d v="2024-05-07T00:00:00"/>
    <d v="2894-07-20T00:00:00"/>
    <d v="2024-05-08T00:00:00"/>
    <d v="2024-05-22T00:00:00"/>
    <m/>
    <m/>
    <n v="1"/>
    <n v="14"/>
    <m/>
    <m/>
    <m/>
  </r>
  <r>
    <x v="0"/>
    <m/>
    <x v="1"/>
    <m/>
    <s v="Cupones de Cortesía, Dinero y Empleados"/>
    <m/>
    <m/>
    <s v="Digitalización de cupones de cortesía, dinero y empleados desde SIR"/>
    <m/>
    <x v="1"/>
    <x v="0"/>
    <s v="Funcionalidades Locales"/>
    <x v="2"/>
    <s v="William Villegas"/>
    <s v="AR"/>
    <x v="0"/>
    <s v="En curso"/>
    <m/>
    <x v="4"/>
    <m/>
    <m/>
    <m/>
    <m/>
    <m/>
    <m/>
    <m/>
    <n v="640"/>
    <m/>
    <m/>
    <m/>
    <m/>
    <e v="#REF!"/>
    <m/>
    <m/>
    <d v="1899-12-30T00:00:00"/>
    <m/>
    <m/>
    <m/>
    <m/>
    <n v="0"/>
    <n v="0"/>
    <m/>
    <m/>
    <m/>
  </r>
  <r>
    <x v="0"/>
    <s v="PE"/>
    <x v="1"/>
    <m/>
    <s v="Interfaces ERP - Maxpoint - SIR"/>
    <m/>
    <m/>
    <s v="Consume información de SIR y actualiza en SAP (Validar con Operaciones). Justificación en base a ahorros en stocks de seguridad"/>
    <m/>
    <x v="0"/>
    <x v="0"/>
    <s v="REGIONAL"/>
    <x v="2"/>
    <s v="Adrian Gadja / Juan Carlos Benalcazar"/>
    <s v="AR"/>
    <x v="0"/>
    <s v="No iniciado"/>
    <s v="Q2"/>
    <x v="1"/>
    <m/>
    <s v="MEDIA"/>
    <n v="1"/>
    <n v="4"/>
    <n v="3"/>
    <n v="600"/>
    <m/>
    <n v="7200"/>
    <m/>
    <m/>
    <m/>
    <m/>
    <n v="0"/>
    <m/>
    <m/>
    <n v="0"/>
    <m/>
    <m/>
    <m/>
    <m/>
    <n v="1"/>
    <n v="0"/>
    <m/>
    <m/>
    <m/>
  </r>
  <r>
    <x v="0"/>
    <m/>
    <x v="4"/>
    <m/>
    <s v="App Encuestas Fase 2"/>
    <m/>
    <m/>
    <s v="Asesoramiento a Equipo interno de Desarrollo Venezuela"/>
    <m/>
    <x v="0"/>
    <x v="0"/>
    <s v="DSI"/>
    <x v="4"/>
    <s v="Jhustin Vergara"/>
    <s v="VE"/>
    <x v="0"/>
    <s v="No iniciado"/>
    <m/>
    <x v="1"/>
    <m/>
    <s v="MEDIA"/>
    <n v="1"/>
    <n v="2"/>
    <n v="1"/>
    <n v="0"/>
    <m/>
    <n v="0"/>
    <m/>
    <m/>
    <d v="2024-04-14T00:00:00"/>
    <d v="2024-04-21T00:00:00"/>
    <e v="#REF!"/>
    <d v="2024-04-21T00:00:00"/>
    <d v="2024-04-24T00:00:00"/>
    <d v="2894-06-23T00:00:00"/>
    <d v="2024-04-24T00:00:00"/>
    <d v="2024-04-28T00:00:00"/>
    <m/>
    <m/>
    <n v="0.5"/>
    <n v="4"/>
    <m/>
    <m/>
    <m/>
  </r>
  <r>
    <x v="0"/>
    <m/>
    <x v="1"/>
    <m/>
    <s v="Mantenimiento Argentina"/>
    <m/>
    <m/>
    <m/>
    <m/>
    <x v="1"/>
    <x v="3"/>
    <s v="REGIONAL"/>
    <x v="2"/>
    <s v="Adrian Gadja"/>
    <s v="AR"/>
    <x v="0"/>
    <s v="En curso"/>
    <m/>
    <x v="3"/>
    <m/>
    <s v="MEDIA"/>
    <m/>
    <n v="36"/>
    <n v="1"/>
    <n v="190"/>
    <m/>
    <n v="7480"/>
    <m/>
    <m/>
    <d v="2024-03-01T00:00:00"/>
    <d v="2025-01-31T00:00:00"/>
    <e v="#REF!"/>
    <d v="2024-03-01T00:00:00"/>
    <d v="2025-01-31T00:00:00"/>
    <d v="2894-04-09T00:00:00"/>
    <m/>
    <m/>
    <m/>
    <m/>
    <n v="9"/>
    <n v="0"/>
    <m/>
    <m/>
    <m/>
  </r>
  <r>
    <x v="0"/>
    <m/>
    <x v="3"/>
    <m/>
    <s v="Arqueo de tiendas"/>
    <m/>
    <m/>
    <s v="reporte detallado que muestre los retiros y arqueos realizados por los locales, Billete, cantidad y valor "/>
    <m/>
    <x v="0"/>
    <x v="0"/>
    <s v="REGIONAL"/>
    <x v="3"/>
    <s v="William Villegas"/>
    <s v="CO"/>
    <x v="0"/>
    <s v="No iniciado"/>
    <m/>
    <x v="2"/>
    <m/>
    <s v="MEDIA"/>
    <n v="1"/>
    <n v="4"/>
    <n v="1"/>
    <n v="625"/>
    <m/>
    <n v="2500"/>
    <m/>
    <m/>
    <d v="2024-05-06T00:00:00"/>
    <d v="2024-05-17T00:00:00"/>
    <e v="#REF!"/>
    <d v="2024-05-20T00:00:00"/>
    <d v="2024-05-24T00:00:00"/>
    <d v="2895-02-11T00:00:00"/>
    <d v="2024-05-27T00:00:00"/>
    <d v="2024-05-31T00:00:00"/>
    <m/>
    <m/>
    <n v="1"/>
    <n v="4"/>
    <m/>
    <m/>
    <m/>
  </r>
  <r>
    <x v="0"/>
    <m/>
    <x v="0"/>
    <s v="Cupones"/>
    <s v="Cupones QR - Cupones por horario (marlon)"/>
    <s v="MXP LEGACY_x000a_TRADE"/>
    <m/>
    <s v="Compromiso Matriz Regional  (Argentina)_x000a_Integrar las pantallas del backoffice de Mxp_x000a_"/>
    <s v="ALTA"/>
    <x v="1"/>
    <x v="1"/>
    <s v="DSI"/>
    <x v="2"/>
    <s v="Mychael Castro - José Fernandez"/>
    <s v="DSI"/>
    <x v="0"/>
    <s v="No iniciado"/>
    <s v="Q1"/>
    <x v="0"/>
    <s v="p33"/>
    <s v="MEDIA"/>
    <n v="1"/>
    <n v="8"/>
    <n v="1"/>
    <n v="550"/>
    <m/>
    <n v="5040"/>
    <m/>
    <m/>
    <d v="2024-03-04T00:00:00"/>
    <d v="2024-04-01T00:00:00"/>
    <n v="28"/>
    <d v="2024-04-01T00:00:00"/>
    <d v="2024-04-08T00:00:00"/>
    <n v="363071"/>
    <d v="2024-04-08T00:00:00"/>
    <d v="2024-04-15T00:00:00"/>
    <d v="2024-04-01T00:00:00"/>
    <d v="2024-05-27T00:00:00"/>
    <n v="2"/>
    <n v="7"/>
    <s v="PROYECTO REGIONAL"/>
    <m/>
    <s v="x"/>
  </r>
  <r>
    <x v="0"/>
    <m/>
    <x v="0"/>
    <s v="Kioscos"/>
    <s v="Kioskos kfc"/>
    <s v="MXP LEGACY_x000a_TRADE"/>
    <m/>
    <s v="Implementación de kioskos en todas las tiendas KFC y Wendys "/>
    <s v="MEDIA"/>
    <x v="1"/>
    <x v="1"/>
    <s v="DSI"/>
    <x v="2"/>
    <s v="Adrian Gadja"/>
    <s v="DSI"/>
    <x v="0"/>
    <s v="No iniciado"/>
    <s v="Q1"/>
    <x v="2"/>
    <s v="p32"/>
    <s v="MEDIA"/>
    <n v="1"/>
    <n v="8"/>
    <n v="1"/>
    <n v="550"/>
    <m/>
    <n v="5040"/>
    <m/>
    <m/>
    <d v="2024-03-18T00:00:00"/>
    <d v="2024-04-15T00:00:00"/>
    <n v="28"/>
    <d v="2024-04-15T00:00:00"/>
    <d v="2024-04-29T00:00:00"/>
    <n v="363190"/>
    <d v="2024-04-29T00:00:00"/>
    <d v="2024-05-13T00:00:00"/>
    <d v="2024-05-01T00:00:00"/>
    <d v="2024-06-26T00:00:00"/>
    <n v="2"/>
    <n v="14"/>
    <s v="PROYECTO REGIONAL"/>
    <m/>
    <s v="x"/>
  </r>
  <r>
    <x v="0"/>
    <m/>
    <x v="0"/>
    <s v="Motorizado Delivery"/>
    <s v="Control Motorizados/Agregadores [2] - Depósito de Efectivo"/>
    <s v="MXP LEGACY"/>
    <m/>
    <s v="Compromiso Matriz Regional  (Argentina, Ecuador, Colombia, Venezuela)"/>
    <s v="ALTA"/>
    <x v="1"/>
    <x v="1"/>
    <s v="DSI"/>
    <x v="0"/>
    <s v="Mychael Castro"/>
    <s v="DSI"/>
    <x v="0"/>
    <s v="En curso"/>
    <m/>
    <x v="0"/>
    <s v="p14"/>
    <s v="ALTA"/>
    <n v="1"/>
    <n v="6"/>
    <n v="1"/>
    <n v="550"/>
    <m/>
    <n v="3940"/>
    <m/>
    <m/>
    <d v="2024-03-04T00:00:00"/>
    <d v="2024-04-01T00:00:00"/>
    <n v="28"/>
    <d v="2024-04-01T00:00:00"/>
    <d v="2024-04-08T00:00:00"/>
    <n v="363071"/>
    <d v="2024-04-08T00:00:00"/>
    <d v="2024-04-15T00:00:00"/>
    <d v="2024-04-01T00:00:00"/>
    <d v="2024-05-13T00:00:00"/>
    <n v="1.5"/>
    <n v="7"/>
    <s v="PROYECTO REGIONAL"/>
    <m/>
    <m/>
  </r>
  <r>
    <x v="0"/>
    <m/>
    <x v="0"/>
    <s v="Motorizado Delivery"/>
    <s v="Control Motorizados/Agregadores [2] - Picking Agregadores QR"/>
    <s v="MXP LEGACY"/>
    <m/>
    <s v="Integracion Picking QR Agregadores"/>
    <s v="ALTA"/>
    <x v="1"/>
    <x v="1"/>
    <s v="DSI"/>
    <x v="2"/>
    <s v="Mychael Castro"/>
    <s v="DSI"/>
    <x v="0"/>
    <s v="No iniciado"/>
    <m/>
    <x v="0"/>
    <s v="p13"/>
    <s v="ALTA"/>
    <n v="1"/>
    <n v="6"/>
    <n v="1"/>
    <n v="550"/>
    <m/>
    <n v="3940"/>
    <m/>
    <m/>
    <d v="2024-02-26T00:00:00"/>
    <d v="2024-03-25T00:00:00"/>
    <n v="28"/>
    <d v="2024-03-25T00:00:00"/>
    <d v="2024-04-01T00:00:00"/>
    <n v="363015"/>
    <d v="2024-04-01T00:00:00"/>
    <d v="2024-04-08T00:00:00"/>
    <d v="2024-04-01T00:00:00"/>
    <d v="2024-05-13T00:00:00"/>
    <n v="1.5"/>
    <n v="7"/>
    <s v="PROYECTO REGIONAL"/>
    <m/>
    <m/>
  </r>
  <r>
    <x v="0"/>
    <m/>
    <x v="0"/>
    <s v="Cupones"/>
    <s v="Cupones impresos fuera de la App"/>
    <s v="MXP LEGACY_x000a_TRADE"/>
    <m/>
    <s v="Cupones impresos fuera de la App"/>
    <s v="MEDIA"/>
    <x v="0"/>
    <x v="0"/>
    <s v="CAR"/>
    <x v="0"/>
    <s v="Andres Canelos / Ma. Paula Tapia"/>
    <s v="MERCADEO KFC"/>
    <x v="0"/>
    <s v="No iniciado"/>
    <n v="5"/>
    <x v="3"/>
    <s v="p70"/>
    <s v="ALTA"/>
    <m/>
    <n v="12"/>
    <n v="1"/>
    <n v="550"/>
    <m/>
    <n v="7240"/>
    <m/>
    <m/>
    <d v="2024-10-07T00:00:00"/>
    <d v="2024-11-25T00:00:00"/>
    <n v="49"/>
    <d v="2024-11-25T00:00:00"/>
    <d v="2024-12-09T00:00:00"/>
    <n v="364982"/>
    <d v="2024-12-09T00:00:00"/>
    <d v="2024-12-16T00:00:00"/>
    <d v="2024-10-01T00:00:00"/>
    <d v="2024-12-24T00:00:00"/>
    <n v="3"/>
    <n v="7"/>
    <m/>
    <m/>
    <s v="x"/>
  </r>
  <r>
    <x v="0"/>
    <m/>
    <x v="0"/>
    <s v="Motorizado Delivery"/>
    <s v="Control Motorizados/Agregadores [2] - Depósito de Efectivo"/>
    <s v="MXP LEGACY"/>
    <m/>
    <s v="Compromiso Matriz Regional  (Argentina, Ecuador, Colombia, Venezuela)"/>
    <s v="ALTA"/>
    <x v="1"/>
    <x v="1"/>
    <s v="DSI"/>
    <x v="2"/>
    <s v="Mychael Castro"/>
    <s v="DSI"/>
    <x v="0"/>
    <s v="No iniciado"/>
    <m/>
    <x v="0"/>
    <s v="p14"/>
    <s v="ALTA"/>
    <n v="1"/>
    <n v="6"/>
    <n v="1"/>
    <n v="550"/>
    <m/>
    <n v="3940"/>
    <m/>
    <m/>
    <d v="2024-03-04T00:00:00"/>
    <d v="2024-04-01T00:00:00"/>
    <n v="28"/>
    <d v="2024-04-01T00:00:00"/>
    <d v="2024-04-08T00:00:00"/>
    <n v="363071"/>
    <d v="2024-04-08T00:00:00"/>
    <d v="2024-04-15T00:00:00"/>
    <d v="2024-04-01T00:00:00"/>
    <d v="2024-05-13T00:00:00"/>
    <n v="1.5"/>
    <n v="7"/>
    <s v="PROYECTO REGIONAL"/>
    <m/>
    <m/>
  </r>
  <r>
    <x v="0"/>
    <m/>
    <x v="0"/>
    <s v="Cupones"/>
    <s v="Cupones QR - Empresariales"/>
    <s v="MXP LEGACY_x000a_TRADE"/>
    <m/>
    <s v="Compromiso Matriz Regional  (Ecuador, Argentina) (api v3 cupones)"/>
    <s v="MEDIA"/>
    <x v="1"/>
    <x v="1"/>
    <s v="DSI"/>
    <x v="0"/>
    <s v="Mychael Castro - José Fernandez"/>
    <s v="DSI"/>
    <x v="0"/>
    <s v="En curso"/>
    <m/>
    <x v="2"/>
    <s v="P37"/>
    <s v="MEDIA"/>
    <n v="1"/>
    <n v="4"/>
    <n v="1"/>
    <n v="550"/>
    <m/>
    <n v="2840"/>
    <m/>
    <m/>
    <d v="2024-04-01T00:00:00"/>
    <d v="2024-04-15T00:00:00"/>
    <n v="14"/>
    <d v="2024-04-15T00:00:00"/>
    <d v="2024-04-22T00:00:00"/>
    <n v="363183"/>
    <d v="2024-04-22T00:00:00"/>
    <d v="2024-04-29T00:00:00"/>
    <d v="2024-04-01T00:00:00"/>
    <d v="2024-04-29T00:00:00"/>
    <n v="1"/>
    <n v="7"/>
    <s v="PROYECTO REGIONAL"/>
    <m/>
    <m/>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4"/>
    <s v="Mychael Castro"/>
    <s v="DSI"/>
    <x v="0"/>
    <s v="No iniciado"/>
    <m/>
    <x v="0"/>
    <m/>
    <s v="MEDIA"/>
    <n v="1"/>
    <n v="4"/>
    <n v="1"/>
    <n v="550"/>
    <m/>
    <n v="2840"/>
    <m/>
    <m/>
    <d v="2024-03-04T00:00:00"/>
    <d v="2024-04-01T00:00:00"/>
    <n v="28"/>
    <d v="2024-04-01T00:00:00"/>
    <d v="2024-04-08T00:00:00"/>
    <n v="363071"/>
    <d v="2024-04-08T00:00:00"/>
    <d v="2024-04-15T00:00:00"/>
    <d v="2024-04-01T00:00:00"/>
    <d v="2024-04-29T00:00:00"/>
    <n v="1"/>
    <n v="7"/>
    <m/>
    <m/>
    <s v="x"/>
  </r>
  <r>
    <x v="0"/>
    <m/>
    <x v="0"/>
    <s v="Cupones"/>
    <s v="Cupones QR - V3 Centralizada (App KFC) "/>
    <s v="MXP LEGACY_x000a_TRADE"/>
    <m/>
    <s v="Compromiso Matriz Regional  (Argentina, )"/>
    <s v="MEDIA"/>
    <x v="1"/>
    <x v="1"/>
    <s v="DSI"/>
    <x v="2"/>
    <s v="Mychael Castro - José Fernandez"/>
    <s v="DSI"/>
    <x v="0"/>
    <s v="No iniciado"/>
    <m/>
    <x v="0"/>
    <m/>
    <s v="MEDIA"/>
    <n v="1"/>
    <n v="6"/>
    <n v="1"/>
    <n v="550"/>
    <m/>
    <n v="3940"/>
    <m/>
    <m/>
    <d v="2024-03-04T00:00:00"/>
    <d v="2024-04-01T00:00:00"/>
    <n v="28"/>
    <d v="2024-04-01T00:00:00"/>
    <d v="2024-04-08T00:00:00"/>
    <n v="363071"/>
    <d v="2024-04-08T00:00:00"/>
    <d v="2024-04-15T00:00:00"/>
    <d v="2024-04-01T00:00:00"/>
    <d v="2024-05-13T00:00:00"/>
    <n v="1.5"/>
    <n v="7"/>
    <s v="PROYECTO REGIONAL"/>
    <m/>
    <m/>
  </r>
  <r>
    <x v="0"/>
    <m/>
    <x v="0"/>
    <s v="Motorizado Delivery"/>
    <s v="Control Motorizados/Agregadores [2] - Depósito de Efectivo"/>
    <s v="MXP LEGACY"/>
    <m/>
    <s v="Compromiso Matriz Regional  (Argentina, Ecuador, Colombia, Venezuela)"/>
    <s v="ALTA"/>
    <x v="1"/>
    <x v="1"/>
    <s v="DSI"/>
    <x v="4"/>
    <s v="Mychael Castro"/>
    <s v="DSI"/>
    <x v="0"/>
    <s v="En curso"/>
    <m/>
    <x v="0"/>
    <s v="p14"/>
    <s v="ALTA"/>
    <n v="1"/>
    <n v="6"/>
    <n v="1"/>
    <n v="550"/>
    <m/>
    <n v="3940"/>
    <m/>
    <m/>
    <d v="2024-03-04T00:00:00"/>
    <d v="2024-04-01T00:00:00"/>
    <n v="28"/>
    <d v="2024-04-01T00:00:00"/>
    <d v="2024-04-08T00:00:00"/>
    <n v="363071"/>
    <d v="2024-04-08T00:00:00"/>
    <d v="2024-04-15T00:00:00"/>
    <d v="2024-04-01T00:00:00"/>
    <d v="2024-05-13T00:00:00"/>
    <n v="1.5"/>
    <n v="7"/>
    <s v="PROYECTO REGIONAL"/>
    <m/>
    <m/>
  </r>
  <r>
    <x v="0"/>
    <m/>
    <x v="0"/>
    <s v="Cupones"/>
    <s v="Unificación de Cupones QR y Online"/>
    <s v="MXP LEGACY_x000a_TRADE"/>
    <m/>
    <s v="Mejorar la densidad de todos los códigos QR"/>
    <s v="BAJA"/>
    <x v="4"/>
    <x v="2"/>
    <s v="CAR"/>
    <x v="0"/>
    <s v="Daniel Barreno"/>
    <s v="TRANSFORMACIÓN DIGITAL"/>
    <x v="0"/>
    <s v="No iniciado"/>
    <e v="#N/A"/>
    <x v="3"/>
    <s v="p75"/>
    <s v="MEDIA"/>
    <n v="1"/>
    <n v="6"/>
    <n v="1"/>
    <n v="550"/>
    <m/>
    <n v="3940"/>
    <m/>
    <m/>
    <d v="2024-03-04T00:00:00"/>
    <d v="2024-04-01T00:00:00"/>
    <n v="28"/>
    <d v="2024-04-01T00:00:00"/>
    <d v="2024-04-08T00:00:00"/>
    <n v="363071"/>
    <d v="2024-04-08T00:00:00"/>
    <d v="2024-04-15T00:00:00"/>
    <d v="2024-05-01T00:00:00"/>
    <d v="2024-06-12T00:00:00"/>
    <n v="1.5"/>
    <n v="7"/>
    <s v="PROYECTO REGIONAL"/>
    <m/>
    <s v="x"/>
  </r>
  <r>
    <x v="0"/>
    <m/>
    <x v="0"/>
    <s v="Cupones"/>
    <s v="Cupones QR - V3 Centralizada (App KFC) "/>
    <s v="MXP LEGACY_x000a_TRADE"/>
    <m/>
    <s v="Compromiso Matriz Regional  ( venezuela)"/>
    <s v="MEDIA"/>
    <x v="1"/>
    <x v="1"/>
    <s v="DSI"/>
    <x v="4"/>
    <s v="Mychael Castro - José Fernandez"/>
    <s v="DSI"/>
    <x v="0"/>
    <s v="En curso"/>
    <m/>
    <x v="0"/>
    <m/>
    <s v="MEDIA"/>
    <n v="1"/>
    <n v="6"/>
    <n v="1"/>
    <n v="550"/>
    <m/>
    <n v="3940"/>
    <m/>
    <m/>
    <d v="2024-03-04T00:00:00"/>
    <d v="2024-04-01T00:00:00"/>
    <n v="28"/>
    <d v="2024-04-01T00:00:00"/>
    <d v="2024-04-08T00:00:00"/>
    <n v="363071"/>
    <d v="2024-04-08T00:00:00"/>
    <d v="2024-04-15T00:00:00"/>
    <d v="2024-04-01T00:00:00"/>
    <d v="2024-05-13T00:00:00"/>
    <n v="1.5"/>
    <n v="7"/>
    <s v="PROYECTO REGIONAL"/>
    <m/>
    <m/>
  </r>
  <r>
    <x v="0"/>
    <m/>
    <x v="0"/>
    <s v="Cupones"/>
    <s v="Unificación de Cupones QR y Online"/>
    <s v="MXP LEGACY_x000a_TRADE"/>
    <m/>
    <s v="Mejorar la densidad de todos los códigos QR"/>
    <s v="BAJA"/>
    <x v="1"/>
    <x v="2"/>
    <s v="CAR"/>
    <x v="2"/>
    <s v="Daniel Barreno"/>
    <s v="TRANSFORMACIÓN DIGITAL"/>
    <x v="0"/>
    <s v="No iniciado"/>
    <e v="#N/A"/>
    <x v="3"/>
    <s v="p75"/>
    <s v="MEDIA"/>
    <n v="1"/>
    <n v="6"/>
    <n v="1"/>
    <n v="550"/>
    <m/>
    <n v="3940"/>
    <m/>
    <m/>
    <d v="2024-04-08T00:00:00"/>
    <d v="2024-04-15T00:00:00"/>
    <n v="7"/>
    <d v="2024-04-15T00:00:00"/>
    <d v="2024-04-22T00:00:00"/>
    <n v="363183"/>
    <d v="2024-04-22T00:00:00"/>
    <d v="2024-04-29T00:00:00"/>
    <d v="2024-05-01T00:00:00"/>
    <d v="2024-06-12T00:00:00"/>
    <n v="1.5"/>
    <n v="7"/>
    <s v="PROYECTO REGIONAL"/>
    <m/>
    <s v="x"/>
  </r>
  <r>
    <x v="0"/>
    <m/>
    <x v="0"/>
    <s v="Cupones"/>
    <s v="Unificación de Cupones QR y Online"/>
    <s v="MXP LEGACY_x000a_TRADE"/>
    <m/>
    <s v="Mejorar la densidad de todos los códigos QR"/>
    <s v="BAJA"/>
    <x v="1"/>
    <x v="2"/>
    <s v="CAR"/>
    <x v="1"/>
    <s v="Daniel Barreno"/>
    <s v="TRANSFORMACIÓN DIGITAL"/>
    <x v="0"/>
    <s v="No iniciado"/>
    <e v="#N/A"/>
    <x v="3"/>
    <s v="p75"/>
    <s v="MEDIA"/>
    <n v="1"/>
    <n v="5"/>
    <n v="1"/>
    <n v="550"/>
    <m/>
    <n v="3390"/>
    <m/>
    <m/>
    <d v="2024-04-08T00:00:00"/>
    <d v="2024-04-15T00:00:00"/>
    <n v="7"/>
    <d v="2024-04-15T00:00:00"/>
    <d v="2024-04-22T00:00:00"/>
    <n v="363183"/>
    <d v="2024-04-22T00:00:00"/>
    <d v="2024-05-13T00:00:00"/>
    <d v="2024-05-01T00:00:00"/>
    <d v="2024-06-05T00:00:00"/>
    <n v="1.25"/>
    <n v="21"/>
    <s v="PROYECTO REGIONAL"/>
    <m/>
    <s v="x"/>
  </r>
  <r>
    <x v="0"/>
    <m/>
    <x v="0"/>
    <s v="Cupones"/>
    <s v="Unificación de Cupones QR y Online"/>
    <s v="MXP LEGACY_x000a_TRADE"/>
    <m/>
    <s v="Mejorar la densidad de todos los códigos QR"/>
    <s v="BAJA"/>
    <x v="1"/>
    <x v="2"/>
    <s v="CAR"/>
    <x v="3"/>
    <s v="Daniel Barreno"/>
    <s v="TRANSFORMACIÓN DIGITAL"/>
    <x v="0"/>
    <s v="No iniciado"/>
    <e v="#N/A"/>
    <x v="3"/>
    <s v="p75"/>
    <s v="MEDIA"/>
    <n v="1"/>
    <n v="6"/>
    <n v="1"/>
    <n v="550"/>
    <m/>
    <n v="3940"/>
    <m/>
    <m/>
    <d v="2024-04-08T00:00:00"/>
    <d v="2024-04-15T00:00:00"/>
    <n v="7"/>
    <d v="2024-04-15T00:00:00"/>
    <d v="2024-04-22T00:00:00"/>
    <n v="363183"/>
    <d v="2024-04-22T00:00:00"/>
    <d v="2024-04-29T00:00:00"/>
    <d v="2024-05-01T00:00:00"/>
    <d v="2024-06-12T00:00:00"/>
    <n v="1.5"/>
    <n v="7"/>
    <s v="PROYECTO REGIONAL"/>
    <m/>
    <s v="x"/>
  </r>
  <r>
    <x v="0"/>
    <m/>
    <x v="0"/>
    <s v="Formas de Pago"/>
    <s v="DEUNA BANCO DEL PICHINCHA KFC"/>
    <s v="MXP LEGACY"/>
    <m/>
    <s v="Depende de ejecución de proyecto de integración multimarca (aprox marzo)"/>
    <s v="MEDIA"/>
    <x v="4"/>
    <x v="2"/>
    <s v="CAR"/>
    <x v="0"/>
    <s v="Andres Canelos / Ma. Paula Tapia"/>
    <s v="MERCADEO KFC"/>
    <x v="0"/>
    <s v="No iniciado"/>
    <n v="1"/>
    <x v="2"/>
    <s v="Finalizacion DEUNA Multimarca"/>
    <s v="ALTA"/>
    <m/>
    <n v="3"/>
    <n v="1"/>
    <n v="550"/>
    <m/>
    <n v="1650"/>
    <m/>
    <m/>
    <d v="2024-03-25T00:00:00"/>
    <d v="2024-03-25T00:00:00"/>
    <n v="0"/>
    <d v="2024-03-25T00:00:00"/>
    <d v="2024-04-01T00:00:00"/>
    <n v="363015"/>
    <d v="2024-04-01T00:00:00"/>
    <d v="2024-04-08T00:00:00"/>
    <d v="2024-05-01T00:00:00"/>
    <d v="2024-05-22T00:00:00"/>
    <n v="0.75"/>
    <n v="7"/>
    <s v="Costo Undido (lo realizará Soporte App)"/>
    <m/>
    <m/>
  </r>
  <r>
    <x v="0"/>
    <m/>
    <x v="0"/>
    <s v="Formas de Pago"/>
    <s v="DEUNA BANCO DEL PICHINCHA Multimarca"/>
    <s v="MXP LEGACY"/>
    <m/>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x v="4"/>
    <x v="2"/>
    <s v="CAR"/>
    <x v="0"/>
    <s v="Doménica Bucheli"/>
    <s v="MERCADEO OTRAS MARCAS"/>
    <x v="0"/>
    <s v="Finalizado"/>
    <m/>
    <x v="0"/>
    <s v="p16"/>
    <s v="ALTA"/>
    <m/>
    <n v="5"/>
    <n v="2"/>
    <n v="550"/>
    <m/>
    <n v="6140"/>
    <m/>
    <m/>
    <d v="2024-01-05T00:00:00"/>
    <d v="2024-02-26T00:00:00"/>
    <n v="52"/>
    <d v="2024-02-26T00:00:00"/>
    <d v="2024-03-01T00:00:00"/>
    <n v="362788"/>
    <d v="2024-03-01T00:00:00"/>
    <d v="2024-03-08T00:00:00"/>
    <s v="NA"/>
    <e v="#VALUE!"/>
    <n v="1.25"/>
    <n v="7"/>
    <m/>
    <m/>
    <m/>
  </r>
  <r>
    <x v="0"/>
    <m/>
    <x v="3"/>
    <m/>
    <s v="Automatización de Drive through"/>
    <m/>
    <m/>
    <s v="Reconocer la placa del cliente para mediante api obtener datos del mismo y referencia de ultimos consumos realizados (permite modificar el speach comercial en la atención)"/>
    <m/>
    <x v="0"/>
    <x v="0"/>
    <s v="REGIONAL"/>
    <x v="4"/>
    <s v="Justin Vergara"/>
    <s v="VE"/>
    <x v="0"/>
    <s v="No iniciado"/>
    <m/>
    <x v="1"/>
    <s v="Fidelización del cliente en MXP.  API de placas. División en 2 fases."/>
    <s v="ALTA"/>
    <n v="1"/>
    <n v="8"/>
    <n v="3"/>
    <n v="550"/>
    <m/>
    <n v="13200"/>
    <m/>
    <m/>
    <d v="2024-07-01T00:00:00"/>
    <d v="2024-08-23T00:00:00"/>
    <e v="#REF!"/>
    <d v="2024-08-26T00:00:00"/>
    <d v="2024-08-30T00:00:00"/>
    <n v="364244"/>
    <d v="2024-09-02T00:00:00"/>
    <d v="2024-09-04T00:00:00"/>
    <m/>
    <m/>
    <n v="2"/>
    <n v="2"/>
    <m/>
    <m/>
    <m/>
  </r>
  <r>
    <x v="0"/>
    <m/>
    <x v="0"/>
    <s v="Cupones"/>
    <s v="Establecer órden de cupones (Soporte Cupones)"/>
    <s v="MXP LEGACY_x000a_TRADE"/>
    <m/>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x v="4"/>
    <x v="2"/>
    <s v="CAR"/>
    <x v="0"/>
    <s v="Andres Canelos / Ma. Paula Tapia"/>
    <s v="MERCADEO KFC"/>
    <x v="0"/>
    <s v="En curso"/>
    <n v="0"/>
    <x v="0"/>
    <m/>
    <s v="MEDIA"/>
    <m/>
    <n v="6"/>
    <n v="1"/>
    <n v="550"/>
    <m/>
    <n v="3940"/>
    <m/>
    <m/>
    <d v="2024-03-11T00:00:00"/>
    <d v="2024-03-11T00:00:00"/>
    <n v="0"/>
    <d v="2024-03-11T00:00:00"/>
    <d v="2024-03-18T00:00:00"/>
    <n v="362903"/>
    <d v="2024-03-18T00:00:00"/>
    <d v="2024-03-25T00:00:00"/>
    <d v="2024-04-01T00:00:00"/>
    <d v="2024-05-13T00:00:00"/>
    <n v="1.5"/>
    <n v="7"/>
    <s v="Funcionalidad Lista"/>
    <m/>
    <s v="x"/>
  </r>
  <r>
    <x v="0"/>
    <m/>
    <x v="0"/>
    <s v="Fidelización"/>
    <s v="Fidelización en local Appedir"/>
    <s v="MXP LEGACY_x000a_MXP 2.0_x000a_TRADE"/>
    <m/>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x v="4"/>
    <x v="2"/>
    <s v="CAR"/>
    <x v="0"/>
    <s v="Daniel Barreno"/>
    <s v="TRANSFORMACIÓN DIGITAL"/>
    <x v="0"/>
    <s v="No iniciado"/>
    <e v="#N/A"/>
    <x v="0"/>
    <s v="p62"/>
    <s v="MEDIA"/>
    <m/>
    <n v="10"/>
    <n v="2"/>
    <n v="550"/>
    <m/>
    <n v="11640"/>
    <m/>
    <m/>
    <d v="2024-02-26T00:00:00"/>
    <d v="2024-03-11T00:00:00"/>
    <n v="14"/>
    <d v="2024-03-11T00:00:00"/>
    <d v="2024-03-18T00:00:00"/>
    <n v="362903"/>
    <d v="2024-03-18T00:00:00"/>
    <d v="2024-03-25T00:00:00"/>
    <d v="2024-04-01T00:00:00"/>
    <d v="2024-06-10T00:00:00"/>
    <n v="2.5"/>
    <n v="7"/>
    <s v="ECOMERCE"/>
    <m/>
    <s v="x"/>
  </r>
  <r>
    <x v="0"/>
    <m/>
    <x v="0"/>
    <s v="Fidelización"/>
    <s v="Fidelización JV, (QA Formas de pago)"/>
    <s v="TRADE"/>
    <m/>
    <s v="Paymentez Diners y Discover._x000a_"/>
    <s v="BAJA"/>
    <x v="4"/>
    <x v="2"/>
    <s v="CAR"/>
    <x v="0"/>
    <s v="Daniel Barreno"/>
    <s v="TRANSFORMACIÓN DIGITAL"/>
    <x v="0"/>
    <s v="No iniciado"/>
    <e v="#N/A"/>
    <x v="1"/>
    <s v="p26"/>
    <s v="BAJA"/>
    <m/>
    <n v="2"/>
    <n v="1"/>
    <n v="550"/>
    <m/>
    <n v="1100"/>
    <m/>
    <m/>
    <d v="2024-08-19T00:00:00"/>
    <d v="2024-08-19T00:00:00"/>
    <n v="0"/>
    <d v="2024-08-19T00:00:00"/>
    <d v="2024-08-26T00:00:00"/>
    <n v="364191"/>
    <d v="2024-08-26T00:00:00"/>
    <d v="2024-09-02T00:00:00"/>
    <d v="2024-08-01T00:00:00"/>
    <d v="2024-08-15T00:00:00"/>
    <n v="0.5"/>
    <n v="7"/>
    <s v="ECOMERCE"/>
    <m/>
    <s v="x"/>
  </r>
  <r>
    <x v="0"/>
    <m/>
    <x v="0"/>
    <s v="DragonTail"/>
    <s v="Funcionalidades APP Chile_x000a_Envío Tracker id Dragon Tail"/>
    <s v="MXP LEGACY_x000a_MXP 2.0"/>
    <m/>
    <s v="Enviar el url del tracker id (Dragon Tail) a la app de kfc con el api de cambios de estado"/>
    <s v="MEDIA"/>
    <x v="0"/>
    <x v="2"/>
    <s v="CAR"/>
    <x v="1"/>
    <s v="Daniel Barreno"/>
    <s v="TRANSFORMACIÓN DIGITAL"/>
    <x v="0"/>
    <s v="No iniciado"/>
    <s v="Q2"/>
    <x v="3"/>
    <s v="p74"/>
    <s v="MEDIA"/>
    <m/>
    <n v="5"/>
    <n v="1"/>
    <n v="550"/>
    <m/>
    <n v="3390"/>
    <m/>
    <m/>
    <d v="2024-10-07T00:00:00"/>
    <d v="2024-10-21T00:00:00"/>
    <n v="14"/>
    <d v="2024-10-21T00:00:00"/>
    <d v="2024-10-28T00:00:00"/>
    <n v="364695"/>
    <d v="2024-10-28T00:00:00"/>
    <d v="2024-11-11T00:00:00"/>
    <d v="2024-10-01T00:00:00"/>
    <d v="2024-11-05T00:00:00"/>
    <n v="1.25"/>
    <n v="14"/>
    <s v="ECOMERCE"/>
    <m/>
    <s v="x"/>
  </r>
  <r>
    <x v="0"/>
    <m/>
    <x v="0"/>
    <s v="Kioscos"/>
    <s v="Datos dinamicos de facturación en Kioscos"/>
    <s v="MXP LEGACY_x000a_TRADE"/>
    <m/>
    <s v="Enviar en un EndPoint los datos que debe solicitar el kiosko segun el pais"/>
    <s v="BAJA"/>
    <x v="1"/>
    <x v="2"/>
    <s v="CAR"/>
    <x v="4"/>
    <s v="Daniel Barreno"/>
    <s v="TRANSFORMACIÓN DIGITAL"/>
    <x v="0"/>
    <s v="No iniciado"/>
    <s v="Q4"/>
    <x v="3"/>
    <s v="p73"/>
    <s v="MEDIA"/>
    <n v="1"/>
    <n v="7"/>
    <n v="1"/>
    <n v="550"/>
    <m/>
    <n v="4490"/>
    <m/>
    <m/>
    <d v="2024-11-18T00:00:00"/>
    <d v="2024-12-02T00:00:00"/>
    <n v="14"/>
    <d v="2024-12-02T00:00:00"/>
    <d v="2024-12-09T00:00:00"/>
    <n v="365031"/>
    <d v="2024-12-09T00:00:00"/>
    <d v="2024-12-16T00:00:00"/>
    <d v="2024-11-01T00:00:00"/>
    <d v="2024-12-20T00:00:00"/>
    <n v="1.75"/>
    <n v="7"/>
    <s v="PROYECTO REGIONAL"/>
    <m/>
    <s v="x"/>
  </r>
  <r>
    <x v="0"/>
    <m/>
    <x v="0"/>
    <s v="Kioscos"/>
    <s v="Datos dinamicos de facturación en Kioscos"/>
    <s v="MXP LEGACY_x000a_TRADE"/>
    <m/>
    <s v="Enviar en un EndPoint los datos que debe solicitar el kiosko segun el pais"/>
    <s v="BAJA"/>
    <x v="4"/>
    <x v="2"/>
    <s v="CAR"/>
    <x v="0"/>
    <s v="Daniel Barreno"/>
    <s v="TRANSFORMACIÓN DIGITAL"/>
    <x v="0"/>
    <s v="No iniciado"/>
    <s v="Q4"/>
    <x v="3"/>
    <s v="p73"/>
    <s v="MEDIA"/>
    <n v="1"/>
    <n v="7"/>
    <n v="1"/>
    <n v="550"/>
    <m/>
    <n v="4490"/>
    <m/>
    <m/>
    <d v="2024-10-14T00:00:00"/>
    <d v="2024-11-11T00:00:00"/>
    <n v="28"/>
    <d v="2024-11-11T00:00:00"/>
    <d v="2024-11-18T00:00:00"/>
    <n v="364863"/>
    <d v="2024-11-18T00:00:00"/>
    <d v="2024-11-25T00:00:00"/>
    <d v="2024-10-01T00:00:00"/>
    <d v="2024-11-19T00:00:00"/>
    <n v="1.7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4"/>
    <s v="Daniel Barreno"/>
    <s v="TRANSFORMACIÓN DIGITAL"/>
    <x v="0"/>
    <s v="No iniciado"/>
    <e v="#N/A"/>
    <x v="1"/>
    <s v="p44"/>
    <s v="MEDIA"/>
    <n v="1"/>
    <n v="3"/>
    <n v="1"/>
    <n v="550"/>
    <m/>
    <n v="2290"/>
    <m/>
    <m/>
    <d v="2024-09-02T00:00:00"/>
    <d v="2024-09-09T00:00:00"/>
    <n v="7"/>
    <d v="2024-09-09T00:00:00"/>
    <d v="2024-09-16T00:00:00"/>
    <n v="364359"/>
    <d v="2024-09-16T00:00:00"/>
    <d v="2024-09-23T00:00:00"/>
    <d v="2024-09-01T00:00:00"/>
    <d v="2024-09-22T00:00:00"/>
    <n v="0.75"/>
    <n v="7"/>
    <s v="PROYECTO REGIONAL"/>
    <m/>
    <s v="x"/>
  </r>
  <r>
    <x v="0"/>
    <m/>
    <x v="0"/>
    <s v="Kioscos"/>
    <s v="Datos dinamicos de facturación en Kioscos"/>
    <s v="MXP LEGACY_x000a_TRADE"/>
    <m/>
    <s v="Enviar en un EndPoint los datos que debe solicitar el kiosko segun el pais"/>
    <s v="BAJA"/>
    <x v="1"/>
    <x v="2"/>
    <s v="CAR"/>
    <x v="2"/>
    <s v="Daniel Barreno"/>
    <s v="TRANSFORMACIÓN DIGITAL"/>
    <x v="0"/>
    <s v="No iniciado"/>
    <s v="Q4"/>
    <x v="3"/>
    <s v="p73"/>
    <s v="MEDIA"/>
    <n v="1"/>
    <n v="7"/>
    <n v="1"/>
    <n v="550"/>
    <m/>
    <n v="4490"/>
    <m/>
    <m/>
    <d v="2024-11-18T00:00:00"/>
    <d v="2024-12-02T00:00:00"/>
    <n v="14"/>
    <d v="2024-12-02T00:00:00"/>
    <d v="2024-12-09T00:00:00"/>
    <n v="365031"/>
    <d v="2024-12-09T00:00:00"/>
    <d v="2024-12-16T00:00:00"/>
    <d v="2024-11-01T00:00:00"/>
    <d v="2024-12-20T00:00:00"/>
    <n v="1.75"/>
    <n v="7"/>
    <s v="PROYECTO REGIONAL"/>
    <m/>
    <s v="x"/>
  </r>
  <r>
    <x v="0"/>
    <m/>
    <x v="0"/>
    <s v="Kioscos"/>
    <s v="Datos dinamicos de facturación en Kioscos"/>
    <s v="MXP LEGACY_x000a_TRADE"/>
    <m/>
    <s v="Enviar en un EndPoint los datos que debe solicitar el kiosko segun el pais"/>
    <s v="BAJA"/>
    <x v="1"/>
    <x v="2"/>
    <s v="CAR"/>
    <x v="1"/>
    <s v="Daniel Barreno"/>
    <s v="TRANSFORMACIÓN DIGITAL"/>
    <x v="0"/>
    <s v="No iniciado"/>
    <s v="Q4"/>
    <x v="3"/>
    <s v="p73"/>
    <s v="MEDIA"/>
    <n v="1"/>
    <n v="6"/>
    <n v="1"/>
    <n v="550"/>
    <m/>
    <n v="3940"/>
    <m/>
    <m/>
    <d v="2024-11-18T00:00:00"/>
    <d v="2024-12-02T00:00:00"/>
    <n v="14"/>
    <d v="2024-12-02T00:00:00"/>
    <d v="2024-12-09T00:00:00"/>
    <n v="365031"/>
    <d v="2024-12-09T00:00:00"/>
    <d v="2024-12-30T00:00:00"/>
    <d v="2024-11-01T00:00:00"/>
    <d v="2024-12-13T00:00:00"/>
    <n v="1.5"/>
    <n v="21"/>
    <s v="PROYECTO REGIONAL"/>
    <m/>
    <s v="x"/>
  </r>
  <r>
    <x v="0"/>
    <m/>
    <x v="0"/>
    <s v="Kioscos"/>
    <s v="Datos dinamicos de facturación en Kioscos"/>
    <s v="MXP LEGACY_x000a_TRADE"/>
    <m/>
    <s v="Enviar en un EndPoint los datos que debe solicitar el kiosko segun el pais"/>
    <s v="BAJA"/>
    <x v="1"/>
    <x v="2"/>
    <s v="CAR"/>
    <x v="3"/>
    <s v="Daniel Barreno"/>
    <s v="TRANSFORMACIÓN DIGITAL"/>
    <x v="0"/>
    <s v="No iniciado"/>
    <s v="Q4"/>
    <x v="3"/>
    <s v="p73"/>
    <s v="MEDIA"/>
    <n v="1"/>
    <n v="7"/>
    <n v="1"/>
    <n v="550"/>
    <m/>
    <n v="4490"/>
    <m/>
    <m/>
    <d v="2024-11-18T00:00:00"/>
    <d v="2024-12-02T00:00:00"/>
    <n v="14"/>
    <d v="2024-12-02T00:00:00"/>
    <d v="2024-12-09T00:00:00"/>
    <n v="365031"/>
    <d v="2024-12-09T00:00:00"/>
    <d v="2024-12-16T00:00:00"/>
    <d v="2024-11-01T00:00:00"/>
    <d v="2024-12-20T00:00:00"/>
    <n v="1.7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2"/>
    <s v="Daniel Barreno"/>
    <s v="TRANSFORMACIÓN DIGITAL"/>
    <x v="0"/>
    <s v="No iniciado"/>
    <e v="#N/A"/>
    <x v="1"/>
    <s v="p44"/>
    <s v="MEDIA"/>
    <n v="1"/>
    <n v="3"/>
    <n v="1"/>
    <n v="550"/>
    <m/>
    <n v="2290"/>
    <m/>
    <m/>
    <d v="2024-07-29T00:00:00"/>
    <d v="2024-08-05T00:00:00"/>
    <n v="7"/>
    <d v="2024-08-05T00:00:00"/>
    <d v="2024-08-12T00:00:00"/>
    <n v="364079"/>
    <d v="2024-08-12T00:00:00"/>
    <d v="2024-08-19T00:00:00"/>
    <d v="2024-08-01T00:00:00"/>
    <d v="2024-08-22T00:00:00"/>
    <n v="0.75"/>
    <n v="7"/>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4"/>
    <s v="Daniel Barreno"/>
    <s v="TRANSFORMACIÓN DIGITAL"/>
    <x v="0"/>
    <s v="No iniciado"/>
    <e v="#N/A"/>
    <x v="1"/>
    <s v="p61"/>
    <s v="MEDIA"/>
    <n v="1"/>
    <n v="4"/>
    <n v="1"/>
    <n v="550"/>
    <m/>
    <n v="2840"/>
    <m/>
    <m/>
    <d v="2024-08-26T00:00:00"/>
    <d v="2024-09-09T00:00:00"/>
    <n v="14"/>
    <d v="2024-09-09T00:00:00"/>
    <d v="2024-09-16T00:00:00"/>
    <n v="364359"/>
    <d v="2024-09-16T00:00:00"/>
    <d v="2024-09-23T00:00:00"/>
    <d v="2024-08-01T00:00:00"/>
    <d v="2024-08-29T00:00:00"/>
    <n v="1"/>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4"/>
    <x v="2"/>
    <s v="CAR"/>
    <x v="0"/>
    <s v="Daniel Barreno"/>
    <s v="TRANSFORMACIÓN DIGITAL"/>
    <x v="0"/>
    <s v="No iniciado"/>
    <e v="#N/A"/>
    <x v="1"/>
    <s v="p44"/>
    <s v="MEDIA"/>
    <n v="1"/>
    <n v="6"/>
    <n v="1"/>
    <n v="550"/>
    <m/>
    <n v="3940"/>
    <m/>
    <m/>
    <d v="2024-07-22T00:00:00"/>
    <d v="2024-08-19T00:00:00"/>
    <n v="28"/>
    <d v="2024-08-19T00:00:00"/>
    <d v="2024-08-26T00:00:00"/>
    <n v="364191"/>
    <d v="2024-08-26T00:00:00"/>
    <d v="2024-09-02T00:00:00"/>
    <d v="2024-07-01T00:00:00"/>
    <d v="2024-08-12T00:00:00"/>
    <n v="1.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3"/>
    <s v="Daniel Barreno"/>
    <s v="TRANSFORMACIÓN DIGITAL"/>
    <x v="0"/>
    <s v="No iniciado"/>
    <e v="#N/A"/>
    <x v="1"/>
    <s v="p44"/>
    <s v="MEDIA"/>
    <n v="1"/>
    <n v="3"/>
    <n v="1"/>
    <n v="550"/>
    <m/>
    <n v="2290"/>
    <m/>
    <m/>
    <d v="2024-09-02T00:00:00"/>
    <d v="2024-09-09T00:00:00"/>
    <n v="7"/>
    <d v="2024-09-09T00:00:00"/>
    <d v="2024-09-16T00:00:00"/>
    <n v="364359"/>
    <d v="2024-09-16T00:00:00"/>
    <d v="2024-09-23T00:00:00"/>
    <d v="2024-09-01T00:00:00"/>
    <d v="2024-09-22T00:00:00"/>
    <n v="0.75"/>
    <n v="7"/>
    <s v="PROYECTO REGIONAL"/>
    <m/>
    <s v="x"/>
  </r>
  <r>
    <x v="0"/>
    <m/>
    <x v="0"/>
    <s v="Kioscos"/>
    <s v="Funcionalidades KioscoCrosell Modificadores"/>
    <s v="MXP LEGACY_x000a_TRADE"/>
    <m/>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1"/>
    <x v="2"/>
    <s v="CAR"/>
    <x v="1"/>
    <s v="Daniel Barreno"/>
    <s v="TRANSFORMACIÓN DIGITAL"/>
    <x v="0"/>
    <s v="No iniciado"/>
    <e v="#N/A"/>
    <x v="1"/>
    <s v="p44"/>
    <s v="MEDIA"/>
    <n v="1"/>
    <n v="5"/>
    <n v="1"/>
    <n v="550"/>
    <m/>
    <n v="3390"/>
    <m/>
    <m/>
    <d v="2024-09-02T00:00:00"/>
    <d v="2024-09-09T00:00:00"/>
    <n v="7"/>
    <d v="2024-09-09T00:00:00"/>
    <d v="2024-09-16T00:00:00"/>
    <n v="364359"/>
    <d v="2024-09-16T00:00:00"/>
    <d v="2024-10-07T00:00:00"/>
    <d v="2024-09-01T00:00:00"/>
    <d v="2024-10-06T00:00:00"/>
    <n v="1.25"/>
    <n v="21"/>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4"/>
    <x v="2"/>
    <s v="CAR"/>
    <x v="0"/>
    <s v="Daniel Barreno"/>
    <s v="TRANSFORMACIÓN DIGITAL"/>
    <x v="0"/>
    <s v="No iniciado"/>
    <e v="#N/A"/>
    <x v="1"/>
    <s v="p61"/>
    <s v="MEDIA"/>
    <n v="1"/>
    <n v="4"/>
    <n v="1"/>
    <n v="550"/>
    <m/>
    <n v="2840"/>
    <m/>
    <m/>
    <d v="2024-08-05T00:00:00"/>
    <d v="2024-08-26T00:00:00"/>
    <n v="21"/>
    <d v="2024-08-26T00:00:00"/>
    <d v="2024-09-02T00:00:00"/>
    <n v="364247"/>
    <d v="2024-09-02T00:00:00"/>
    <d v="2024-09-09T00:00:00"/>
    <d v="2024-08-01T00:00:00"/>
    <d v="2024-08-29T00:00:00"/>
    <n v="1"/>
    <n v="7"/>
    <s v="PROYECTO REGIONAL"/>
    <m/>
    <s v="x"/>
  </r>
  <r>
    <x v="0"/>
    <m/>
    <x v="0"/>
    <s v="APP"/>
    <s v="Igualar Funcionalidades APP Venezuela"/>
    <s v="MXP LEGACY_x000a_TRADE"/>
    <m/>
    <s v="Igualar funcionalidades de mxp y capacitaciones al equipo -venezuela (Cupones QR Local y Kiosko, Cupones de descuento, pick up, precios de fantasia, DriveThru, Upsell, Horarios por categoría, Cupones por Horario, orden de cupones y cupones digitales precargados)"/>
    <s v="ALTA"/>
    <x v="0"/>
    <x v="2"/>
    <s v="CAR"/>
    <x v="4"/>
    <s v="Daniel Barreno / Jhustin Vergara"/>
    <s v="TRANSFORMACIÓN DIGITAL"/>
    <x v="0"/>
    <s v="No iniciado"/>
    <e v="#N/A"/>
    <x v="0"/>
    <s v="p25"/>
    <s v="MEDIA"/>
    <m/>
    <n v="6"/>
    <n v="1"/>
    <n v="550"/>
    <m/>
    <n v="3940"/>
    <m/>
    <m/>
    <d v="2024-03-04T00:00:00"/>
    <d v="2024-04-01T00:00:00"/>
    <n v="28"/>
    <d v="2024-04-01T00:00:00"/>
    <d v="2024-04-15T00:00:00"/>
    <n v="363078"/>
    <d v="2024-04-15T00:00:00"/>
    <d v="2024-04-29T00:00:00"/>
    <d v="2024-04-01T00:00:00"/>
    <d v="2024-05-13T00:00:00"/>
    <n v="1.5"/>
    <n v="14"/>
    <s v="ECOMERCE"/>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2"/>
    <s v="Daniel Barreno"/>
    <s v="TRANSFORMACIÓN DIGITAL"/>
    <x v="0"/>
    <s v="No iniciado"/>
    <e v="#N/A"/>
    <x v="1"/>
    <s v="p61"/>
    <s v="MEDIA"/>
    <n v="1"/>
    <n v="4"/>
    <n v="1"/>
    <n v="550"/>
    <m/>
    <n v="2840"/>
    <m/>
    <m/>
    <d v="2024-08-26T00:00:00"/>
    <d v="2024-09-09T00:00:00"/>
    <n v="14"/>
    <d v="2024-09-09T00:00:00"/>
    <d v="2024-09-16T00:00:00"/>
    <n v="364359"/>
    <d v="2024-09-16T00:00:00"/>
    <d v="2024-09-23T00:00:00"/>
    <d v="2024-08-01T00:00:00"/>
    <d v="2024-08-29T00:00:00"/>
    <n v="1"/>
    <n v="7"/>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3"/>
    <s v="Daniel Barreno"/>
    <s v="TRANSFORMACIÓN DIGITAL"/>
    <x v="0"/>
    <s v="No iniciado"/>
    <e v="#N/A"/>
    <x v="1"/>
    <s v="p61"/>
    <s v="MEDIA"/>
    <n v="1"/>
    <n v="4"/>
    <n v="1"/>
    <n v="550"/>
    <m/>
    <n v="2840"/>
    <m/>
    <m/>
    <d v="2024-08-26T00:00:00"/>
    <d v="2024-09-09T00:00:00"/>
    <n v="14"/>
    <d v="2024-09-09T00:00:00"/>
    <d v="2024-09-16T00:00:00"/>
    <n v="364359"/>
    <d v="2024-09-16T00:00:00"/>
    <d v="2024-09-23T00:00:00"/>
    <d v="2024-08-01T00:00:00"/>
    <d v="2024-08-29T00:00:00"/>
    <n v="1"/>
    <n v="7"/>
    <s v="PROYECTO REGIONAL"/>
    <m/>
    <s v="x"/>
  </r>
  <r>
    <x v="0"/>
    <m/>
    <x v="0"/>
    <s v="Kioscos"/>
    <s v="Funcionalidades Kiosko y app"/>
    <s v="MXP LEGACY_x000a_MXP 2.0_x000a_TRADE"/>
    <m/>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1"/>
    <x v="2"/>
    <s v="CAR"/>
    <x v="1"/>
    <s v="Daniel Barreno"/>
    <s v="TRANSFORMACIÓN DIGITAL"/>
    <x v="0"/>
    <s v="No iniciado"/>
    <e v="#N/A"/>
    <x v="1"/>
    <s v="p61"/>
    <s v="MEDIA"/>
    <n v="1"/>
    <n v="6"/>
    <n v="1"/>
    <n v="550"/>
    <m/>
    <n v="3940"/>
    <m/>
    <m/>
    <d v="2024-08-26T00:00:00"/>
    <d v="2024-09-09T00:00:00"/>
    <n v="14"/>
    <d v="2024-09-09T00:00:00"/>
    <d v="2024-09-16T00:00:00"/>
    <n v="364359"/>
    <d v="2024-09-16T00:00:00"/>
    <d v="2024-10-07T00:00:00"/>
    <d v="2024-08-01T00:00:00"/>
    <d v="2024-09-12T00:00:00"/>
    <n v="1.5"/>
    <n v="21"/>
    <s v="PROYECTO REGIONAL"/>
    <m/>
    <s v="x"/>
  </r>
  <r>
    <x v="0"/>
    <m/>
    <x v="0"/>
    <s v="Ultimas millas"/>
    <s v="Integración con uber direct "/>
    <s v="MXP LEGACY_x000a_TRADE"/>
    <m/>
    <s v="Integración de ultima milla._x000a_Incluir efectivo"/>
    <s v="ALTA"/>
    <x v="4"/>
    <x v="2"/>
    <s v="CAR"/>
    <x v="0"/>
    <s v="Daniel Barreno"/>
    <s v="TRANSFORMACIÓN DIGITAL"/>
    <x v="0"/>
    <s v="En curso"/>
    <m/>
    <x v="0"/>
    <m/>
    <s v="MEDIA"/>
    <m/>
    <n v="2"/>
    <n v="1"/>
    <n v="550"/>
    <m/>
    <n v="1100"/>
    <m/>
    <m/>
    <d v="2024-01-05T00:00:00"/>
    <d v="2024-02-23T00:00:00"/>
    <n v="49"/>
    <d v="2024-02-23T00:00:00"/>
    <d v="2024-03-01T00:00:00"/>
    <n v="362767"/>
    <d v="2024-03-01T00:00:00"/>
    <d v="2024-03-08T00:00:00"/>
    <d v="2024-05-01T00:00:00"/>
    <d v="2024-05-15T00:00:00"/>
    <n v="0.5"/>
    <n v="7"/>
    <s v="ECOMERCE"/>
    <m/>
    <m/>
  </r>
  <r>
    <x v="0"/>
    <m/>
    <x v="0"/>
    <s v="Agregadores"/>
    <s v="Integración Directo a Agregadores KFC"/>
    <s v="MXP LEGACY_x000a_MXP 2.0_x000a_"/>
    <m/>
    <s v="Envío Menús Agregadores KFC"/>
    <s v="ALTA"/>
    <x v="4"/>
    <x v="7"/>
    <s v="DSI"/>
    <x v="0"/>
    <s v="DSI"/>
    <s v="DSI"/>
    <x v="0"/>
    <s v="No iniciado"/>
    <m/>
    <x v="2"/>
    <s v="p38"/>
    <s v="MEDIA"/>
    <n v="0.28999999999999998"/>
    <n v="1"/>
    <n v="1"/>
    <n v="101428"/>
    <m/>
    <n v="29599.719999999998"/>
    <m/>
    <m/>
    <d v="2024-03-25T00:00:00"/>
    <m/>
    <n v="-45376"/>
    <m/>
    <m/>
    <n v="0"/>
    <m/>
    <d v="2024-08-12T00:00:00"/>
    <d v="2024-03-25T00:00:00"/>
    <d v="2024-08-12T00:00:00"/>
    <n v="5"/>
    <n v="45516"/>
    <s v="PROYECTO REGIONAL"/>
    <m/>
    <m/>
  </r>
  <r>
    <x v="0"/>
    <m/>
    <x v="0"/>
    <s v="Agregadores"/>
    <s v="Integración Directo a Agregadores KFC"/>
    <s v="MXP LEGACY_x000a_MXP 2.0_x000a_"/>
    <m/>
    <s v="Envío Menús Agregadores KFC"/>
    <s v="ALTA"/>
    <x v="1"/>
    <x v="7"/>
    <s v="DSI"/>
    <x v="4"/>
    <s v="DSI"/>
    <s v="DSI"/>
    <x v="0"/>
    <s v="No iniciado"/>
    <m/>
    <x v="2"/>
    <s v="p38"/>
    <s v="MEDIA"/>
    <n v="0.03"/>
    <n v="1"/>
    <n v="1"/>
    <n v="101428"/>
    <m/>
    <n v="3062.04"/>
    <m/>
    <m/>
    <d v="2024-10-21T00:00:00"/>
    <m/>
    <n v="-45586"/>
    <m/>
    <m/>
    <n v="0"/>
    <m/>
    <d v="2024-12-02T00:00:00"/>
    <d v="2024-10-21T00:00:00"/>
    <d v="2024-12-02T00:00:00"/>
    <n v="1.5"/>
    <n v="45628"/>
    <s v="PROYECTO REGIONAL"/>
    <m/>
    <m/>
  </r>
  <r>
    <x v="0"/>
    <m/>
    <x v="0"/>
    <s v="Agregadores"/>
    <s v="Integración Directo a Agregadores KFC"/>
    <s v="MXP LEGACY_x000a_MXP 2.0_x000a_"/>
    <m/>
    <s v="Envío Menús Agregadores KFC"/>
    <s v="ALTA"/>
    <x v="1"/>
    <x v="7"/>
    <s v="DSI"/>
    <x v="2"/>
    <s v="DSI"/>
    <s v="DSI"/>
    <x v="0"/>
    <s v="No iniciado"/>
    <m/>
    <x v="2"/>
    <s v="p38"/>
    <s v="MEDIA"/>
    <n v="0.12"/>
    <n v="1"/>
    <n v="1"/>
    <n v="101428"/>
    <m/>
    <n v="12248.16"/>
    <m/>
    <m/>
    <d v="2024-11-04T00:00:00"/>
    <m/>
    <n v="-45600"/>
    <m/>
    <m/>
    <n v="0"/>
    <m/>
    <d v="2025-01-13T00:00:00"/>
    <d v="2024-11-04T00:00:00"/>
    <d v="2025-01-13T00:00:00"/>
    <n v="2.5"/>
    <n v="45670"/>
    <s v="PROYECTO REGIONAL"/>
    <m/>
    <m/>
  </r>
  <r>
    <x v="0"/>
    <m/>
    <x v="0"/>
    <s v="Agregadores"/>
    <s v="Integración Directo a Agregadores KFC"/>
    <s v="MXP LEGACY_x000a_MXP 2.0_x000a_"/>
    <m/>
    <s v="Envío Menús Agregadores KFC"/>
    <s v="ALTA"/>
    <x v="1"/>
    <x v="7"/>
    <s v="DSI"/>
    <x v="1"/>
    <s v="DSI"/>
    <s v="DSI"/>
    <x v="0"/>
    <s v="No iniciado"/>
    <m/>
    <x v="2"/>
    <s v="p38"/>
    <s v="MEDIA"/>
    <n v="0.28999999999999998"/>
    <n v="1"/>
    <n v="1"/>
    <n v="101428"/>
    <m/>
    <n v="29599.719999999998"/>
    <m/>
    <m/>
    <d v="2024-07-15T00:00:00"/>
    <m/>
    <n v="-45488"/>
    <m/>
    <m/>
    <n v="0"/>
    <m/>
    <d v="2024-12-02T00:00:00"/>
    <d v="2024-07-15T00:00:00"/>
    <d v="2024-12-02T00:00:00"/>
    <n v="5"/>
    <n v="45628"/>
    <s v="PROYECTO REGIONAL"/>
    <m/>
    <m/>
  </r>
  <r>
    <x v="0"/>
    <m/>
    <x v="0"/>
    <s v="Agregadores"/>
    <s v="Integración Directo a Agregadores KFC"/>
    <s v="MXP LEGACY_x000a_MXP 2.0_x000a_"/>
    <m/>
    <s v="Envío Menús Agregadores KFC"/>
    <s v="ALTA"/>
    <x v="1"/>
    <x v="7"/>
    <s v="DSI"/>
    <x v="3"/>
    <s v="DSI"/>
    <s v="DSI"/>
    <x v="0"/>
    <s v="No iniciado"/>
    <m/>
    <x v="2"/>
    <s v="p38"/>
    <s v="MEDIA"/>
    <n v="0.27"/>
    <n v="1"/>
    <n v="1"/>
    <n v="101428"/>
    <m/>
    <n v="27558.36"/>
    <m/>
    <m/>
    <d v="2024-05-20T00:00:00"/>
    <m/>
    <n v="-45432"/>
    <m/>
    <m/>
    <n v="0"/>
    <m/>
    <d v="2024-08-26T00:00:00"/>
    <d v="2024-05-20T00:00:00"/>
    <d v="2024-08-26T00:00:00"/>
    <n v="3.5"/>
    <n v="45530"/>
    <s v="PROYECTO REGIONAL"/>
    <m/>
    <m/>
  </r>
  <r>
    <x v="0"/>
    <m/>
    <x v="5"/>
    <m/>
    <s v="Base de datos de Curriculums para Reclutamiento"/>
    <m/>
    <m/>
    <s v="Revisar con Amarilis"/>
    <m/>
    <x v="0"/>
    <x v="0"/>
    <s v="REGIONAL"/>
    <x v="4"/>
    <s v="Jhustin Vergara"/>
    <m/>
    <x v="1"/>
    <s v="No iniciado"/>
    <m/>
    <x v="1"/>
    <m/>
    <s v="MEDIA"/>
    <n v="1"/>
    <m/>
    <m/>
    <m/>
    <m/>
    <n v="640"/>
    <m/>
    <m/>
    <m/>
    <m/>
    <e v="#REF!"/>
    <m/>
    <m/>
    <d v="1899-12-30T00:00:00"/>
    <m/>
    <m/>
    <m/>
    <m/>
    <n v="0"/>
    <n v="0"/>
    <m/>
    <m/>
    <m/>
  </r>
  <r>
    <x v="0"/>
    <m/>
    <x v="4"/>
    <m/>
    <s v="Cargas Masivas: Contabilización de Facturas Fisicas Venezuel"/>
    <m/>
    <m/>
    <s v="Dependencia de SAP Venezuela"/>
    <m/>
    <x v="0"/>
    <x v="0"/>
    <s v="DSI"/>
    <x v="4"/>
    <s v="Jhustin Vergara"/>
    <s v="VE"/>
    <x v="0"/>
    <s v="No iniciado"/>
    <m/>
    <x v="2"/>
    <m/>
    <s v="MEDIA"/>
    <n v="0"/>
    <n v="8"/>
    <n v="1"/>
    <n v="550"/>
    <m/>
    <n v="0"/>
    <m/>
    <m/>
    <d v="2024-04-01T00:00:00"/>
    <d v="2024-05-14T00:00:00"/>
    <e v="#REF!"/>
    <d v="2024-05-14T00:00:00"/>
    <d v="2024-05-21T00:00:00"/>
    <d v="2894-12-28T00:00:00"/>
    <d v="2024-06-21T00:00:00"/>
    <d v="2024-06-28T00:00:00"/>
    <m/>
    <m/>
    <n v="2"/>
    <n v="7"/>
    <s v="Presupuesto de proyecto SAP"/>
    <m/>
    <m/>
  </r>
  <r>
    <x v="0"/>
    <m/>
    <x v="0"/>
    <s v="API Inyección v3"/>
    <s v="Recepciones de Pedidos V3 - Monitor  de transacciones (Tracking) de Pedidos"/>
    <s v="MXP LEGACY_x000a_TRADE"/>
    <m/>
    <s v="Compromiso Matriz Regional  (Argentina - 2023"/>
    <s v="ALTA"/>
    <x v="1"/>
    <x v="1"/>
    <s v="DSI"/>
    <x v="2"/>
    <s v="Mychael Castro"/>
    <s v="DSI"/>
    <x v="0"/>
    <s v="No iniciado"/>
    <m/>
    <x v="2"/>
    <m/>
    <s v="ALTA"/>
    <n v="1"/>
    <n v="6"/>
    <n v="1"/>
    <n v="550"/>
    <m/>
    <n v="3940"/>
    <m/>
    <m/>
    <d v="2024-03-18T00:00:00"/>
    <d v="2024-04-15T00:00:00"/>
    <n v="28"/>
    <d v="2024-04-15T00:00:00"/>
    <d v="2024-04-22T00:00:00"/>
    <n v="363183"/>
    <d v="2024-04-22T00:00:00"/>
    <d v="2024-04-29T00:00:00"/>
    <d v="2024-05-01T00:00:00"/>
    <d v="2024-06-12T00:00:00"/>
    <n v="1.5"/>
    <n v="7"/>
    <s v="PROYECTO REGIONAL"/>
    <m/>
    <m/>
  </r>
  <r>
    <x v="0"/>
    <m/>
    <x v="0"/>
    <s v="Agregadores"/>
    <s v="Integración Maxpoint con Agregadores (Yummy)"/>
    <s v="MXP LEGACY_x000a_MXP 2.0_x000a_"/>
    <m/>
    <s v="Homologar integración a través de trade.  (Integraccion Agregador Yummy)"/>
    <s v="BAJA"/>
    <x v="0"/>
    <x v="0"/>
    <s v="DSI"/>
    <x v="4"/>
    <s v="Jhustin Vergara"/>
    <s v="DSI"/>
    <x v="0"/>
    <s v="No iniciado"/>
    <m/>
    <x v="2"/>
    <s v="p45"/>
    <s v="MEDIA"/>
    <m/>
    <n v="2"/>
    <n v="1"/>
    <n v="550"/>
    <m/>
    <n v="1740"/>
    <m/>
    <m/>
    <d v="2024-05-28T00:00:00"/>
    <d v="2024-05-28T00:00:00"/>
    <n v="0"/>
    <d v="2024-05-28T00:00:00"/>
    <d v="2024-06-04T00:00:00"/>
    <n v="363527"/>
    <d v="2024-06-04T00:00:00"/>
    <d v="2024-06-11T00:00:00"/>
    <d v="2024-06-01T00:00:00"/>
    <d v="2024-06-15T00:00:00"/>
    <n v="0.5"/>
    <n v="7"/>
    <m/>
    <m/>
    <m/>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1"/>
    <s v="Daniel Barreno"/>
    <s v="TRANSFORMACIÓN DIGITAL"/>
    <x v="0"/>
    <s v="En curso"/>
    <e v="#N/A"/>
    <x v="0"/>
    <s v="P23"/>
    <s v="ALTA"/>
    <n v="1"/>
    <n v="8"/>
    <n v="1"/>
    <n v="550"/>
    <m/>
    <n v="5040"/>
    <m/>
    <m/>
    <d v="2024-02-19T00:00:00"/>
    <d v="2024-03-04T00:00:00"/>
    <n v="14"/>
    <d v="2024-03-04T00:00:00"/>
    <d v="2024-03-11T00:00:00"/>
    <n v="362847"/>
    <d v="2024-03-11T00:00:00"/>
    <d v="2024-03-18T00:00:00"/>
    <d v="2024-04-01T00:00:00"/>
    <d v="2024-05-27T00:00:00"/>
    <n v="2"/>
    <n v="7"/>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4"/>
    <x v="2"/>
    <s v="CAR"/>
    <x v="0"/>
    <s v="Daniel Barreno"/>
    <s v="TRANSFORMACIÓN DIGITAL"/>
    <x v="0"/>
    <s v="Finalizado"/>
    <e v="#N/A"/>
    <x v="0"/>
    <s v="P23"/>
    <s v="ALTA"/>
    <n v="1"/>
    <n v="8"/>
    <n v="1"/>
    <n v="550"/>
    <m/>
    <n v="5040"/>
    <m/>
    <m/>
    <d v="2024-02-05T00:00:00"/>
    <d v="2024-02-12T00:00:00"/>
    <n v="7"/>
    <d v="2024-02-12T00:00:00"/>
    <d v="2024-02-19T00:00:00"/>
    <n v="362679"/>
    <d v="2024-02-19T00:00:00"/>
    <d v="2024-02-26T00:00:00"/>
    <s v="NA"/>
    <e v="#VALUE!"/>
    <n v="2"/>
    <n v="7"/>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3"/>
    <s v="Daniel Barreno"/>
    <s v="TRANSFORMACIÓN DIGITAL"/>
    <x v="0"/>
    <s v="En curso"/>
    <e v="#N/A"/>
    <x v="0"/>
    <s v="P23"/>
    <s v="ALTA"/>
    <n v="1"/>
    <n v="8"/>
    <n v="1"/>
    <n v="550"/>
    <m/>
    <n v="5040"/>
    <m/>
    <m/>
    <d v="2024-02-12T00:00:00"/>
    <d v="2024-02-19T00:00:00"/>
    <n v="7"/>
    <d v="2024-02-19T00:00:00"/>
    <d v="2024-03-04T00:00:00"/>
    <n v="362742"/>
    <d v="2024-03-04T00:00:00"/>
    <d v="2024-03-18T00:00:00"/>
    <d v="2024-03-01T00:00:00"/>
    <d v="2024-04-26T00:00:00"/>
    <n v="2"/>
    <n v="14"/>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4"/>
    <s v="Daniel Barreno"/>
    <s v="TRANSFORMACIÓN DIGITAL"/>
    <x v="0"/>
    <s v="En curso"/>
    <e v="#N/A"/>
    <x v="0"/>
    <s v="P23"/>
    <s v="ALTA"/>
    <n v="1"/>
    <n v="8"/>
    <n v="1"/>
    <n v="550"/>
    <m/>
    <n v="5040"/>
    <m/>
    <m/>
    <d v="2024-03-04T00:00:00"/>
    <d v="2024-03-18T00:00:00"/>
    <n v="14"/>
    <d v="2024-03-18T00:00:00"/>
    <d v="2024-03-25T00:00:00"/>
    <n v="362959"/>
    <d v="2024-03-25T00:00:00"/>
    <d v="2024-04-01T00:00:00"/>
    <d v="2024-03-20T00:00:00"/>
    <d v="2024-05-15T00:00:00"/>
    <n v="2"/>
    <n v="7"/>
    <s v="PROYECTO REGIONAL"/>
    <m/>
    <s v="x"/>
  </r>
  <r>
    <x v="0"/>
    <m/>
    <x v="0"/>
    <s v="API Inyección v3"/>
    <s v="Inyección V3 Descuentos en Delivery"/>
    <s v="MXP LEGACY_x000a_TRADE"/>
    <m/>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1"/>
    <x v="2"/>
    <s v="CAR"/>
    <x v="2"/>
    <s v="Daniel Barreno"/>
    <s v="TRANSFORMACIÓN DIGITAL"/>
    <x v="0"/>
    <s v="No iniciado"/>
    <e v="#N/A"/>
    <x v="0"/>
    <s v="P23"/>
    <s v="ALTA"/>
    <n v="1"/>
    <n v="8"/>
    <n v="1"/>
    <n v="550"/>
    <m/>
    <n v="5040"/>
    <m/>
    <m/>
    <d v="2024-03-18T00:00:00"/>
    <d v="2024-04-01T00:00:00"/>
    <n v="14"/>
    <d v="2024-04-01T00:00:00"/>
    <d v="2024-04-08T00:00:00"/>
    <n v="363071"/>
    <d v="2024-04-08T00:00:00"/>
    <d v="2024-04-15T00:00:00"/>
    <d v="2024-04-01T00:00:00"/>
    <d v="2024-05-27T00:00:00"/>
    <n v="2"/>
    <n v="7"/>
    <s v="PROYECTO REGIONAL"/>
    <m/>
    <s v="x"/>
  </r>
  <r>
    <x v="0"/>
    <m/>
    <x v="0"/>
    <s v="API Inyección v3"/>
    <s v="KFC Fulfillment  Aceptar pago de propinas para el motorizado desde la app"/>
    <s v="MXP LEGACY_x000a_TRADE"/>
    <m/>
    <s v="Recepción de propinas en v3 y Maxpoint "/>
    <s v="BAJA"/>
    <x v="4"/>
    <x v="2"/>
    <s v="CAR"/>
    <x v="0"/>
    <s v="Daniel Barreno"/>
    <s v="TRANSFORMACIÓN DIGITAL"/>
    <x v="0"/>
    <s v="No iniciado"/>
    <s v="Q3"/>
    <x v="1"/>
    <s v="p51"/>
    <s v="MEDIA"/>
    <m/>
    <n v="8"/>
    <n v="1"/>
    <n v="550"/>
    <m/>
    <n v="5040"/>
    <m/>
    <m/>
    <d v="2024-09-02T00:00:00"/>
    <d v="2024-09-16T00:00:00"/>
    <n v="14"/>
    <d v="2024-09-16T00:00:00"/>
    <d v="2024-09-23T00:00:00"/>
    <n v="364415"/>
    <d v="2024-09-23T00:00:00"/>
    <d v="2024-09-30T00:00:00"/>
    <d v="2024-09-01T00:00:00"/>
    <d v="2024-10-27T00:00:00"/>
    <n v="2"/>
    <n v="7"/>
    <s v="ECOMERCE"/>
    <m/>
    <s v="x"/>
  </r>
  <r>
    <x v="0"/>
    <m/>
    <x v="0"/>
    <s v="Appedir"/>
    <s v="KFC Fulfillment  Appedir flash - de acuerdo a zona de pedido del cliente se active las tiendas mas cercanas y que el envío sea en menos de xxxx minutos "/>
    <s v="MXP LEGACY_x000a_TRADE"/>
    <m/>
    <s v="La App debe detectar el lugar en donde se encuentra el cliente y ofrecer el pedido en menos de 20 minutos."/>
    <s v="BAJA"/>
    <x v="4"/>
    <x v="2"/>
    <s v="CAR"/>
    <x v="0"/>
    <s v="Daniel Barreno"/>
    <s v="TRANSFORMACIÓN DIGITAL"/>
    <x v="0"/>
    <s v="No iniciado"/>
    <s v="Q3"/>
    <x v="3"/>
    <s v="p53"/>
    <s v="BAJA"/>
    <m/>
    <n v="3"/>
    <n v="1"/>
    <n v="550"/>
    <m/>
    <n v="2290"/>
    <m/>
    <m/>
    <d v="2024-10-07T00:00:00"/>
    <d v="2024-10-07T00:00:00"/>
    <n v="0"/>
    <d v="2024-10-07T00:00:00"/>
    <d v="2024-10-14T00:00:00"/>
    <n v="364583"/>
    <d v="2024-10-21T00:00:00"/>
    <d v="2024-10-28T00:00:00"/>
    <d v="2024-10-01T00:00:00"/>
    <d v="2024-10-22T00:00:00"/>
    <n v="0.75"/>
    <n v="7"/>
    <s v="ECOMERCE"/>
    <m/>
    <s v="x"/>
  </r>
  <r>
    <x v="0"/>
    <m/>
    <x v="0"/>
    <s v="Appedir"/>
    <s v="KFC Fulfillment  Propinas  Appedir "/>
    <s v="MXP LEGACY_x000a_TRADE"/>
    <m/>
    <s v="La app acepte propinas para motorizados, evaluar si es posible realizar esto con Pediods Ya"/>
    <s v="BAJA"/>
    <x v="4"/>
    <x v="2"/>
    <s v="CAR"/>
    <x v="0"/>
    <s v="Daniel Barreno"/>
    <s v="TRANSFORMACIÓN DIGITAL"/>
    <x v="0"/>
    <s v="No iniciado"/>
    <s v="Q3"/>
    <x v="3"/>
    <s v="p54"/>
    <s v="MEDIA"/>
    <m/>
    <n v="8"/>
    <n v="1"/>
    <n v="550"/>
    <m/>
    <n v="5040"/>
    <m/>
    <m/>
    <d v="2024-11-04T00:00:00"/>
    <d v="2024-11-25T00:00:00"/>
    <n v="21"/>
    <d v="2024-11-25T00:00:00"/>
    <d v="2024-12-02T00:00:00"/>
    <n v="364975"/>
    <d v="2024-12-02T00:00:00"/>
    <d v="2024-12-09T00:00:00"/>
    <d v="2024-11-01T00:00:00"/>
    <d v="2024-12-27T00:00:00"/>
    <n v="2"/>
    <n v="7"/>
    <s v="ECOMERCE"/>
    <m/>
    <s v="x"/>
  </r>
  <r>
    <x v="0"/>
    <m/>
    <x v="0"/>
    <s v="Delivery time"/>
    <s v="KFC Fulfillment Campo Delivery time "/>
    <s v="MXP LEGACY_x000a_MXP 2.0_x000a_TRADE"/>
    <m/>
    <s v="Implementacion del Campo delivery time en la sincro de v3 para que se pueda enviar el tiempo de entrega"/>
    <s v="BAJA"/>
    <x v="4"/>
    <x v="2"/>
    <s v="CAR"/>
    <x v="0"/>
    <s v="Daniel Barreno"/>
    <s v="TRANSFORMACIÓN DIGITAL"/>
    <x v="0"/>
    <s v="No iniciado"/>
    <s v="Q1"/>
    <x v="1"/>
    <s v="p21"/>
    <s v="BAJA"/>
    <n v="1"/>
    <n v="5"/>
    <n v="1"/>
    <n v="550"/>
    <m/>
    <n v="3390"/>
    <m/>
    <m/>
    <d v="2024-08-12T00:00:00"/>
    <d v="2024-09-02T00:00:00"/>
    <n v="21"/>
    <d v="2024-09-02T00:00:00"/>
    <d v="2024-09-09T00:00:00"/>
    <n v="364303"/>
    <d v="2024-09-09T00:00:00"/>
    <d v="2024-09-16T00:00:00"/>
    <d v="2024-08-01T00:00:00"/>
    <d v="2024-09-05T00:00:00"/>
    <n v="1.2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4"/>
    <s v="Daniel Barreno"/>
    <s v="TRANSFORMACIÓN DIGITAL"/>
    <x v="0"/>
    <s v="No iniciado"/>
    <s v="Q1"/>
    <x v="1"/>
    <s v="p21"/>
    <s v="BAJA"/>
    <n v="1"/>
    <n v="3"/>
    <n v="1"/>
    <n v="550"/>
    <m/>
    <n v="2290"/>
    <m/>
    <m/>
    <d v="2024-09-09T00:00:00"/>
    <d v="2024-09-16T00:00:00"/>
    <n v="7"/>
    <d v="2024-09-16T00:00:00"/>
    <d v="2024-09-23T00:00:00"/>
    <n v="364415"/>
    <d v="2024-09-23T00:00:00"/>
    <d v="2024-09-30T00:00:00"/>
    <d v="2024-09-01T00:00:00"/>
    <d v="2024-09-22T00:00:00"/>
    <n v="0.7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2"/>
    <s v="Daniel Barreno"/>
    <s v="TRANSFORMACIÓN DIGITAL"/>
    <x v="0"/>
    <s v="No iniciado"/>
    <s v="Q1"/>
    <x v="1"/>
    <s v="p21"/>
    <s v="BAJA"/>
    <n v="1"/>
    <n v="3"/>
    <n v="1"/>
    <n v="550"/>
    <m/>
    <n v="2290"/>
    <m/>
    <m/>
    <d v="2024-09-09T00:00:00"/>
    <d v="2024-09-16T00:00:00"/>
    <n v="7"/>
    <d v="2024-09-16T00:00:00"/>
    <d v="2024-09-23T00:00:00"/>
    <n v="364415"/>
    <d v="2024-09-23T00:00:00"/>
    <d v="2024-09-30T00:00:00"/>
    <d v="2024-09-01T00:00:00"/>
    <d v="2024-09-22T00:00:00"/>
    <n v="0.7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3"/>
    <s v="Daniel Barreno"/>
    <s v="TRANSFORMACIÓN DIGITAL"/>
    <x v="0"/>
    <s v="No iniciado"/>
    <s v="Q1"/>
    <x v="1"/>
    <s v="p21"/>
    <s v="BAJA"/>
    <n v="1"/>
    <n v="3"/>
    <n v="1"/>
    <n v="550"/>
    <m/>
    <n v="2290"/>
    <m/>
    <m/>
    <d v="2024-09-09T00:00:00"/>
    <d v="2024-09-16T00:00:00"/>
    <n v="7"/>
    <d v="2024-09-16T00:00:00"/>
    <d v="2024-09-23T00:00:00"/>
    <n v="364415"/>
    <d v="2024-09-23T00:00:00"/>
    <d v="2024-09-30T00:00:00"/>
    <d v="2024-09-01T00:00:00"/>
    <d v="2024-09-22T00:00:00"/>
    <n v="0.75"/>
    <n v="7"/>
    <s v="PROYECTO REGIONAL"/>
    <m/>
    <s v="x"/>
  </r>
  <r>
    <x v="0"/>
    <m/>
    <x v="0"/>
    <s v="Delivery time"/>
    <s v="KFC Fulfillment Campo Delivery time "/>
    <s v="MXP LEGACY_x000a_MXP 2.0_x000a_TRADE"/>
    <m/>
    <s v="Implementacion del Campo delivery time en la sincro de v3 para que se pueda enviar el tiempo de entrega"/>
    <s v="BAJA"/>
    <x v="1"/>
    <x v="2"/>
    <s v="CAR"/>
    <x v="1"/>
    <s v="Daniel Barreno"/>
    <s v="TRANSFORMACIÓN DIGITAL"/>
    <x v="0"/>
    <s v="No iniciado"/>
    <s v="Q1"/>
    <x v="1"/>
    <s v="p21"/>
    <s v="BAJA"/>
    <n v="1"/>
    <n v="5"/>
    <n v="1"/>
    <n v="550"/>
    <m/>
    <n v="3390"/>
    <m/>
    <m/>
    <d v="2024-09-09T00:00:00"/>
    <d v="2024-09-16T00:00:00"/>
    <n v="7"/>
    <d v="2024-09-16T00:00:00"/>
    <d v="2024-09-23T00:00:00"/>
    <n v="364415"/>
    <d v="2024-09-23T00:00:00"/>
    <d v="2024-10-14T00:00:00"/>
    <d v="2024-09-01T00:00:00"/>
    <d v="2024-10-06T00:00:00"/>
    <n v="1.25"/>
    <n v="21"/>
    <s v="PROYECTO REGIONAL"/>
    <m/>
    <s v="x"/>
  </r>
  <r>
    <x v="0"/>
    <m/>
    <x v="0"/>
    <s v="Pickup"/>
    <s v="KFC Fulfillment Incluir Pickup Curbside (pedir desde el auto en un lote de estacionamiento)"/>
    <s v="MXP LEGACY_x000a_MXP 2.0_x000a_TRADE"/>
    <m/>
    <s v="Recepción de lote de estacionamiento"/>
    <s v="BAJA"/>
    <x v="4"/>
    <x v="2"/>
    <s v="CAR"/>
    <x v="0"/>
    <s v="Daniel Barreno"/>
    <s v="TRANSFORMACIÓN DIGITAL"/>
    <x v="0"/>
    <s v="No iniciado"/>
    <s v="Q3"/>
    <x v="1"/>
    <s v="p50"/>
    <s v="ALTA"/>
    <m/>
    <n v="8"/>
    <n v="2"/>
    <n v="550"/>
    <m/>
    <n v="9440"/>
    <m/>
    <m/>
    <d v="2024-08-04T00:00:00"/>
    <d v="2024-09-08T00:00:00"/>
    <n v="35"/>
    <d v="2024-09-08T00:00:00"/>
    <d v="2024-09-15T00:00:00"/>
    <n v="364351"/>
    <d v="2024-09-15T00:00:00"/>
    <d v="2024-09-29T00:00:00"/>
    <d v="2024-08-01T00:00:00"/>
    <d v="2024-09-26T00:00:00"/>
    <n v="2"/>
    <n v="14"/>
    <s v="ECOMERCE"/>
    <m/>
    <s v="x"/>
  </r>
  <r>
    <x v="0"/>
    <m/>
    <x v="0"/>
    <s v="Pickup"/>
    <s v="KFC Fulfillment Incluir Pickup Tableside (pedir desde la mesa con un número de mesa)"/>
    <s v="MXP LEGACY_x000a_MXP 2.0_x000a_TRADE"/>
    <m/>
    <s v="Recepción de número de mesa "/>
    <s v="MEDIA"/>
    <x v="4"/>
    <x v="2"/>
    <s v="CAR"/>
    <x v="0"/>
    <s v="Daniel Barreno"/>
    <s v="TRANSFORMACIÓN DIGITAL"/>
    <x v="0"/>
    <s v="No iniciado"/>
    <s v="Q3"/>
    <x v="1"/>
    <s v="p67"/>
    <s v="ALTA"/>
    <m/>
    <n v="7"/>
    <n v="2"/>
    <n v="550"/>
    <m/>
    <n v="8340"/>
    <m/>
    <m/>
    <d v="2024-08-12T00:00:00"/>
    <d v="2024-09-09T00:00:00"/>
    <n v="28"/>
    <d v="2024-09-09T00:00:00"/>
    <d v="2024-09-23T00:00:00"/>
    <n v="364366"/>
    <d v="2024-09-23T00:00:00"/>
    <d v="2024-09-30T00:00:00"/>
    <d v="2024-08-01T00:00:00"/>
    <d v="2024-09-19T00:00:00"/>
    <n v="1.75"/>
    <n v="7"/>
    <s v="ECOMERCE"/>
    <m/>
    <s v="x"/>
  </r>
  <r>
    <x v="0"/>
    <m/>
    <x v="0"/>
    <s v="APP"/>
    <s v="KFC Fulfillment KFC Flash* pendiente definición con ops"/>
    <s v="MXP LEGACY_x000a_TRADE"/>
    <m/>
    <s v="Implementar la opción de que por un cargo Extra, el pedido pueda llegar en 20 minutos  / Recibir el campo de costo de envio adicional"/>
    <s v="ALTA"/>
    <x v="4"/>
    <x v="2"/>
    <s v="CAR"/>
    <x v="0"/>
    <s v="Daniel Barreno"/>
    <s v="TRANSFORMACIÓN DIGITAL"/>
    <x v="0"/>
    <s v="No iniciado"/>
    <s v="Q2"/>
    <x v="2"/>
    <s v="p34"/>
    <s v="ALTA"/>
    <m/>
    <n v="5"/>
    <n v="1"/>
    <n v="550"/>
    <m/>
    <n v="3390"/>
    <m/>
    <m/>
    <d v="2024-03-18T00:00:00"/>
    <d v="2024-04-08T00:00:00"/>
    <n v="21"/>
    <d v="2024-04-08T00:00:00"/>
    <d v="2024-04-15T00:00:00"/>
    <n v="363127"/>
    <d v="2024-04-15T00:00:00"/>
    <d v="2024-04-22T00:00:00"/>
    <m/>
    <d v="1900-02-03T00:00:00"/>
    <n v="1.25"/>
    <n v="7"/>
    <s v="ECOMERCE"/>
    <m/>
    <m/>
  </r>
  <r>
    <x v="0"/>
    <m/>
    <x v="0"/>
    <s v="Delivery time"/>
    <s v="KFC Fulfillment Tiempo rango de entrega"/>
    <s v="MXP LEGACY_x000a_MXP 2.0_x000a_TRADE"/>
    <m/>
    <s v="Enviar el rango de entrega de los locales , para que la app pueda indicarle entre que hora le va a llegar el pedido**** dragon tail"/>
    <s v="BAJA"/>
    <x v="4"/>
    <x v="2"/>
    <s v="CAR"/>
    <x v="0"/>
    <s v="Daniel Barreno"/>
    <s v="TRANSFORMACIÓN DIGITAL"/>
    <x v="0"/>
    <s v="No iniciado"/>
    <s v="Q3"/>
    <x v="1"/>
    <s v="p47"/>
    <s v="ALTA"/>
    <m/>
    <n v="6"/>
    <n v="1"/>
    <n v="550"/>
    <m/>
    <n v="3940"/>
    <m/>
    <m/>
    <d v="2024-08-19T00:00:00"/>
    <d v="2024-09-02T00:00:00"/>
    <n v="14"/>
    <d v="2024-09-02T00:00:00"/>
    <d v="2024-09-09T00:00:00"/>
    <n v="364303"/>
    <d v="2024-09-09T00:00:00"/>
    <d v="2024-09-16T00:00:00"/>
    <d v="2024-08-01T00:00:00"/>
    <d v="2024-09-12T00:00:00"/>
    <n v="1.5"/>
    <n v="7"/>
    <s v="ECOMERCE"/>
    <m/>
    <m/>
  </r>
  <r>
    <x v="0"/>
    <m/>
    <x v="0"/>
    <s v="Pickup"/>
    <s v="KFC Fulfillment UI Pickup (ya estoy aquí)"/>
    <s v="MXP LEGACY_x000a_MXP 2.0_x000a_TRADE"/>
    <m/>
    <s v="Receptar el pedido cuando el cliente haya llegado al restaurante "/>
    <s v="MEDIA"/>
    <x v="4"/>
    <x v="2"/>
    <s v="CAR"/>
    <x v="0"/>
    <s v="Daniel Barreno"/>
    <s v="TRANSFORMACIÓN DIGITAL"/>
    <x v="0"/>
    <s v="No iniciado"/>
    <s v="Q3"/>
    <x v="1"/>
    <s v="p66"/>
    <s v="ALTA"/>
    <m/>
    <n v="10"/>
    <n v="2"/>
    <n v="550"/>
    <m/>
    <n v="11640"/>
    <m/>
    <m/>
    <d v="2024-07-29T00:00:00"/>
    <d v="2024-09-02T00:00:00"/>
    <n v="35"/>
    <d v="2024-09-02T00:00:00"/>
    <d v="2024-09-16T00:00:00"/>
    <n v="364310"/>
    <d v="2024-09-16T00:00:00"/>
    <d v="2024-09-23T00:00:00"/>
    <d v="2024-08-01T00:00:00"/>
    <d v="2024-10-10T00:00:00"/>
    <n v="2.5"/>
    <n v="7"/>
    <s v="ECOMERCE"/>
    <m/>
    <s v="x"/>
  </r>
  <r>
    <x v="0"/>
    <m/>
    <x v="0"/>
    <s v="Kioscos"/>
    <s v="Kiosco V3 (Nueva Api Tiendas)"/>
    <s v="MXP LEGACY_x000a_TRADE"/>
    <m/>
    <s v="Migracion del canal de kioscos a V3 para poder contar las funcionalidades de cupones, descuentos y propinas"/>
    <s v="ALTA"/>
    <x v="1"/>
    <x v="2"/>
    <s v="CAR"/>
    <x v="1"/>
    <s v="Daniel Barreno"/>
    <s v="TRANSFORMACIÓN DIGITAL"/>
    <x v="0"/>
    <s v="No iniciado"/>
    <e v="#N/A"/>
    <x v="2"/>
    <s v="p20"/>
    <s v="ALTA"/>
    <n v="1"/>
    <n v="6"/>
    <n v="1"/>
    <n v="550"/>
    <m/>
    <n v="3940"/>
    <m/>
    <m/>
    <d v="2024-03-11T00:00:00"/>
    <d v="2024-05-06T00:00:00"/>
    <n v="56"/>
    <d v="2024-05-06T00:00:00"/>
    <d v="2024-05-20T00:00:00"/>
    <n v="363358"/>
    <d v="2024-05-20T00:00:00"/>
    <d v="2024-06-10T00:00:00"/>
    <d v="2024-05-01T00:00:00"/>
    <d v="2024-06-12T00:00:00"/>
    <n v="1.5"/>
    <n v="21"/>
    <s v="PROYECTO REGIONAL"/>
    <m/>
    <s v="x"/>
  </r>
  <r>
    <x v="0"/>
    <m/>
    <x v="0"/>
    <s v="Kioscos"/>
    <s v="Kiosco V3 (Nueva Api Tiendas)"/>
    <s v="MXP LEGACY_x000a_TRADE"/>
    <m/>
    <s v="Migracion del canal de kioscos a V3 para poder contar las funcionalidades de cupones, descuentos y propinas"/>
    <s v="ALTA"/>
    <x v="1"/>
    <x v="2"/>
    <s v="CAR"/>
    <x v="3"/>
    <s v="Daniel Barreno"/>
    <s v="TRANSFORMACIÓN DIGITAL"/>
    <x v="0"/>
    <s v="No iniciado"/>
    <e v="#N/A"/>
    <x v="2"/>
    <s v="p20"/>
    <s v="ALTA"/>
    <n v="1"/>
    <n v="4"/>
    <n v="1"/>
    <n v="550"/>
    <m/>
    <n v="2840"/>
    <m/>
    <m/>
    <d v="2024-04-29T00:00:00"/>
    <d v="2024-05-13T00:00:00"/>
    <n v="14"/>
    <d v="2024-05-13T00:00:00"/>
    <d v="2024-05-20T00:00:00"/>
    <n v="363407"/>
    <d v="2024-05-20T00:00:00"/>
    <d v="2024-05-27T00:00:00"/>
    <m/>
    <d v="1900-01-27T00:00:00"/>
    <n v="1"/>
    <n v="7"/>
    <s v="PROYECTO REGIONAL"/>
    <m/>
    <s v="x"/>
  </r>
  <r>
    <x v="0"/>
    <m/>
    <x v="0"/>
    <s v="Kioscos"/>
    <s v="Kiosco V3 (Nueva Api Tiendas)"/>
    <s v="MXP LEGACY_x000a_TRADE"/>
    <m/>
    <s v="Migracion del canal de kioscos a V3 para poder contar las funcionalidades de cupones, descuentos y propinas"/>
    <s v="ALTA"/>
    <x v="4"/>
    <x v="2"/>
    <s v="CAR"/>
    <x v="0"/>
    <s v="Daniel Barreno"/>
    <s v="TRANSFORMACIÓN DIGITAL"/>
    <x v="0"/>
    <s v="No iniciado"/>
    <e v="#N/A"/>
    <x v="2"/>
    <s v="p20"/>
    <s v="ALTA"/>
    <n v="1"/>
    <n v="10"/>
    <n v="1"/>
    <n v="550"/>
    <m/>
    <n v="6140"/>
    <m/>
    <m/>
    <d v="2024-03-11T00:00:00"/>
    <d v="2024-05-06T00:00:00"/>
    <n v="56"/>
    <d v="2024-05-06T00:00:00"/>
    <d v="2024-05-20T00:00:00"/>
    <n v="363358"/>
    <d v="2024-05-20T00:00:00"/>
    <d v="2024-06-03T00:00:00"/>
    <d v="2024-05-01T00:00:00"/>
    <d v="2024-07-10T00:00:00"/>
    <n v="2.5"/>
    <n v="14"/>
    <s v="PROYECTO REGIONAL"/>
    <m/>
    <s v="x"/>
  </r>
  <r>
    <x v="0"/>
    <m/>
    <x v="6"/>
    <m/>
    <s v="WAF Fortinet"/>
    <m/>
    <m/>
    <s v="Verificar las URL modificadas producto de la migración de WAF Radware a WAF Fortinet -&gt; Salida a producción en Febrero"/>
    <m/>
    <x v="4"/>
    <x v="8"/>
    <s v="CAR"/>
    <x v="0"/>
    <m/>
    <s v="IT"/>
    <x v="1"/>
    <s v="No iniciado"/>
    <s v="Q1"/>
    <x v="0"/>
    <m/>
    <m/>
    <n v="0"/>
    <n v="0"/>
    <n v="0"/>
    <n v="0"/>
    <m/>
    <n v="0"/>
    <m/>
    <m/>
    <d v="2024-02-14T00:00:00"/>
    <m/>
    <n v="-45336"/>
    <m/>
    <m/>
    <d v="1899-12-30T00:00:00"/>
    <m/>
    <d v="2024-05-27T00:00:00"/>
    <m/>
    <m/>
    <n v="0"/>
    <n v="45439"/>
    <s v="PROYECTO REGIONAL"/>
    <m/>
    <m/>
  </r>
  <r>
    <x v="1"/>
    <m/>
    <x v="2"/>
    <m/>
    <s v="B2B Materiales"/>
    <m/>
    <m/>
    <s v="Validar con Mario estado del proyecto."/>
    <m/>
    <x v="4"/>
    <x v="9"/>
    <s v="CAR"/>
    <x v="0"/>
    <s v="Juan Carlos Benalcázar"/>
    <s v="COMPRAS"/>
    <x v="0"/>
    <s v="En curso"/>
    <s v="Q2"/>
    <x v="2"/>
    <m/>
    <s v="MEDIA"/>
    <n v="1"/>
    <m/>
    <m/>
    <m/>
    <m/>
    <n v="0"/>
    <m/>
    <m/>
    <d v="2024-02-21T00:00:00"/>
    <d v="2024-04-21T00:00:00"/>
    <n v="60"/>
    <d v="2024-04-21T00:00:00"/>
    <d v="2024-05-07T00:00:00"/>
    <n v="16"/>
    <d v="2024-05-07T00:00:00"/>
    <d v="2024-05-14T00:00:00"/>
    <m/>
    <m/>
    <n v="0"/>
    <n v="7"/>
    <m/>
    <m/>
    <m/>
  </r>
  <r>
    <x v="0"/>
    <m/>
    <x v="2"/>
    <m/>
    <s v="Confirmación de pago a proveedores en SAP"/>
    <m/>
    <m/>
    <s v="Confirmación por correo de pago efectuado a proveedores- B2B"/>
    <m/>
    <x v="4"/>
    <x v="10"/>
    <s v="CAR"/>
    <x v="0"/>
    <s v="Amparo Aleman"/>
    <s v="TESORERÍA"/>
    <x v="1"/>
    <s v="No iniciado"/>
    <s v="Q2"/>
    <x v="2"/>
    <m/>
    <s v="MEDIA"/>
    <n v="1"/>
    <n v="2"/>
    <n v="1"/>
    <n v="1100"/>
    <m/>
    <n v="2200"/>
    <m/>
    <m/>
    <d v="2024-04-07T00:00:00"/>
    <d v="2024-05-07T00:00:00"/>
    <n v="30"/>
    <d v="2024-04-28T00:00:00"/>
    <d v="2024-05-07T00:00:00"/>
    <n v="9"/>
    <d v="2024-05-07T00:00:00"/>
    <d v="2024-05-14T00:00:00"/>
    <m/>
    <m/>
    <n v="0.5"/>
    <n v="7"/>
    <m/>
    <m/>
    <m/>
  </r>
  <r>
    <x v="0"/>
    <m/>
    <x v="4"/>
    <m/>
    <s v="Pedidos Planta: Control de Cupos por empleado"/>
    <m/>
    <m/>
    <s v="Redimencionamiento de requerimiento para control de cupos en Planta"/>
    <m/>
    <x v="4"/>
    <x v="11"/>
    <s v="PLANTA"/>
    <x v="0"/>
    <s v="Diego Díaz "/>
    <s v="CONTABILIDAD Y SAP"/>
    <x v="1"/>
    <s v="No iniciado"/>
    <m/>
    <x v="1"/>
    <m/>
    <s v="MEDIA"/>
    <n v="1"/>
    <n v="6"/>
    <n v="1"/>
    <n v="550"/>
    <m/>
    <n v="3940"/>
    <m/>
    <m/>
    <d v="2024-07-01T00:00:00"/>
    <d v="2024-08-01T00:00:00"/>
    <n v="31"/>
    <d v="2024-08-01T00:00:00"/>
    <d v="2024-08-07T00:00:00"/>
    <n v="6"/>
    <d v="2024-08-07T00:00:00"/>
    <d v="2024-08-14T00:00:00"/>
    <m/>
    <m/>
    <n v="1.5"/>
    <n v="7"/>
    <m/>
    <m/>
    <m/>
  </r>
  <r>
    <x v="0"/>
    <m/>
    <x v="5"/>
    <m/>
    <s v="Obtención y Consolidación de reportes de compras. _x000a_Reporte de cierre de compras, KPIs de compras."/>
    <m/>
    <m/>
    <s v="El origen de la base depende del ERP utilizado en cada país, el mismo genera espera de 2 a 3 semanas. (VEN - CHILE - ARG)"/>
    <m/>
    <x v="4"/>
    <x v="12"/>
    <s v="CAR"/>
    <x v="0"/>
    <s v="Juan Carlos Benalcázar"/>
    <s v="COMPRAS"/>
    <x v="1"/>
    <s v="No iniciado"/>
    <s v="Q2"/>
    <x v="4"/>
    <m/>
    <s v="ALTA"/>
    <n v="1"/>
    <m/>
    <m/>
    <m/>
    <m/>
    <m/>
    <m/>
    <m/>
    <m/>
    <m/>
    <n v="0"/>
    <m/>
    <m/>
    <n v="0"/>
    <m/>
    <m/>
    <m/>
    <m/>
    <n v="0"/>
    <n v="0"/>
    <m/>
    <m/>
    <m/>
  </r>
  <r>
    <x v="0"/>
    <m/>
    <x v="2"/>
    <m/>
    <s v="Creación Empresa: DEVISO"/>
    <m/>
    <m/>
    <s v="Migración a SAP en Deviso"/>
    <m/>
    <x v="4"/>
    <x v="13"/>
    <s v="CAR"/>
    <x v="0"/>
    <s v="Ana Cordova"/>
    <s v="OTROS NEGOCIOS"/>
    <x v="0"/>
    <s v="En curso"/>
    <s v="Q1"/>
    <x v="0"/>
    <m/>
    <s v="BAJA"/>
    <n v="1"/>
    <n v="4"/>
    <m/>
    <m/>
    <m/>
    <n v="0"/>
    <m/>
    <m/>
    <d v="2024-02-07T00:00:00"/>
    <d v="2024-02-21T00:00:00"/>
    <n v="14"/>
    <d v="2024-02-21T00:00:00"/>
    <d v="2024-02-28T00:00:00"/>
    <n v="7"/>
    <d v="2024-03-07T00:00:00"/>
    <d v="2024-03-14T00:00:00"/>
    <m/>
    <m/>
    <n v="1"/>
    <n v="7"/>
    <m/>
    <m/>
    <m/>
  </r>
  <r>
    <x v="0"/>
    <m/>
    <x v="2"/>
    <m/>
    <s v="Cubierplast: Implementación de picking - Integracion Nueva Linea de Carton"/>
    <m/>
    <m/>
    <s v="- Implementación de picking en las áreas de producción_x000a_- Adquisición de nueva línea de negocios (papel)"/>
    <m/>
    <x v="4"/>
    <x v="14"/>
    <s v="CAR"/>
    <x v="0"/>
    <s v="Ana Cordova"/>
    <s v="OTROS NEGOCIOS"/>
    <x v="1"/>
    <s v="No iniciado"/>
    <s v="Q1"/>
    <x v="2"/>
    <m/>
    <s v="BAJA"/>
    <n v="1"/>
    <m/>
    <m/>
    <m/>
    <n v="0"/>
    <n v="0"/>
    <m/>
    <m/>
    <d v="2024-02-07T00:00:00"/>
    <d v="2024-03-28T00:00:00"/>
    <n v="50"/>
    <d v="2024-03-21T00:00:00"/>
    <d v="2024-03-28T00:00:00"/>
    <n v="7"/>
    <d v="2024-03-28T00:00:00"/>
    <d v="2024-04-07T00:00:00"/>
    <m/>
    <m/>
    <n v="0"/>
    <n v="10"/>
    <m/>
    <m/>
    <m/>
  </r>
  <r>
    <x v="0"/>
    <m/>
    <x v="4"/>
    <m/>
    <s v="FIONA: Coordinación de Movilización Colaboradores"/>
    <m/>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x v="4"/>
    <x v="8"/>
    <s v="CAR"/>
    <x v="0"/>
    <s v="Diego Díaz / Vladimir Morillo"/>
    <s v="CONTABILIDAD Y SAP"/>
    <x v="2"/>
    <s v="No iniciado"/>
    <m/>
    <x v="1"/>
    <m/>
    <s v="MEDIA"/>
    <m/>
    <n v="14"/>
    <n v="1"/>
    <n v="550"/>
    <m/>
    <n v="8340"/>
    <m/>
    <m/>
    <m/>
    <m/>
    <e v="#REF!"/>
    <m/>
    <m/>
    <d v="1899-12-30T00:00:00"/>
    <m/>
    <m/>
    <m/>
    <m/>
    <n v="3.5"/>
    <n v="0"/>
    <m/>
    <m/>
    <m/>
  </r>
  <r>
    <x v="0"/>
    <m/>
    <x v="3"/>
    <m/>
    <s v="Incluir en el reporte de transacciones la visualización detallada de items facturados en maxpoint"/>
    <s v="MXP 2.0"/>
    <m/>
    <s v="Al reporte de transacciones MAX POINT,  nos permita visulaizar la factura con sus detalles"/>
    <m/>
    <x v="4"/>
    <x v="6"/>
    <s v="CAR"/>
    <x v="0"/>
    <s v="Vladimir Morillo"/>
    <s v="AUDITORIA"/>
    <x v="1"/>
    <s v="No iniciado"/>
    <n v="1"/>
    <x v="0"/>
    <m/>
    <s v="BAJA"/>
    <n v="1"/>
    <n v="1"/>
    <n v="2"/>
    <n v="550"/>
    <m/>
    <n v="1680"/>
    <m/>
    <m/>
    <d v="2024-03-25T00:00:00"/>
    <d v="2024-04-08T00:00:00"/>
    <d v="1900-01-13T00:00:00"/>
    <d v="2024-04-09T00:00:00"/>
    <d v="2024-04-23T00:00:00"/>
    <d v="2894-03-30T00:00:00"/>
    <d v="2024-04-24T00:00:00"/>
    <d v="2024-05-08T00:00:00"/>
    <m/>
    <m/>
    <n v="0.25"/>
    <n v="14"/>
    <m/>
    <m/>
    <m/>
  </r>
  <r>
    <x v="0"/>
    <m/>
    <x v="3"/>
    <m/>
    <s v="Incluir 2 opciones en el proceso de pago con credito relacionado"/>
    <s v="MXP 2.0"/>
    <m/>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x v="4"/>
    <x v="6"/>
    <s v="CAR"/>
    <x v="0"/>
    <s v="Vladimir Morillo"/>
    <s v="AUDITORIA"/>
    <x v="1"/>
    <s v="No iniciado"/>
    <n v="2"/>
    <x v="2"/>
    <s v="De sistema payroll para que exponga emdiante api la información del personal"/>
    <s v="BAJA"/>
    <n v="1"/>
    <n v="2"/>
    <n v="1"/>
    <n v="550"/>
    <m/>
    <n v="1680"/>
    <m/>
    <m/>
    <d v="2024-04-15T00:00:00"/>
    <d v="2024-04-29T00:00:00"/>
    <d v="1900-01-13T00:00:00"/>
    <d v="2024-04-30T00:00:00"/>
    <d v="2024-05-14T00:00:00"/>
    <d v="2894-09-14T00:00:00"/>
    <d v="2024-05-15T00:00:00"/>
    <d v="2024-05-19T00:00:00"/>
    <m/>
    <m/>
    <n v="0.5"/>
    <n v="4"/>
    <m/>
    <m/>
    <m/>
  </r>
  <r>
    <x v="0"/>
    <m/>
    <x v="3"/>
    <m/>
    <s v="Automatizar el registro de las ventas de campaña solidaria"/>
    <s v="MXP 2.0"/>
    <m/>
    <s v="Automatizar las campañas solidarias en MAX POINT Y SIR que realiza EL GRUPO KFC "/>
    <m/>
    <x v="4"/>
    <x v="6"/>
    <s v="CAR"/>
    <x v="0"/>
    <s v="Vladimir Morillo"/>
    <s v="AUDITORIA"/>
    <x v="1"/>
    <s v="No iniciado"/>
    <n v="2"/>
    <x v="2"/>
    <s v="Se debe también hacer un cambio en SIR"/>
    <s v="BAJA"/>
    <n v="1"/>
    <n v="3"/>
    <n v="1"/>
    <n v="550"/>
    <m/>
    <n v="2230"/>
    <m/>
    <m/>
    <d v="2024-04-30T00:00:00"/>
    <d v="2024-05-21T00:00:00"/>
    <d v="1900-01-20T00:00:00"/>
    <d v="2024-05-22T00:00:00"/>
    <d v="2024-06-05T00:00:00"/>
    <d v="2895-03-09T00:00:00"/>
    <d v="2024-06-06T00:00:00"/>
    <d v="2024-06-20T00:00:00"/>
    <m/>
    <m/>
    <n v="0.75"/>
    <n v="14"/>
    <m/>
    <m/>
    <m/>
  </r>
  <r>
    <x v="0"/>
    <m/>
    <x v="3"/>
    <m/>
    <s v="Nuevo reporte de retiros, arqueos y desmontajes de usuarios"/>
    <s v="MXP 2.0"/>
    <m/>
    <s v="Generar un reporte en MAX POINT, donde se pueda visulizar los retiros, arqueos y desmotanjes por usuarios. "/>
    <m/>
    <x v="4"/>
    <x v="6"/>
    <s v="CAR"/>
    <x v="0"/>
    <s v="Vladimir Morillo"/>
    <s v="AUDITORIA"/>
    <x v="1"/>
    <s v="No iniciado"/>
    <n v="1"/>
    <x v="2"/>
    <m/>
    <s v="BAJA"/>
    <n v="1"/>
    <n v="3"/>
    <n v="1"/>
    <n v="550"/>
    <m/>
    <n v="2230"/>
    <m/>
    <m/>
    <d v="2024-05-06T00:00:00"/>
    <d v="2024-05-27T00:00:00"/>
    <d v="1900-01-20T00:00:00"/>
    <d v="2024-05-18T00:00:00"/>
    <d v="2024-06-11T00:00:00"/>
    <d v="2895-02-15T00:00:00"/>
    <d v="2024-06-12T00:00:00"/>
    <d v="2024-06-26T00:00:00"/>
    <m/>
    <m/>
    <n v="0.75"/>
    <n v="14"/>
    <m/>
    <m/>
    <m/>
  </r>
  <r>
    <x v="0"/>
    <m/>
    <x v="3"/>
    <m/>
    <s v="Visualización resaltada en notas de crédito por concepto de cambio de datos"/>
    <s v="MXP 2.0"/>
    <m/>
    <s v="Resaltar NC en Maxpoint que sean por CAMBIO DE DATOS"/>
    <m/>
    <x v="4"/>
    <x v="6"/>
    <s v="CAR"/>
    <x v="0"/>
    <s v="Vladimir Morillo"/>
    <s v="AUDITORIA"/>
    <x v="1"/>
    <s v="No iniciado"/>
    <n v="2"/>
    <x v="2"/>
    <m/>
    <s v="BAJA"/>
    <n v="1"/>
    <n v="1"/>
    <n v="2"/>
    <n v="550"/>
    <m/>
    <n v="1680"/>
    <m/>
    <m/>
    <d v="2024-05-27T00:00:00"/>
    <d v="2024-06-10T00:00:00"/>
    <d v="1900-01-13T00:00:00"/>
    <d v="2024-06-11T00:00:00"/>
    <d v="2024-06-25T00:00:00"/>
    <d v="2895-08-16T00:00:00"/>
    <d v="2024-06-26T00:00:00"/>
    <d v="2024-07-10T00:00:00"/>
    <m/>
    <m/>
    <n v="0.25"/>
    <n v="14"/>
    <m/>
    <m/>
    <m/>
  </r>
  <r>
    <x v="0"/>
    <m/>
    <x v="3"/>
    <m/>
    <s v="Control de cambio de Claves  de Usuarios Maxpoint"/>
    <s v="MXP 2.0"/>
    <m/>
    <s v="MAX POINT, debería solicitar automáticamente en un periodo CAMBIO DE CLAVES DE USUARIOS"/>
    <m/>
    <x v="4"/>
    <x v="6"/>
    <s v="CAR"/>
    <x v="0"/>
    <s v="Vladimir Morillo"/>
    <s v="AUDITORIA"/>
    <x v="1"/>
    <s v="No iniciado"/>
    <n v="3"/>
    <x v="2"/>
    <m/>
    <s v="BAJA"/>
    <n v="1"/>
    <n v="1"/>
    <n v="4"/>
    <n v="550"/>
    <m/>
    <n v="2780"/>
    <m/>
    <m/>
    <d v="2024-05-27T00:00:00"/>
    <d v="2024-06-24T00:00:00"/>
    <d v="1900-01-27T00:00:00"/>
    <d v="2024-06-25T00:00:00"/>
    <d v="2024-07-09T00:00:00"/>
    <d v="2895-12-06T00:00:00"/>
    <d v="2024-07-10T00:00:00"/>
    <d v="2024-07-24T00:00:00"/>
    <m/>
    <m/>
    <n v="0.25"/>
    <n v="14"/>
    <m/>
    <m/>
    <m/>
  </r>
  <r>
    <x v="0"/>
    <m/>
    <x v="3"/>
    <m/>
    <s v="Incluir columna de Número de Mesa en reporte Maxpoint"/>
    <m/>
    <m/>
    <s v="Al reporte de transacciones MAX POINT,  Incluir una columna el numero de mesa"/>
    <m/>
    <x v="4"/>
    <x v="6"/>
    <s v="CAR"/>
    <x v="0"/>
    <s v="Vladimir Morillo"/>
    <s v="AUDITORIA"/>
    <x v="1"/>
    <s v="No iniciado"/>
    <n v="4"/>
    <x v="2"/>
    <m/>
    <s v="BAJA"/>
    <n v="1"/>
    <n v="2"/>
    <n v="1"/>
    <n v="550"/>
    <m/>
    <n v="1680"/>
    <m/>
    <m/>
    <d v="2024-06-11T00:00:00"/>
    <d v="2024-06-25T00:00:00"/>
    <d v="1900-01-13T00:00:00"/>
    <d v="2024-06-26T00:00:00"/>
    <d v="2024-07-10T00:00:00"/>
    <d v="2895-12-14T00:00:00"/>
    <d v="2024-07-11T00:00:00"/>
    <d v="2024-07-25T00:00:00"/>
    <m/>
    <m/>
    <n v="0.5"/>
    <n v="14"/>
    <m/>
    <m/>
    <m/>
  </r>
  <r>
    <x v="0"/>
    <m/>
    <x v="3"/>
    <m/>
    <s v="Nuevo Reporte de Ventas Baskin y Cinnabon"/>
    <m/>
    <m/>
    <s v="Al reporte de transacciones MAX POINT,  Incluir UN REPORTE DE LA VENTA DE BASKIN Y CINNABON con todas las transacciones"/>
    <m/>
    <x v="4"/>
    <x v="6"/>
    <s v="CAR"/>
    <x v="0"/>
    <s v="Vladimir Morillo"/>
    <s v="AUDITORIA"/>
    <x v="1"/>
    <s v="No iniciado"/>
    <s v="Q2"/>
    <x v="2"/>
    <m/>
    <s v="BAJA"/>
    <n v="1"/>
    <n v="3"/>
    <n v="1"/>
    <n v="550"/>
    <m/>
    <n v="2230"/>
    <m/>
    <m/>
    <d v="2024-06-25T00:00:00"/>
    <d v="2024-07-16T00:00:00"/>
    <d v="1900-01-20T00:00:00"/>
    <d v="2024-07-17T00:00:00"/>
    <d v="2024-07-31T00:00:00"/>
    <d v="2896-05-30T00:00:00"/>
    <d v="2024-08-01T00:00:00"/>
    <d v="2024-08-15T00:00:00"/>
    <m/>
    <m/>
    <n v="0.75"/>
    <n v="14"/>
    <m/>
    <m/>
    <m/>
  </r>
  <r>
    <x v="0"/>
    <m/>
    <x v="1"/>
    <m/>
    <s v="Migración del Sistema SIR a última versión"/>
    <m/>
    <m/>
    <s v="Vinculo con los compromisos de la matriz regional"/>
    <m/>
    <x v="1"/>
    <x v="0"/>
    <s v="REGIONAL"/>
    <x v="2"/>
    <s v="Adrian Gadja"/>
    <s v="AR"/>
    <x v="0"/>
    <s v="En curso"/>
    <n v="1"/>
    <x v="0"/>
    <m/>
    <s v="ALTA"/>
    <m/>
    <n v="8"/>
    <n v="1"/>
    <n v="450"/>
    <m/>
    <n v="2500"/>
    <m/>
    <m/>
    <d v="2023-09-01T00:00:00"/>
    <d v="2024-03-26T00:00:00"/>
    <e v="#REF!"/>
    <m/>
    <m/>
    <d v="1899-12-30T00:00:00"/>
    <m/>
    <m/>
    <m/>
    <m/>
    <n v="2"/>
    <n v="0"/>
    <s v="El proyecto se inciio el año pasado, por decisión del cliente se retoman pruebas este año"/>
    <m/>
    <m/>
  </r>
  <r>
    <x v="0"/>
    <m/>
    <x v="1"/>
    <m/>
    <s v="Interfaz SAP-SIR: Mayores Contables y Usos y Consumos"/>
    <m/>
    <m/>
    <s v="Nuevo Requerimiento - Activación y adecuación"/>
    <m/>
    <x v="0"/>
    <x v="0"/>
    <s v="REGIONAL"/>
    <x v="1"/>
    <s v="Davis Nuñez"/>
    <s v="CL"/>
    <x v="0"/>
    <s v="No iniciado"/>
    <m/>
    <x v="2"/>
    <m/>
    <s v="MEDIA"/>
    <m/>
    <n v="3"/>
    <n v="1"/>
    <n v="400"/>
    <n v="2000"/>
    <n v="3840"/>
    <m/>
    <m/>
    <d v="2024-04-22T00:00:00"/>
    <d v="2024-05-17T00:00:00"/>
    <e v="#REF!"/>
    <d v="2024-05-21T00:00:00"/>
    <d v="2024-05-31T00:00:00"/>
    <d v="2895-02-25T00:00:00"/>
    <m/>
    <d v="2024-05-14T00:00:00"/>
    <m/>
    <m/>
    <n v="0.75"/>
    <n v="45426"/>
    <m/>
    <m/>
    <m/>
  </r>
  <r>
    <x v="0"/>
    <m/>
    <x v="1"/>
    <m/>
    <s v="Mantenimiento Chile"/>
    <m/>
    <m/>
    <m/>
    <m/>
    <x v="1"/>
    <x v="3"/>
    <s v="REGIONAL"/>
    <x v="1"/>
    <s v="Davis Nuñez"/>
    <s v="CL"/>
    <x v="0"/>
    <s v="En curso"/>
    <m/>
    <x v="3"/>
    <m/>
    <s v="MEDIA"/>
    <m/>
    <n v="44"/>
    <n v="1"/>
    <n v="275"/>
    <m/>
    <n v="12740"/>
    <m/>
    <m/>
    <d v="2024-03-01T00:00:00"/>
    <d v="2025-01-31T00:00:00"/>
    <e v="#REF!"/>
    <d v="2024-03-01T00:00:00"/>
    <d v="2025-01-31T00:00:00"/>
    <d v="2894-04-09T00:00:00"/>
    <m/>
    <m/>
    <m/>
    <m/>
    <n v="11"/>
    <n v="0"/>
    <m/>
    <m/>
    <m/>
  </r>
  <r>
    <x v="0"/>
    <m/>
    <x v="3"/>
    <m/>
    <s v="Incluir el valor de la propina al total de la transacción en las notas de crédito - dolce incontro"/>
    <m/>
    <m/>
    <s v="Anulaciones/notas de crédito en transacciones que cuentan con propina - dolce incontro"/>
    <m/>
    <x v="4"/>
    <x v="15"/>
    <s v="CAR"/>
    <x v="0"/>
    <s v="José Fernandez"/>
    <s v="CONTABILIDAD Y SAP"/>
    <x v="1"/>
    <s v="No iniciado"/>
    <m/>
    <x v="2"/>
    <s v="FACTIBILIDAD TÉCNICA SRI POR VALIDAR"/>
    <s v="ALTA"/>
    <n v="1"/>
    <n v="2"/>
    <n v="1"/>
    <n v="550"/>
    <m/>
    <n v="1680"/>
    <m/>
    <m/>
    <d v="2024-05-06T00:00:00"/>
    <d v="2024-05-20T00:00:00"/>
    <d v="1900-01-13T00:00:00"/>
    <d v="2024-06-05T00:00:00"/>
    <d v="2024-06-19T00:00:00"/>
    <d v="2895-06-29T00:00:00"/>
    <d v="2024-06-24T00:00:00"/>
    <d v="2024-07-08T00:00:00"/>
    <m/>
    <m/>
    <n v="0.5"/>
    <n v="14"/>
    <s v="Identificado Grupo de Soporte"/>
    <m/>
    <m/>
  </r>
  <r>
    <x v="0"/>
    <m/>
    <x v="0"/>
    <s v="Kioscos"/>
    <s v="Kiosco V3 (Nueva Api Tiendas)"/>
    <s v="MXP LEGACY_x000a_TRADE"/>
    <m/>
    <s v="Migracion del canal de kioscos a V3 para poder contar las funcionalidades de cupones, descuentos y propinas"/>
    <s v="ALTA"/>
    <x v="1"/>
    <x v="2"/>
    <s v="CAR"/>
    <x v="4"/>
    <s v="Daniel Barreno"/>
    <s v="TRANSFORMACIÓN DIGITAL"/>
    <x v="0"/>
    <s v="No iniciado"/>
    <e v="#N/A"/>
    <x v="2"/>
    <s v="p20"/>
    <s v="ALTA"/>
    <n v="1"/>
    <n v="4"/>
    <n v="1"/>
    <n v="550"/>
    <m/>
    <n v="2840"/>
    <m/>
    <m/>
    <d v="2024-04-29T00:00:00"/>
    <d v="2024-05-13T00:00:00"/>
    <n v="14"/>
    <d v="2024-05-13T00:00:00"/>
    <d v="2024-05-20T00:00:00"/>
    <n v="363407"/>
    <d v="2024-05-20T00:00:00"/>
    <d v="2024-05-27T00:00:00"/>
    <d v="2024-06-01T00:00:00"/>
    <d v="2024-06-29T00:00:00"/>
    <n v="1"/>
    <n v="7"/>
    <s v="PROYECTO REGIONAL"/>
    <m/>
    <s v="x"/>
  </r>
  <r>
    <x v="0"/>
    <m/>
    <x v="0"/>
    <s v="Kioscos"/>
    <s v="Kiosco V3 (Nueva Api Tiendas)"/>
    <s v="MXP LEGACY_x000a_TRADE"/>
    <m/>
    <s v="Migracion del canal de kioscos a V3 para poder contar las funcionalidades de cupones, descuentos y propinas"/>
    <s v="ALTA"/>
    <x v="1"/>
    <x v="2"/>
    <s v="CAR"/>
    <x v="2"/>
    <s v="Daniel Barreno"/>
    <s v="TRANSFORMACIÓN DIGITAL"/>
    <x v="0"/>
    <s v="No iniciado"/>
    <e v="#N/A"/>
    <x v="2"/>
    <s v="p20"/>
    <s v="ALTA"/>
    <n v="1"/>
    <n v="4"/>
    <n v="1"/>
    <n v="550"/>
    <m/>
    <n v="2840"/>
    <m/>
    <m/>
    <d v="2024-04-29T00:00:00"/>
    <d v="2024-05-13T00:00:00"/>
    <n v="14"/>
    <d v="2024-05-13T00:00:00"/>
    <d v="2024-05-20T00:00:00"/>
    <n v="363407"/>
    <d v="2024-05-20T00:00:00"/>
    <d v="2024-05-27T00:00:00"/>
    <d v="2024-06-01T00:00:00"/>
    <d v="2024-06-29T00:00:00"/>
    <n v="1"/>
    <n v="7"/>
    <s v="PROYECTO REGIONAL"/>
    <m/>
    <s v="x"/>
  </r>
  <r>
    <x v="0"/>
    <m/>
    <x v="0"/>
    <s v="Kioscos"/>
    <s v="Kioskos - Pagos en Efectivo con cambio automatico"/>
    <s v="MXP LEGACY_x000a_TRADE"/>
    <m/>
    <s v="Complemento de kioskos para poder cobrar en efectivo desde el kiosko"/>
    <s v="BAJA"/>
    <x v="4"/>
    <x v="2"/>
    <s v="CAR"/>
    <x v="0"/>
    <s v="Luis Salazar"/>
    <s v="TRANSFORMACIÓN DIGITAL"/>
    <x v="0"/>
    <s v="No iniciado"/>
    <s v="Q4"/>
    <x v="3"/>
    <s v="p76"/>
    <s v="ALTA"/>
    <m/>
    <n v="10"/>
    <n v="2"/>
    <n v="550"/>
    <m/>
    <n v="11640"/>
    <m/>
    <m/>
    <d v="2024-10-07T00:00:00"/>
    <d v="2024-11-11T00:00:00"/>
    <n v="35"/>
    <d v="2024-11-11T00:00:00"/>
    <d v="2024-11-25T00:00:00"/>
    <n v="364870"/>
    <d v="2024-11-25T00:00:00"/>
    <d v="2024-12-02T00:00:00"/>
    <d v="2024-10-01T00:00:00"/>
    <d v="2024-12-10T00:00:00"/>
    <n v="2.5"/>
    <n v="7"/>
    <m/>
    <m/>
    <s v="x"/>
  </r>
  <r>
    <x v="0"/>
    <m/>
    <x v="0"/>
    <s v="Formas de Pago"/>
    <s v="Api Core Formas de Pago"/>
    <s v="MXP LEGACY"/>
    <m/>
    <s v="Integrar el API Formas de Pago en Maxpoint de todos los países para usar las Wallets, en CL, CO y EC prioridad 1, Mercado Pago Pay , Daviplata Colombia, Nequi Colombia, Edenred Chile, Sodexo Chile, Amipass Chile, Deuna Banco Pichincha Ecuador"/>
    <s v="ALTA"/>
    <x v="1"/>
    <x v="1"/>
    <s v="DSI"/>
    <x v="2"/>
    <s v="Mychael Castro"/>
    <s v="DSI"/>
    <x v="0"/>
    <s v="No iniciado"/>
    <m/>
    <x v="2"/>
    <m/>
    <s v="MEDIA"/>
    <n v="1"/>
    <n v="4"/>
    <n v="1"/>
    <n v="550"/>
    <m/>
    <n v="2840"/>
    <m/>
    <m/>
    <d v="2024-03-25T00:00:00"/>
    <d v="2024-04-08T00:00:00"/>
    <n v="14"/>
    <d v="2024-04-08T00:00:00"/>
    <d v="2024-04-15T00:00:00"/>
    <n v="363127"/>
    <d v="2024-04-15T00:00:00"/>
    <d v="2024-04-22T00:00:00"/>
    <d v="2024-06-01T00:00:00"/>
    <d v="2024-06-29T00:00:00"/>
    <n v="1"/>
    <n v="7"/>
    <m/>
    <m/>
    <s v="x"/>
  </r>
  <r>
    <x v="0"/>
    <m/>
    <x v="0"/>
    <s v="Cupones"/>
    <s v="Cupones QR - Empresariales"/>
    <s v="MXP LEGACY_x000a_TRADE"/>
    <m/>
    <s v="Compromiso Matriz Regional  (Ecuador, Argentina) (api v3 cupones)"/>
    <s v="MEDIA"/>
    <x v="1"/>
    <x v="1"/>
    <s v="DSI"/>
    <x v="2"/>
    <s v="Mychael Castro - José Fernandez"/>
    <s v="DSI"/>
    <x v="0"/>
    <s v="No iniciado"/>
    <m/>
    <x v="2"/>
    <s v="P37"/>
    <s v="MEDIA"/>
    <n v="1"/>
    <n v="4"/>
    <n v="1"/>
    <n v="550"/>
    <m/>
    <n v="2840"/>
    <m/>
    <m/>
    <d v="2024-04-01T00:00:00"/>
    <d v="2024-04-15T00:00:00"/>
    <n v="14"/>
    <d v="2024-04-15T00:00:00"/>
    <d v="2024-04-22T00:00:00"/>
    <n v="363183"/>
    <d v="2024-04-22T00:00:00"/>
    <d v="2024-04-29T00:00:00"/>
    <d v="2024-06-01T00:00:00"/>
    <d v="2024-06-29T00:00:00"/>
    <n v="1"/>
    <n v="7"/>
    <s v="PROYECTO REGIONAL"/>
    <m/>
    <m/>
  </r>
  <r>
    <x v="0"/>
    <m/>
    <x v="0"/>
    <s v="Kioscos"/>
    <s v="Ley de protección - Kioskos (optim)"/>
    <s v="MXP LEGACY_x000a_TRADE"/>
    <m/>
    <s v="Recepción de aceptaciones de la ley de protección de datos de los kioscos Ecuador, Recepcion de aceptación por separado"/>
    <s v="ALTA"/>
    <x v="4"/>
    <x v="2"/>
    <s v="CAR"/>
    <x v="0"/>
    <s v="Daniel Barreno"/>
    <s v="TRANSFORMACIÓN DIGITAL"/>
    <x v="0"/>
    <s v="No iniciado"/>
    <e v="#N/A"/>
    <x v="0"/>
    <s v="p19"/>
    <s v="MEDIA"/>
    <m/>
    <n v="6"/>
    <n v="1"/>
    <n v="550"/>
    <m/>
    <n v="3940"/>
    <m/>
    <m/>
    <d v="2024-03-04T00:00:00"/>
    <d v="2024-03-18T00:00:00"/>
    <n v="14"/>
    <d v="2024-03-18T00:00:00"/>
    <d v="2024-03-25T00:00:00"/>
    <n v="362959"/>
    <d v="2024-03-25T00:00:00"/>
    <d v="2024-04-01T00:00:00"/>
    <d v="2024-04-01T00:00:00"/>
    <d v="2024-05-13T00:00:00"/>
    <n v="1.5"/>
    <n v="7"/>
    <s v="ECOMERCE"/>
    <m/>
    <s v="x"/>
  </r>
  <r>
    <x v="0"/>
    <m/>
    <x v="0"/>
    <s v="Agregadores"/>
    <s v="Integraciones Automáticas- Agregadores - + Justo​+Trade"/>
    <s v="MXP LEGACY_x000a_MXP 2.0_x000a_"/>
    <m/>
    <s v="Compromiso Matriz Regional  (Argentina)"/>
    <s v="MEDIA"/>
    <x v="1"/>
    <x v="1"/>
    <s v="DSI"/>
    <x v="2"/>
    <s v="Mychael Castro"/>
    <s v="DSI"/>
    <x v="0"/>
    <s v="No iniciado"/>
    <m/>
    <x v="2"/>
    <s v="p39"/>
    <s v="MEDIA"/>
    <n v="1"/>
    <n v="4"/>
    <n v="1"/>
    <n v="550"/>
    <m/>
    <n v="2840"/>
    <m/>
    <m/>
    <d v="2024-05-13T00:00:00"/>
    <d v="2024-05-27T00:00:00"/>
    <n v="14"/>
    <d v="2024-05-27T00:00:00"/>
    <d v="2024-06-03T00:00:00"/>
    <n v="363519"/>
    <d v="2024-06-03T00:00:00"/>
    <d v="2024-06-10T00:00:00"/>
    <d v="2024-06-01T00:00:00"/>
    <d v="2024-06-29T00:00:00"/>
    <n v="1"/>
    <n v="7"/>
    <s v="PROYECTO REGIONAL"/>
    <m/>
    <m/>
  </r>
  <r>
    <x v="0"/>
    <m/>
    <x v="0"/>
    <s v="Kioscos"/>
    <s v="Metodo de pago  - Kiosko Integración DEUNA B.P"/>
    <s v="MXP LEGACY_x000a_TRADE"/>
    <m/>
    <s v="Integrar el API Formas de Pago Deuna"/>
    <s v="BAJA"/>
    <x v="4"/>
    <x v="2"/>
    <s v="CAR"/>
    <x v="0"/>
    <s v="Daniel Barreno"/>
    <s v="TRANSFORMACIÓN DIGITAL"/>
    <x v="0"/>
    <s v="No iniciado"/>
    <m/>
    <x v="3"/>
    <m/>
    <s v="BAJA"/>
    <m/>
    <n v="3"/>
    <n v="1"/>
    <n v="550"/>
    <m/>
    <n v="2290"/>
    <m/>
    <m/>
    <d v="2024-11-04T00:00:00"/>
    <d v="2024-11-11T00:00:00"/>
    <n v="7"/>
    <d v="2024-11-11T00:00:00"/>
    <d v="2024-11-18T00:00:00"/>
    <n v="364863"/>
    <d v="2024-11-18T00:00:00"/>
    <d v="2024-11-25T00:00:00"/>
    <d v="2024-11-01T00:00:00"/>
    <d v="2024-11-22T00:00:00"/>
    <n v="0.75"/>
    <n v="7"/>
    <m/>
    <m/>
    <s v="x"/>
  </r>
  <r>
    <x v="0"/>
    <m/>
    <x v="0"/>
    <s v="APP"/>
    <s v="Metodo de pago APP"/>
    <s v="MXP LEGACY_x000a_TRADE"/>
    <m/>
    <s v="Habilitar a Maxpoint para que ingrese el pago pagando desde la aplicación con un QR (counter y Kiosco) Chile"/>
    <s v="BAJA"/>
    <x v="1"/>
    <x v="2"/>
    <s v="CAR"/>
    <x v="1"/>
    <s v="Daniel Barreno / Davis Nuñez"/>
    <s v="TRANSFORMACIÓN DIGITAL"/>
    <x v="0"/>
    <s v="No iniciado"/>
    <s v="Q4"/>
    <x v="3"/>
    <s v="p72"/>
    <s v="ALTA"/>
    <m/>
    <n v="9"/>
    <n v="1"/>
    <n v="550"/>
    <m/>
    <n v="5590"/>
    <m/>
    <m/>
    <d v="2024-11-04T00:00:00"/>
    <d v="2024-12-09T00:00:00"/>
    <n v="35"/>
    <d v="2024-12-09T00:00:00"/>
    <d v="2024-12-23T00:00:00"/>
    <n v="365094"/>
    <d v="2024-12-23T00:00:00"/>
    <d v="2025-01-06T00:00:00"/>
    <d v="2024-11-01T00:00:00"/>
    <d v="2025-01-03T00:00:00"/>
    <n v="2.25"/>
    <n v="14"/>
    <s v="ECOMERCE"/>
    <m/>
    <s v="x"/>
  </r>
  <r>
    <x v="0"/>
    <m/>
    <x v="0"/>
    <s v="Motorizado Delivery"/>
    <s v="Monitor de Pedidos Motorizados DY Propios"/>
    <s v="MXP LEGACY_x000a_TRADE"/>
    <m/>
    <s v="Nuevo Requerimiento"/>
    <s v="MEDIA"/>
    <x v="0"/>
    <x v="0"/>
    <s v="DSI"/>
    <x v="1"/>
    <s v="Davis Nuñez"/>
    <s v="DSI"/>
    <x v="0"/>
    <s v="No iniciado"/>
    <m/>
    <x v="3"/>
    <s v="p77"/>
    <s v="MEDIA"/>
    <m/>
    <n v="9"/>
    <n v="1"/>
    <n v="550"/>
    <m/>
    <n v="5590"/>
    <m/>
    <m/>
    <d v="2024-10-14T00:00:00"/>
    <d v="2024-11-11T00:00:00"/>
    <n v="28"/>
    <d v="2024-11-11T00:00:00"/>
    <d v="2024-11-25T00:00:00"/>
    <n v="364870"/>
    <d v="2024-11-25T00:00:00"/>
    <d v="2024-12-16T00:00:00"/>
    <d v="2024-10-01T00:00:00"/>
    <d v="2024-12-03T00:00:00"/>
    <n v="2.25"/>
    <n v="21"/>
    <s v="Contexto."/>
    <m/>
    <m/>
  </r>
  <r>
    <x v="2"/>
    <m/>
    <x v="7"/>
    <m/>
    <m/>
    <m/>
    <m/>
    <m/>
    <m/>
    <x v="4"/>
    <x v="8"/>
    <m/>
    <x v="2"/>
    <m/>
    <m/>
    <x v="3"/>
    <m/>
    <m/>
    <x v="4"/>
    <m/>
    <m/>
    <m/>
    <m/>
    <m/>
    <m/>
    <m/>
    <n v="640"/>
    <m/>
    <m/>
    <m/>
    <m/>
    <e v="#REF!"/>
    <m/>
    <m/>
    <d v="1899-12-30T00:00:00"/>
    <m/>
    <m/>
    <m/>
    <m/>
    <n v="0"/>
    <n v="0"/>
    <m/>
    <m/>
    <m/>
  </r>
  <r>
    <x v="2"/>
    <m/>
    <x v="7"/>
    <m/>
    <m/>
    <m/>
    <m/>
    <m/>
    <m/>
    <x v="4"/>
    <x v="8"/>
    <m/>
    <x v="1"/>
    <m/>
    <m/>
    <x v="3"/>
    <m/>
    <m/>
    <x v="4"/>
    <m/>
    <m/>
    <m/>
    <m/>
    <m/>
    <m/>
    <m/>
    <n v="640"/>
    <m/>
    <m/>
    <m/>
    <m/>
    <e v="#REF!"/>
    <m/>
    <m/>
    <d v="1899-12-30T00:00:00"/>
    <m/>
    <m/>
    <m/>
    <m/>
    <n v="0"/>
    <n v="0"/>
    <m/>
    <m/>
    <m/>
  </r>
  <r>
    <x v="2"/>
    <m/>
    <x v="7"/>
    <m/>
    <m/>
    <m/>
    <m/>
    <m/>
    <m/>
    <x v="4"/>
    <x v="8"/>
    <m/>
    <x v="3"/>
    <m/>
    <m/>
    <x v="3"/>
    <m/>
    <m/>
    <x v="4"/>
    <m/>
    <m/>
    <m/>
    <m/>
    <m/>
    <m/>
    <m/>
    <n v="640"/>
    <m/>
    <m/>
    <m/>
    <m/>
    <e v="#REF!"/>
    <m/>
    <m/>
    <d v="1899-12-30T00:00:00"/>
    <m/>
    <m/>
    <m/>
    <m/>
    <n v="0"/>
    <n v="0"/>
    <m/>
    <m/>
    <m/>
  </r>
  <r>
    <x v="2"/>
    <m/>
    <x v="7"/>
    <m/>
    <m/>
    <m/>
    <m/>
    <m/>
    <m/>
    <x v="4"/>
    <x v="8"/>
    <m/>
    <x v="4"/>
    <m/>
    <m/>
    <x v="3"/>
    <m/>
    <m/>
    <x v="4"/>
    <m/>
    <m/>
    <m/>
    <m/>
    <m/>
    <m/>
    <m/>
    <n v="640"/>
    <m/>
    <m/>
    <m/>
    <m/>
    <e v="#REF!"/>
    <m/>
    <m/>
    <d v="1899-12-30T00:00:00"/>
    <m/>
    <m/>
    <m/>
    <m/>
    <n v="0"/>
    <n v="0"/>
    <m/>
    <m/>
    <m/>
  </r>
  <r>
    <x v="2"/>
    <m/>
    <x v="7"/>
    <m/>
    <s v="MVE-1. Homologación Reporte Inventario"/>
    <m/>
    <s v="Homologar con Ecuador la columna de diferencia en el registro de inventario de SIR (revisar si va directo a soporte)"/>
    <m/>
    <m/>
    <x v="4"/>
    <x v="8"/>
    <m/>
    <x v="0"/>
    <m/>
    <m/>
    <x v="3"/>
    <m/>
    <m/>
    <x v="4"/>
    <m/>
    <m/>
    <m/>
    <m/>
    <m/>
    <m/>
    <m/>
    <n v="640"/>
    <m/>
    <m/>
    <m/>
    <m/>
    <e v="#REF!"/>
    <m/>
    <m/>
    <d v="1899-12-30T00:00:00"/>
    <m/>
    <m/>
    <m/>
    <m/>
    <n v="0"/>
    <n v="0"/>
    <m/>
    <m/>
    <m/>
  </r>
  <r>
    <x v="2"/>
    <m/>
    <x v="7"/>
    <m/>
    <s v="Cupones de Cortesía, Dinero y Empleados"/>
    <m/>
    <m/>
    <m/>
    <m/>
    <x v="4"/>
    <x v="8"/>
    <m/>
    <x v="0"/>
    <m/>
    <m/>
    <x v="3"/>
    <m/>
    <m/>
    <x v="4"/>
    <m/>
    <m/>
    <m/>
    <m/>
    <m/>
    <m/>
    <m/>
    <n v="640"/>
    <m/>
    <m/>
    <m/>
    <m/>
    <e v="#REF!"/>
    <m/>
    <m/>
    <d v="1899-12-30T00:00:00"/>
    <m/>
    <m/>
    <m/>
    <m/>
    <n v="0"/>
    <n v="0"/>
    <m/>
    <m/>
    <m/>
  </r>
  <r>
    <x v="0"/>
    <m/>
    <x v="1"/>
    <m/>
    <s v="MCL-1. Administración de Gavetas"/>
    <m/>
    <m/>
    <s v="Nuevo Requerimiento"/>
    <m/>
    <x v="0"/>
    <x v="3"/>
    <s v="REGIONAL"/>
    <x v="1"/>
    <s v="Davis Nuñez"/>
    <s v="CL"/>
    <x v="0"/>
    <s v="No iniciado"/>
    <m/>
    <x v="1"/>
    <m/>
    <s v="MEDIA"/>
    <m/>
    <n v="2"/>
    <n v="2"/>
    <n v="400"/>
    <m/>
    <m/>
    <m/>
    <m/>
    <d v="2024-06-17T00:00:00"/>
    <d v="2024-06-28T00:00:00"/>
    <e v="#REF!"/>
    <d v="2024-07-02T00:00:00"/>
    <d v="2024-07-09T00:00:00"/>
    <d v="2896-01-24T00:00:00"/>
    <m/>
    <m/>
    <m/>
    <m/>
    <n v="0.5"/>
    <n v="0"/>
    <m/>
    <m/>
    <m/>
  </r>
  <r>
    <x v="0"/>
    <m/>
    <x v="3"/>
    <m/>
    <s v="Desarrollo para cambio de pindpad por posnet"/>
    <m/>
    <m/>
    <s v="Vinculo con implementación de kioskos"/>
    <m/>
    <x v="0"/>
    <x v="0"/>
    <s v="REGIONAL"/>
    <x v="2"/>
    <s v="Adrian Gadja"/>
    <s v="AR"/>
    <x v="0"/>
    <s v="No iniciado"/>
    <m/>
    <x v="2"/>
    <m/>
    <s v="MEDIA"/>
    <n v="1"/>
    <n v="8"/>
    <n v="1"/>
    <n v="550"/>
    <m/>
    <n v="4400"/>
    <m/>
    <m/>
    <d v="2024-04-01T00:00:00"/>
    <d v="2024-05-10T00:00:00"/>
    <e v="#REF!"/>
    <d v="2024-05-13T00:00:00"/>
    <d v="2024-05-17T00:00:00"/>
    <d v="2894-12-17T00:00:00"/>
    <d v="2024-05-20T00:00:00"/>
    <d v="2024-05-24T00:00:00"/>
    <m/>
    <m/>
    <n v="2"/>
    <n v="4"/>
    <m/>
    <m/>
    <m/>
  </r>
  <r>
    <x v="0"/>
    <m/>
    <x v="0"/>
    <s v="DragonTail"/>
    <s v="Mxp Delivery - Dragon Tail (Integración)"/>
    <s v="MXP LEGACY_x000a_MXP 2.0"/>
    <m/>
    <s v="Compromiso Matriz Regional  (Venezuela, Ecuador, Chile, Colombia y Argentina)_x000a_Implementación de KDS en el counter con dragontale para todos los pedido"/>
    <s v="ALTA"/>
    <x v="1"/>
    <x v="0"/>
    <s v="DSI"/>
    <x v="0"/>
    <s v="Mychael Castro - José Fernandez"/>
    <s v="DSI"/>
    <x v="0"/>
    <s v="En curso"/>
    <m/>
    <x v="0"/>
    <s v="p8"/>
    <s v="ALTA"/>
    <n v="1"/>
    <n v="6"/>
    <n v="2"/>
    <n v="550"/>
    <m/>
    <n v="7240"/>
    <m/>
    <m/>
    <d v="2024-02-05T00:00:00"/>
    <d v="2024-03-11T00:00:00"/>
    <n v="35"/>
    <d v="2024-03-11T00:00:00"/>
    <d v="2024-03-18T00:00:00"/>
    <n v="362903"/>
    <d v="2024-03-18T00:00:00"/>
    <d v="2024-04-01T00:00:00"/>
    <d v="2024-04-01T00:00:00"/>
    <d v="2024-05-13T00:00:00"/>
    <n v="1.5"/>
    <n v="14"/>
    <s v="PROYECTO REGIONAL"/>
    <m/>
    <m/>
  </r>
  <r>
    <x v="0"/>
    <m/>
    <x v="0"/>
    <s v="DragonTail"/>
    <s v="Mxp Delivery - Dragon Tail (Integración)"/>
    <s v="MXP LEGACY_x000a_MXP 2.0"/>
    <m/>
    <s v="Compromiso Matriz Regional  (Venezuela, Ecuador, Chile, Colombia y Argentina)_x000a_Implementación de KDS en el counter con dragontale para todos los pedido"/>
    <s v="ALTA"/>
    <x v="1"/>
    <x v="2"/>
    <s v="CAR"/>
    <x v="1"/>
    <s v="Mychael Castro - José Fernandez"/>
    <s v="TRANSFORMACIÓN DIGITAL"/>
    <x v="0"/>
    <s v="No iniciado"/>
    <m/>
    <x v="3"/>
    <s v="p8"/>
    <s v="ALTA"/>
    <n v="1"/>
    <n v="9"/>
    <n v="1"/>
    <n v="550"/>
    <m/>
    <n v="5590"/>
    <m/>
    <m/>
    <d v="2024-10-07T00:00:00"/>
    <d v="2024-11-04T00:00:00"/>
    <n v="28"/>
    <d v="2024-11-04T00:00:00"/>
    <d v="2024-11-18T00:00:00"/>
    <n v="364814"/>
    <d v="2024-11-18T00:00:00"/>
    <d v="2024-12-09T00:00:00"/>
    <d v="2024-10-01T00:00:00"/>
    <d v="2024-12-03T00:00:00"/>
    <n v="2.25"/>
    <n v="21"/>
    <s v="PROYECTO REGIONAL"/>
    <m/>
    <m/>
  </r>
  <r>
    <x v="1"/>
    <m/>
    <x v="3"/>
    <m/>
    <s v="Descuentos bancos"/>
    <m/>
    <m/>
    <s v="Descuentos de banco Falabella"/>
    <m/>
    <x v="0"/>
    <x v="0"/>
    <s v="REGIONAL"/>
    <x v="3"/>
    <s v="William Villegas"/>
    <s v="CO"/>
    <x v="0"/>
    <s v="En curso"/>
    <m/>
    <x v="0"/>
    <m/>
    <s v="MEDIA"/>
    <n v="1"/>
    <n v="8"/>
    <n v="1"/>
    <n v="625"/>
    <m/>
    <n v="5000"/>
    <m/>
    <m/>
    <d v="2024-01-01T00:00:00"/>
    <d v="2024-02-09T00:00:00"/>
    <e v="#REF!"/>
    <d v="2024-02-12T00:00:00"/>
    <d v="2024-02-16T00:00:00"/>
    <d v="2892-12-19T00:00:00"/>
    <d v="2024-02-19T00:00:00"/>
    <d v="2024-02-23T00:00:00"/>
    <m/>
    <m/>
    <n v="2"/>
    <n v="4"/>
    <m/>
    <m/>
    <m/>
  </r>
  <r>
    <x v="0"/>
    <m/>
    <x v="0"/>
    <s v="Menú V3"/>
    <s v="Envío de Menú con Descuentos (capacitación)"/>
    <s v="MXP LEGACY_x000a_TRADE"/>
    <m/>
    <s v="Envío de Menú V3_x000a_Integrar las pantallas del backoffice de Mxp"/>
    <s v="ALTA"/>
    <x v="0"/>
    <x v="0"/>
    <s v="DSI"/>
    <x v="3"/>
    <s v="William Villegas"/>
    <s v="DSI"/>
    <x v="0"/>
    <s v="Finalizado"/>
    <m/>
    <x v="0"/>
    <s v="Inyección V3 + desc"/>
    <s v="MEDIA"/>
    <m/>
    <n v="1"/>
    <n v="1"/>
    <n v="550"/>
    <m/>
    <n v="0"/>
    <m/>
    <m/>
    <d v="2024-03-04T00:00:00"/>
    <d v="2024-03-04T00:00:00"/>
    <n v="0"/>
    <d v="2024-03-04T00:00:00"/>
    <d v="2024-03-04T00:00:00"/>
    <n v="362840"/>
    <d v="2024-03-04T00:00:00"/>
    <d v="2024-03-11T00:00:00"/>
    <s v="NA"/>
    <e v="#VALUE!"/>
    <n v="0.25"/>
    <n v="7"/>
    <s v="Implmentado, Pendiente Capacitacion"/>
    <m/>
    <m/>
  </r>
  <r>
    <x v="0"/>
    <m/>
    <x v="0"/>
    <s v="Ultimas millas"/>
    <s v="Mxp Delivery - FLY Delivery"/>
    <s v="MXP LEGACY_x000a_TRADE"/>
    <m/>
    <s v="Compromiso Matriz Regional  (Ecuador)"/>
    <s v="BAJA"/>
    <x v="1"/>
    <x v="1"/>
    <s v="DSI"/>
    <x v="0"/>
    <s v="Mychael Castro"/>
    <s v="DSI"/>
    <x v="0"/>
    <s v="En curso"/>
    <m/>
    <x v="0"/>
    <s v="p9"/>
    <s v="MEDIA"/>
    <n v="1"/>
    <n v="3"/>
    <n v="1"/>
    <n v="550"/>
    <m/>
    <n v="2290"/>
    <m/>
    <m/>
    <d v="2024-02-12T00:00:00"/>
    <d v="2024-02-26T00:00:00"/>
    <n v="14"/>
    <d v="2024-02-26T00:00:00"/>
    <d v="2024-03-04T00:00:00"/>
    <n v="362791"/>
    <d v="2024-03-04T00:00:00"/>
    <d v="2024-03-11T00:00:00"/>
    <d v="2024-04-01T00:00:00"/>
    <d v="2024-04-22T00:00:00"/>
    <n v="0.75"/>
    <n v="7"/>
    <s v="PROYECTO REGIONAL"/>
    <m/>
    <m/>
  </r>
  <r>
    <x v="0"/>
    <m/>
    <x v="0"/>
    <s v="APP"/>
    <s v="Notificación Cliente de llegada a destino"/>
    <s v="MXP LEGACY_x000a_TRADE"/>
    <m/>
    <s v="Aplica para KFC Ecuador, cuando el motorizado llegue a la casa del cliente"/>
    <s v="BAJA"/>
    <x v="0"/>
    <x v="0"/>
    <s v="OPER"/>
    <x v="0"/>
    <s v="Vladimir Salazar"/>
    <s v="OPERACIONES KFC"/>
    <x v="0"/>
    <s v="No iniciado"/>
    <m/>
    <x v="1"/>
    <s v="p59"/>
    <s v="ALTA"/>
    <m/>
    <n v="8"/>
    <n v="1"/>
    <n v="550"/>
    <m/>
    <n v="5040"/>
    <m/>
    <m/>
    <d v="2024-09-02T00:00:00"/>
    <d v="2024-09-23T00:00:00"/>
    <n v="21"/>
    <d v="2024-09-23T00:00:00"/>
    <d v="2024-09-30T00:00:00"/>
    <n v="364471"/>
    <d v="2024-09-30T00:00:00"/>
    <d v="2024-10-07T00:00:00"/>
    <d v="2024-09-01T00:00:00"/>
    <d v="2024-10-27T00:00:00"/>
    <n v="2"/>
    <n v="7"/>
    <m/>
    <m/>
    <m/>
  </r>
  <r>
    <x v="0"/>
    <m/>
    <x v="0"/>
    <s v="Appedir"/>
    <s v="Nuevas funcionalidades Up / Cross sell Appedir "/>
    <s v="MXP LEGACY_x000a_TRADE"/>
    <m/>
    <s v="Configurar el envío de menú Upsell y crosssell en APPEDIR"/>
    <s v="MEDIA"/>
    <x v="4"/>
    <x v="2"/>
    <s v="CAR"/>
    <x v="0"/>
    <s v="Daniel Barreno"/>
    <s v="TRANSFORMACIÓN DIGITAL"/>
    <x v="0"/>
    <s v="No iniciado"/>
    <s v="Q1"/>
    <x v="2"/>
    <m/>
    <s v="MEDIA"/>
    <m/>
    <n v="5"/>
    <n v="1"/>
    <n v="550"/>
    <m/>
    <n v="3390"/>
    <m/>
    <m/>
    <d v="2024-04-15T00:00:00"/>
    <d v="2024-05-06T00:00:00"/>
    <n v="21"/>
    <d v="2024-05-06T00:00:00"/>
    <d v="2024-05-13T00:00:00"/>
    <n v="363351"/>
    <d v="2024-05-13T00:00:00"/>
    <d v="2024-05-20T00:00:00"/>
    <d v="2024-05-01T00:00:00"/>
    <d v="2024-06-05T00:00:00"/>
    <n v="1.25"/>
    <n v="7"/>
    <s v="ECOMERCE"/>
    <m/>
    <s v="x"/>
  </r>
  <r>
    <x v="0"/>
    <m/>
    <x v="0"/>
    <s v="Tracking"/>
    <s v="Pantalla para rastreo de pedidos (Tracking) motorizados en CDC "/>
    <s v="MXP LEGACY_x000a_TRADE"/>
    <m/>
    <s v="Aplica para KFC Ecuador"/>
    <s v="BAJA"/>
    <x v="0"/>
    <x v="0"/>
    <s v="OPER"/>
    <x v="0"/>
    <s v="Vladimir Salazar"/>
    <s v="OPERACIONES KFC"/>
    <x v="0"/>
    <s v="No iniciado"/>
    <m/>
    <x v="1"/>
    <s v="p58"/>
    <s v="ALTA"/>
    <m/>
    <n v="8"/>
    <n v="1"/>
    <n v="550"/>
    <m/>
    <n v="5040"/>
    <m/>
    <m/>
    <d v="2024-08-12T00:00:00"/>
    <d v="2024-09-23T00:00:00"/>
    <n v="42"/>
    <d v="2024-09-23T00:00:00"/>
    <d v="2024-09-30T00:00:00"/>
    <n v="364471"/>
    <d v="2024-09-30T00:00:00"/>
    <d v="2024-10-07T00:00:00"/>
    <d v="2024-08-01T00:00:00"/>
    <d v="2024-09-26T00:00:00"/>
    <n v="2"/>
    <n v="7"/>
    <m/>
    <m/>
    <m/>
  </r>
  <r>
    <x v="0"/>
    <m/>
    <x v="0"/>
    <s v="APP"/>
    <s v="Pedidos programados"/>
    <s v="MXP LEGACY_x000a_TRADE"/>
    <m/>
    <s v="Receptar pedidos "/>
    <s v="BAJA"/>
    <x v="4"/>
    <x v="2"/>
    <s v="CAR"/>
    <x v="0"/>
    <s v="Daniel Barreno"/>
    <s v="TRANSFORMACIÓN DIGITAL"/>
    <x v="0"/>
    <s v="No iniciado"/>
    <s v="Q3"/>
    <x v="3"/>
    <s v="p48"/>
    <s v="ALTA"/>
    <m/>
    <n v="12"/>
    <n v="2"/>
    <n v="550"/>
    <m/>
    <n v="13840"/>
    <m/>
    <m/>
    <d v="2024-10-21T00:00:00"/>
    <d v="2024-11-25T00:00:00"/>
    <n v="35"/>
    <d v="2024-11-25T00:00:00"/>
    <d v="2024-12-09T00:00:00"/>
    <n v="364982"/>
    <d v="2024-12-09T00:00:00"/>
    <d v="2024-12-16T00:00:00"/>
    <d v="2024-10-01T00:00:00"/>
    <d v="2024-12-24T00:00:00"/>
    <n v="3"/>
    <n v="7"/>
    <s v="ECOMERCE"/>
    <m/>
    <m/>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3"/>
    <s v="Daniel Barreno"/>
    <s v="TRANSFORMACIÓN DIGITAL"/>
    <x v="0"/>
    <s v="No iniciado"/>
    <s v="Q3"/>
    <x v="1"/>
    <s v="p60"/>
    <s v="MEDIA"/>
    <n v="1"/>
    <n v="3"/>
    <n v="1"/>
    <n v="550"/>
    <m/>
    <n v="2290"/>
    <m/>
    <m/>
    <d v="2024-09-10T00:00:00"/>
    <d v="2024-09-17T00:00:00"/>
    <n v="7"/>
    <d v="2024-09-17T00:00:00"/>
    <d v="2024-09-24T00:00:00"/>
    <n v="364423"/>
    <d v="2024-09-24T00:00:00"/>
    <d v="2024-10-01T00:00:00"/>
    <d v="2024-09-01T00:00:00"/>
    <d v="2024-09-22T00:00:00"/>
    <n v="0.75"/>
    <n v="7"/>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1"/>
    <s v="Daniel Barreno"/>
    <s v="TRANSFORMACIÓN DIGITAL"/>
    <x v="0"/>
    <s v="No iniciado"/>
    <s v="Q3"/>
    <x v="1"/>
    <s v="p60"/>
    <s v="MEDIA"/>
    <n v="1"/>
    <n v="5"/>
    <n v="1"/>
    <n v="550"/>
    <m/>
    <n v="3390"/>
    <m/>
    <m/>
    <d v="2024-09-10T00:00:00"/>
    <d v="2024-09-17T00:00:00"/>
    <n v="7"/>
    <d v="2024-09-17T00:00:00"/>
    <d v="2024-09-24T00:00:00"/>
    <n v="364423"/>
    <d v="2024-09-24T00:00:00"/>
    <d v="2024-10-15T00:00:00"/>
    <d v="2024-09-01T00:00:00"/>
    <d v="2024-10-06T00:00:00"/>
    <n v="1.25"/>
    <n v="21"/>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4"/>
    <x v="2"/>
    <s v="CAR"/>
    <x v="0"/>
    <s v="Daniel Barreno"/>
    <s v="TRANSFORMACIÓN DIGITAL"/>
    <x v="0"/>
    <s v="No iniciado"/>
    <s v="Q3"/>
    <x v="1"/>
    <s v="p60"/>
    <s v="MEDIA"/>
    <n v="1"/>
    <n v="4"/>
    <n v="1"/>
    <n v="550"/>
    <m/>
    <n v="2840"/>
    <m/>
    <m/>
    <d v="2024-08-20T00:00:00"/>
    <d v="2024-09-03T00:00:00"/>
    <n v="14"/>
    <d v="2024-09-03T00:00:00"/>
    <d v="2024-09-10T00:00:00"/>
    <n v="364311"/>
    <d v="2024-09-10T00:00:00"/>
    <d v="2024-09-17T00:00:00"/>
    <d v="2024-08-01T00:00:00"/>
    <d v="2024-08-29T00:00:00"/>
    <n v="1"/>
    <n v="7"/>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4"/>
    <s v="Daniel Barreno"/>
    <s v="TRANSFORMACIÓN DIGITAL"/>
    <x v="0"/>
    <s v="No iniciado"/>
    <s v="Q3"/>
    <x v="1"/>
    <s v="p60"/>
    <s v="MEDIA"/>
    <n v="1"/>
    <n v="3"/>
    <n v="1"/>
    <n v="550"/>
    <m/>
    <n v="2290"/>
    <m/>
    <m/>
    <d v="2024-09-10T00:00:00"/>
    <d v="2024-09-17T00:00:00"/>
    <n v="7"/>
    <d v="2024-09-17T00:00:00"/>
    <d v="2024-09-24T00:00:00"/>
    <n v="364423"/>
    <d v="2024-09-24T00:00:00"/>
    <d v="2024-10-01T00:00:00"/>
    <d v="2024-09-01T00:00:00"/>
    <d v="2024-09-22T00:00:00"/>
    <n v="0.75"/>
    <n v="7"/>
    <s v="PROYECTO REGIONAL"/>
    <m/>
    <s v="x"/>
  </r>
  <r>
    <x v="0"/>
    <m/>
    <x v="0"/>
    <s v="Menú V3"/>
    <s v="Modificadores por Default"/>
    <s v="MXP LEGACY_x000a_MXP 2.0_x000a_TRADE"/>
    <m/>
    <s v="Modificadores Por Default Que los modificadores vengan con una opción ya predeterminada, que mxp pueda enviar los modificadores ya establecidos (APP KFC) "/>
    <s v="BAJA"/>
    <x v="1"/>
    <x v="2"/>
    <s v="CAR"/>
    <x v="2"/>
    <s v="Daniel Barreno"/>
    <s v="TRANSFORMACIÓN DIGITAL"/>
    <x v="0"/>
    <s v="No iniciado"/>
    <s v="Q3"/>
    <x v="1"/>
    <s v="p60"/>
    <s v="MEDIA"/>
    <n v="1"/>
    <n v="3"/>
    <n v="1"/>
    <n v="550"/>
    <m/>
    <n v="2290"/>
    <m/>
    <m/>
    <d v="2024-09-10T00:00:00"/>
    <d v="2024-09-17T00:00:00"/>
    <n v="7"/>
    <d v="2024-09-17T00:00:00"/>
    <d v="2024-09-24T00:00:00"/>
    <n v="364423"/>
    <d v="2024-09-24T00:00:00"/>
    <d v="2024-10-01T00:00:00"/>
    <d v="2024-09-01T00:00:00"/>
    <d v="2024-09-22T00:00:00"/>
    <n v="0.75"/>
    <n v="7"/>
    <s v="PROYECTO REGIONAL"/>
    <m/>
    <s v="x"/>
  </r>
  <r>
    <x v="0"/>
    <m/>
    <x v="0"/>
    <s v="API Inyección v3"/>
    <s v="Recepciones de Pedidos V3 - Maxpoint Rastreo Pedidos Panel domicilio v2.0.4.2"/>
    <s v="MXP LEGACY_x000a_TRADE"/>
    <m/>
    <s v="Compromiso Matriz Regional  (Argentina"/>
    <s v="MEDIA"/>
    <x v="1"/>
    <x v="1"/>
    <s v="DSI"/>
    <x v="2"/>
    <s v="Mychael Castro"/>
    <s v="DSI"/>
    <x v="0"/>
    <s v="No iniciado"/>
    <m/>
    <x v="0"/>
    <s v="p12"/>
    <s v="MEDIA"/>
    <n v="1"/>
    <n v="4"/>
    <n v="1"/>
    <n v="550"/>
    <m/>
    <n v="2840"/>
    <m/>
    <m/>
    <d v="2024-03-04T00:00:00"/>
    <d v="2024-03-18T00:00:00"/>
    <n v="14"/>
    <d v="2024-03-18T00:00:00"/>
    <d v="2024-03-25T00:00:00"/>
    <n v="362959"/>
    <d v="2024-03-25T00:00:00"/>
    <d v="2024-04-01T00:00:00"/>
    <d v="2024-05-01T00:00:00"/>
    <d v="2024-05-29T00:00:00"/>
    <n v="1"/>
    <n v="7"/>
    <s v="PROYECTO REGIONAL"/>
    <m/>
    <m/>
  </r>
  <r>
    <x v="0"/>
    <m/>
    <x v="0"/>
    <s v="Pickup"/>
    <s v="QA  KFC Fulfillment Incluir Pickup para Autorápido, con un diferente menú"/>
    <s v="MXP LEGACY_x000a_MXP 2.0_x000a_TRADE"/>
    <m/>
    <s v="Envío de menú y recepción en la terminal de autorápido "/>
    <s v="BAJA"/>
    <x v="4"/>
    <x v="2"/>
    <s v="CAR"/>
    <x v="0"/>
    <s v="Daniel Barreno"/>
    <s v="TRANSFORMACIÓN DIGITAL"/>
    <x v="0"/>
    <s v="No iniciado"/>
    <s v="Q3"/>
    <x v="1"/>
    <s v="p49"/>
    <s v="MEDIA"/>
    <m/>
    <n v="2"/>
    <n v="1"/>
    <n v="550"/>
    <m/>
    <n v="1740"/>
    <m/>
    <m/>
    <d v="2024-08-19T00:00:00"/>
    <d v="2024-08-19T00:00:00"/>
    <n v="0"/>
    <d v="2024-08-19T00:00:00"/>
    <d v="2024-08-26T00:00:00"/>
    <n v="364191"/>
    <d v="2024-08-26T00:00:00"/>
    <d v="2024-09-02T00:00:00"/>
    <d v="2024-08-01T00:00:00"/>
    <d v="2024-08-15T00:00:00"/>
    <n v="0.5"/>
    <n v="7"/>
    <s v="ECOMERCE"/>
    <m/>
    <s v="x"/>
  </r>
  <r>
    <x v="0"/>
    <m/>
    <x v="3"/>
    <m/>
    <s v="Incluir 2 selecciones adicionales en Landing Page para la marca KFC"/>
    <s v="MXP 2.0"/>
    <m/>
    <s v="Botones adicionales solicitados por mkt kfc"/>
    <m/>
    <x v="4"/>
    <x v="16"/>
    <s v="CAR"/>
    <x v="0"/>
    <s v="María Paula Tapia / José Fernandez"/>
    <s v="MERCADEO KFC"/>
    <x v="1"/>
    <s v="No iniciado"/>
    <n v="2"/>
    <x v="2"/>
    <m/>
    <s v="BAJA"/>
    <n v="1"/>
    <n v="2"/>
    <n v="1"/>
    <n v="550"/>
    <m/>
    <n v="1680"/>
    <m/>
    <m/>
    <d v="2024-05-02T00:00:00"/>
    <d v="2024-05-16T00:00:00"/>
    <d v="1900-01-13T00:00:00"/>
    <d v="2024-05-17T00:00:00"/>
    <d v="2024-05-20T00:00:00"/>
    <d v="2895-01-17T00:00:00"/>
    <d v="2024-05-21T00:00:00"/>
    <d v="2024-05-21T00:00:00"/>
    <m/>
    <m/>
    <n v="0.5"/>
    <n v="0"/>
    <m/>
    <m/>
    <m/>
  </r>
  <r>
    <x v="0"/>
    <m/>
    <x v="0"/>
    <s v="Appedir"/>
    <s v="QA KFC Fulfillment  Compensaciones  Appedir "/>
    <s v="MXP LEGACY_x000a_TRADE"/>
    <m/>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x v="4"/>
    <x v="2"/>
    <s v="CAR"/>
    <x v="0"/>
    <s v="Daniel Barreno"/>
    <s v="TRANSFORMACIÓN DIGITAL"/>
    <x v="0"/>
    <s v="No iniciado"/>
    <s v="Q3"/>
    <x v="3"/>
    <s v="p55"/>
    <s v="BAJA"/>
    <m/>
    <n v="1"/>
    <n v="1"/>
    <n v="550"/>
    <m/>
    <n v="1190"/>
    <m/>
    <m/>
    <d v="2024-11-04T00:00:00"/>
    <d v="2024-11-11T00:00:00"/>
    <n v="7"/>
    <d v="2024-11-11T00:00:00"/>
    <d v="2024-11-18T00:00:00"/>
    <n v="364863"/>
    <d v="2024-11-18T00:00:00"/>
    <d v="2024-11-18T00:00:00"/>
    <d v="2024-11-01T00:00:00"/>
    <d v="2024-11-08T00:00:00"/>
    <n v="0.25"/>
    <n v="0"/>
    <s v="ECOMERCE"/>
    <m/>
    <s v="x"/>
  </r>
  <r>
    <x v="0"/>
    <m/>
    <x v="0"/>
    <s v="Formas de Pago"/>
    <s v="QA KFC Métodos de Pago"/>
    <s v="MXP LEGACY_x000a_TRADE"/>
    <m/>
    <s v="Implementación OneClick Checkout Chile Transbank; Pruebas y códigos de forma de pago "/>
    <s v="MEDIA"/>
    <x v="0"/>
    <x v="2"/>
    <s v="CAR"/>
    <x v="1"/>
    <s v="Daniel Barreno"/>
    <s v="TRANSFORMACIÓN DIGITAL"/>
    <x v="0"/>
    <s v="No iniciado"/>
    <e v="#N/A"/>
    <x v="2"/>
    <m/>
    <s v="BAJA"/>
    <m/>
    <n v="5"/>
    <n v="1"/>
    <n v="550"/>
    <m/>
    <n v="3390"/>
    <m/>
    <m/>
    <d v="2024-05-28T00:00:00"/>
    <d v="2024-06-04T00:00:00"/>
    <n v="7"/>
    <d v="2024-06-04T00:00:00"/>
    <d v="2024-06-11T00:00:00"/>
    <n v="363583"/>
    <d v="2024-06-11T00:00:00"/>
    <d v="2024-07-02T00:00:00"/>
    <d v="2024-05-01T00:00:00"/>
    <d v="2024-06-05T00:00:00"/>
    <n v="1.25"/>
    <n v="21"/>
    <s v="ECOMERCE"/>
    <m/>
    <s v="x"/>
  </r>
  <r>
    <x v="0"/>
    <m/>
    <x v="0"/>
    <s v="Pickup"/>
    <s v="Recepción de Descuentos -  Pick up"/>
    <s v="MXP LEGACY_x000a_MXP 2.0_x000a_TRADE"/>
    <m/>
    <s v="Recepción de descuentos desde inyección V3 hacia Pickup en las tiendas"/>
    <s v="ALTA"/>
    <x v="1"/>
    <x v="2"/>
    <s v="CAR"/>
    <x v="1"/>
    <s v="Mychael Castro"/>
    <s v="TRANSFORMACIÓN DIGITAL"/>
    <x v="0"/>
    <s v="No iniciado"/>
    <m/>
    <x v="2"/>
    <m/>
    <s v="ALTA"/>
    <n v="1"/>
    <n v="6"/>
    <n v="1"/>
    <n v="550"/>
    <m/>
    <n v="3940"/>
    <m/>
    <m/>
    <d v="2024-03-25T00:00:00"/>
    <d v="2024-04-08T00:00:00"/>
    <n v="14"/>
    <d v="2024-04-08T00:00:00"/>
    <d v="2024-04-15T00:00:00"/>
    <n v="363127"/>
    <d v="2024-04-15T00:00:00"/>
    <d v="2024-05-06T00:00:00"/>
    <d v="2024-05-01T00:00:00"/>
    <d v="2024-06-12T00:00:00"/>
    <n v="1.5"/>
    <n v="21"/>
    <m/>
    <m/>
    <s v="x"/>
  </r>
  <r>
    <x v="0"/>
    <m/>
    <x v="2"/>
    <m/>
    <s v="THEOBALD Estabilización de procesamiento y calidad de datos SAP"/>
    <m/>
    <m/>
    <s v="Extracción de información desde SAP con THEOBALD"/>
    <m/>
    <x v="4"/>
    <x v="17"/>
    <s v="CAR"/>
    <x v="0"/>
    <s v="Amarilis Loor"/>
    <s v="TRANSFORMACIÓN DIGITAL"/>
    <x v="1"/>
    <s v="No iniciado"/>
    <s v="Q2"/>
    <x v="1"/>
    <m/>
    <s v="MEDIA"/>
    <m/>
    <m/>
    <n v="4"/>
    <m/>
    <m/>
    <n v="38400"/>
    <n v="15400"/>
    <m/>
    <d v="2024-02-07T00:00:00"/>
    <d v="2024-03-28T00:00:00"/>
    <n v="50"/>
    <d v="2024-03-28T00:00:00"/>
    <d v="2024-03-28T00:00:00"/>
    <n v="0"/>
    <m/>
    <m/>
    <m/>
    <m/>
    <n v="0"/>
    <n v="0"/>
    <s v="BI"/>
    <m/>
    <m/>
  </r>
  <r>
    <x v="0"/>
    <m/>
    <x v="0"/>
    <s v="Pickup"/>
    <s v="Recepción de Descuentos -  Pick up"/>
    <s v="MXP LEGACY_x000a_MXP 2.0_x000a_TRADE"/>
    <m/>
    <s v="Recepción de descuentos desde inyección V3 hacia Pickup en las tiendas"/>
    <s v="ALTA"/>
    <x v="1"/>
    <x v="2"/>
    <s v="CAR"/>
    <x v="3"/>
    <s v="Mychael Castro"/>
    <s v="TRANSFORMACIÓN DIGITAL"/>
    <x v="0"/>
    <s v="En curso"/>
    <m/>
    <x v="0"/>
    <s v="p10"/>
    <s v="ALTA"/>
    <n v="1"/>
    <n v="4"/>
    <n v="1"/>
    <n v="550"/>
    <m/>
    <n v="2840"/>
    <m/>
    <m/>
    <d v="2024-03-11T00:00:00"/>
    <d v="2024-03-18T00:00:00"/>
    <n v="7"/>
    <d v="2024-03-18T00:00:00"/>
    <d v="2024-03-25T00:00:00"/>
    <n v="362959"/>
    <d v="2024-03-25T00:00:00"/>
    <d v="2024-04-01T00:00:00"/>
    <d v="2024-04-01T00:00:00"/>
    <d v="2024-04-29T00:00:00"/>
    <n v="1"/>
    <n v="7"/>
    <s v="PROYECTO REGIONAL"/>
    <m/>
    <s v="x"/>
  </r>
  <r>
    <x v="1"/>
    <m/>
    <x v="2"/>
    <m/>
    <s v="Etapa final implementación de Costos Ecuapork"/>
    <m/>
    <m/>
    <s v="El proyecto inicio ejecución en 2023 y debería estar implementado en febrero de 2024 aproximadamente"/>
    <m/>
    <x v="4"/>
    <x v="18"/>
    <s v="CAR"/>
    <x v="0"/>
    <s v="Ana Cordova"/>
    <s v="OTROS NEGOCIOS"/>
    <x v="0"/>
    <s v="En curso"/>
    <s v="Q1"/>
    <x v="0"/>
    <m/>
    <s v="MEDIA"/>
    <n v="1"/>
    <m/>
    <m/>
    <m/>
    <m/>
    <n v="0"/>
    <m/>
    <m/>
    <d v="2023-08-07T00:00:00"/>
    <d v="2024-01-28T00:00:00"/>
    <n v="174"/>
    <d v="2024-02-21T00:00:00"/>
    <d v="2024-02-28T00:00:00"/>
    <n v="7"/>
    <d v="2024-02-28T00:00:00"/>
    <d v="2024-03-07T00:00:00"/>
    <m/>
    <m/>
    <n v="0"/>
    <n v="8"/>
    <m/>
    <m/>
    <m/>
  </r>
  <r>
    <x v="0"/>
    <m/>
    <x v="2"/>
    <m/>
    <s v="Extracción de Datos SAP para BI"/>
    <m/>
    <m/>
    <s v="Mejorar la disponibilidad de los datos, actualmente los datos presentan dificultad para extracción de datos a diario._x000a_Control de integridad de los datos_x000a_"/>
    <m/>
    <x v="4"/>
    <x v="19"/>
    <s v="DSI"/>
    <x v="0"/>
    <s v="Amarilis Loor"/>
    <s v="DSI"/>
    <x v="1"/>
    <s v="No iniciado"/>
    <s v="Q2"/>
    <x v="0"/>
    <m/>
    <s v="MEDIA"/>
    <n v="1"/>
    <n v="2"/>
    <n v="2"/>
    <n v="550"/>
    <m/>
    <n v="2200"/>
    <m/>
    <m/>
    <d v="2024-02-07T00:00:00"/>
    <d v="2024-02-14T00:00:00"/>
    <n v="7"/>
    <d v="2024-02-14T00:00:00"/>
    <d v="2024-02-21T00:00:00"/>
    <n v="7"/>
    <d v="2024-02-21T00:00:00"/>
    <d v="2024-02-28T00:00:00"/>
    <m/>
    <m/>
    <n v="0.5"/>
    <n v="7"/>
    <s v="BI"/>
    <m/>
    <m/>
  </r>
  <r>
    <x v="0"/>
    <m/>
    <x v="5"/>
    <m/>
    <s v="Flujos de Caja"/>
    <m/>
    <m/>
    <s v="Reporte de Flujo de Caja que se estaba trabajando con TD, verificar estatus y si podemos  aportar para avanzar"/>
    <m/>
    <x v="4"/>
    <x v="20"/>
    <s v="CAR"/>
    <x v="0"/>
    <s v="Amparo Aleman"/>
    <s v="TESORERÍA"/>
    <x v="1"/>
    <s v="No iniciado"/>
    <m/>
    <x v="4"/>
    <m/>
    <m/>
    <m/>
    <m/>
    <m/>
    <m/>
    <m/>
    <n v="640"/>
    <m/>
    <m/>
    <m/>
    <m/>
    <n v="0"/>
    <m/>
    <m/>
    <n v="0"/>
    <m/>
    <m/>
    <m/>
    <m/>
    <n v="0"/>
    <n v="0"/>
    <s v="BI"/>
    <m/>
    <m/>
  </r>
  <r>
    <x v="0"/>
    <m/>
    <x v="2"/>
    <m/>
    <s v="Implementación costos coproductos Embutser"/>
    <m/>
    <m/>
    <s v="Proyecto 2023, continúa implementación 2024, fecha aprox febrero"/>
    <m/>
    <x v="4"/>
    <x v="21"/>
    <s v="CAR"/>
    <x v="0"/>
    <s v="Ana Cordova"/>
    <s v="OTROS NEGOCIOS"/>
    <x v="0"/>
    <s v="En curso"/>
    <s v="Q1"/>
    <x v="0"/>
    <m/>
    <s v="MEDIA"/>
    <n v="1"/>
    <m/>
    <m/>
    <m/>
    <m/>
    <n v="0"/>
    <m/>
    <m/>
    <d v="2024-01-07T00:00:00"/>
    <d v="2024-01-21T00:00:00"/>
    <n v="14"/>
    <d v="2024-01-21T00:00:00"/>
    <d v="2024-01-28T00:00:00"/>
    <n v="7"/>
    <d v="2024-02-21T00:00:00"/>
    <d v="2024-02-28T00:00:00"/>
    <m/>
    <m/>
    <n v="0"/>
    <n v="7"/>
    <m/>
    <m/>
    <m/>
  </r>
  <r>
    <x v="0"/>
    <s v="PE"/>
    <x v="2"/>
    <m/>
    <s v="Importación de Plantillas para Cargas de datos: Pagos, Retenciones, etc"/>
    <m/>
    <m/>
    <s v="Tesorería, actualemte se comparten usuarios para acceder a Herramienta "/>
    <m/>
    <x v="4"/>
    <x v="22"/>
    <s v="CAR"/>
    <x v="0"/>
    <s v="Amparo Aleman"/>
    <s v="TESORERÍA"/>
    <x v="1"/>
    <s v="No iniciado"/>
    <s v="Q2"/>
    <x v="2"/>
    <m/>
    <s v="BAJA"/>
    <n v="1"/>
    <n v="1"/>
    <n v="2"/>
    <n v="550"/>
    <m/>
    <n v="1100"/>
    <n v="1800"/>
    <m/>
    <d v="2024-02-14T00:00:00"/>
    <d v="2024-02-28T00:00:00"/>
    <n v="14"/>
    <d v="2024-02-28T00:00:00"/>
    <d v="2024-03-14T00:00:00"/>
    <n v="15"/>
    <d v="2024-03-14T00:00:00"/>
    <d v="2024-03-21T00:00:00"/>
    <m/>
    <m/>
    <n v="0.25"/>
    <n v="7"/>
    <m/>
    <m/>
    <m/>
  </r>
  <r>
    <x v="0"/>
    <m/>
    <x v="4"/>
    <m/>
    <s v="Sistema Aprobaciones OCs: Manejo de Items/Materiales creados en SAP"/>
    <m/>
    <m/>
    <s v="Creación de OCs a SAP de Materiales"/>
    <m/>
    <x v="4"/>
    <x v="23"/>
    <s v="PLANTA"/>
    <x v="0"/>
    <s v="Diego Díaz "/>
    <s v="CONTABILIDAD Y SAP"/>
    <x v="1"/>
    <s v="No iniciado"/>
    <m/>
    <x v="3"/>
    <m/>
    <s v="ALTA"/>
    <m/>
    <n v="7"/>
    <n v="1"/>
    <n v="550"/>
    <m/>
    <n v="5850"/>
    <m/>
    <m/>
    <m/>
    <m/>
    <e v="#REF!"/>
    <m/>
    <m/>
    <d v="1899-12-30T00:00:00"/>
    <m/>
    <m/>
    <m/>
    <m/>
    <n v="1.75"/>
    <n v="0"/>
    <m/>
    <m/>
    <m/>
  </r>
  <r>
    <x v="0"/>
    <m/>
    <x v="3"/>
    <m/>
    <s v="Facturas Tipo A (con datos)"/>
    <m/>
    <m/>
    <s v="Cambio de facturas Tipo A con datos"/>
    <m/>
    <x v="0"/>
    <x v="0"/>
    <s v="REGIONAL"/>
    <x v="2"/>
    <s v="Adrian Gadja"/>
    <s v="AR"/>
    <x v="0"/>
    <s v="No iniciado"/>
    <m/>
    <x v="2"/>
    <m/>
    <s v="ALTA"/>
    <n v="1"/>
    <n v="8"/>
    <n v="2"/>
    <n v="550"/>
    <m/>
    <n v="9440"/>
    <m/>
    <m/>
    <d v="2024-04-01T00:00:00"/>
    <d v="2024-05-10T00:00:00"/>
    <e v="#REF!"/>
    <d v="2024-05-13T00:00:00"/>
    <d v="2024-05-17T00:00:00"/>
    <d v="2894-12-17T00:00:00"/>
    <d v="2024-05-20T00:00:00"/>
    <d v="2024-05-24T00:00:00"/>
    <m/>
    <m/>
    <n v="2"/>
    <n v="4"/>
    <m/>
    <m/>
    <m/>
  </r>
  <r>
    <x v="0"/>
    <m/>
    <x v="0"/>
    <s v="Pickup"/>
    <s v="Recepción de Descuentos -  Pick up"/>
    <s v="MXP LEGACY_x000a_MXP 2.0_x000a_TRADE"/>
    <m/>
    <s v="Recepción de descuentos desde inyección V3 hacia Pickup en las tiendas"/>
    <s v="ALTA"/>
    <x v="4"/>
    <x v="2"/>
    <s v="CAR"/>
    <x v="0"/>
    <s v="Mychael Castro"/>
    <s v="TRANSFORMACIÓN DIGITAL"/>
    <x v="0"/>
    <s v="En curso"/>
    <m/>
    <x v="0"/>
    <s v="p10"/>
    <s v="ALTA"/>
    <n v="1"/>
    <n v="4"/>
    <n v="1"/>
    <n v="550"/>
    <m/>
    <n v="2840"/>
    <m/>
    <m/>
    <d v="2024-02-19T00:00:00"/>
    <d v="2024-02-26T00:00:00"/>
    <n v="7"/>
    <d v="2024-02-26T00:00:00"/>
    <d v="2024-03-04T00:00:00"/>
    <n v="362791"/>
    <d v="2024-03-04T00:00:00"/>
    <d v="2024-03-11T00:00:00"/>
    <d v="2024-04-01T00:00:00"/>
    <d v="2024-04-29T00:00:00"/>
    <n v="1"/>
    <n v="7"/>
    <s v="PROYECTO REGIONAL"/>
    <m/>
    <s v="x"/>
  </r>
  <r>
    <x v="0"/>
    <m/>
    <x v="0"/>
    <s v="Pickup"/>
    <s v="Recepción de Descuentos -  Pick up"/>
    <s v="MXP LEGACY_x000a_MXP 2.0_x000a_TRADE"/>
    <m/>
    <s v="Recepción de descuentos desde inyección V3 hacia Pickup en las tiendas"/>
    <s v="ALTA"/>
    <x v="1"/>
    <x v="2"/>
    <s v="CAR"/>
    <x v="2"/>
    <s v="Mychael Castro"/>
    <s v="TRANSFORMACIÓN DIGITAL"/>
    <x v="0"/>
    <s v="No iniciado"/>
    <m/>
    <x v="0"/>
    <s v="p10"/>
    <s v="ALTA"/>
    <n v="1"/>
    <n v="4"/>
    <n v="1"/>
    <n v="550"/>
    <m/>
    <n v="2840"/>
    <m/>
    <m/>
    <d v="2024-03-04T00:00:00"/>
    <d v="2024-03-18T00:00:00"/>
    <n v="14"/>
    <d v="2024-03-18T00:00:00"/>
    <d v="2024-03-25T00:00:00"/>
    <n v="362959"/>
    <d v="2024-03-25T00:00:00"/>
    <d v="2024-04-01T00:00:00"/>
    <d v="2024-06-01T00:00:00"/>
    <d v="2024-06-29T00:00:00"/>
    <n v="1"/>
    <n v="7"/>
    <s v="PROYECTO REGIONAL"/>
    <m/>
    <s v="x"/>
  </r>
  <r>
    <x v="0"/>
    <m/>
    <x v="2"/>
    <m/>
    <s v="Picking Lotes consolidados"/>
    <m/>
    <m/>
    <s v="Contar con sistema de despacho mediante consolidacion de lotes Packing"/>
    <m/>
    <x v="4"/>
    <x v="24"/>
    <s v="PLANTA"/>
    <x v="0"/>
    <s v="Diego Díaz "/>
    <s v="BODEGA"/>
    <x v="1"/>
    <s v="No iniciado"/>
    <s v="Q2"/>
    <x v="1"/>
    <m/>
    <s v="MEDIA"/>
    <n v="1"/>
    <n v="3"/>
    <n v="2"/>
    <n v="1100"/>
    <m/>
    <n v="6600"/>
    <m/>
    <m/>
    <m/>
    <m/>
    <n v="0"/>
    <m/>
    <m/>
    <n v="0"/>
    <m/>
    <m/>
    <m/>
    <m/>
    <n v="0.75"/>
    <n v="0"/>
    <m/>
    <m/>
    <m/>
  </r>
  <r>
    <x v="0"/>
    <m/>
    <x v="2"/>
    <m/>
    <s v="Mejoras B2B: Visualizar Fecha de Vencimiento - Adjuntar Certificado Bancario"/>
    <m/>
    <m/>
    <s v="-visibilizar la columna fecha de vencimiento en el B2B_x000a_-adjunto de certificado bancario obligatorio"/>
    <m/>
    <x v="4"/>
    <x v="9"/>
    <s v="CAR"/>
    <x v="0"/>
    <s v="Amparo Aleman"/>
    <s v="TESORERÍA"/>
    <x v="0"/>
    <s v="En curso"/>
    <s v="Q2"/>
    <x v="0"/>
    <m/>
    <s v="BAJA"/>
    <n v="1"/>
    <n v="1"/>
    <n v="2"/>
    <n v="550"/>
    <m/>
    <n v="1100"/>
    <m/>
    <m/>
    <d v="2024-02-07T00:00:00"/>
    <d v="2024-02-14T00:00:00"/>
    <n v="7"/>
    <d v="2024-02-14T00:00:00"/>
    <d v="2024-02-14T00:00:00"/>
    <n v="0"/>
    <d v="2024-02-14T00:00:00"/>
    <d v="2024-02-21T00:00:00"/>
    <m/>
    <m/>
    <n v="0.25"/>
    <n v="7"/>
    <m/>
    <m/>
    <m/>
  </r>
  <r>
    <x v="0"/>
    <m/>
    <x v="2"/>
    <m/>
    <s v="Productos Importados - Reporte de costo de Negociación y variables de Costeo"/>
    <m/>
    <m/>
    <s v="En lugar del costo de negociación se trabaje con: costo de compra,  variables (transporte internacional, aranceles, aduana, bodega, agente afianzado, transporte interno) y  costo final (suma de costo de compra + variables)"/>
    <m/>
    <x v="4"/>
    <x v="25"/>
    <s v="CAR"/>
    <x v="0"/>
    <s v="Juan Carlos Benalcázar"/>
    <s v="COMPRAS"/>
    <x v="1"/>
    <s v="No iniciado"/>
    <s v="Q2"/>
    <x v="2"/>
    <m/>
    <s v="ALTA"/>
    <n v="1"/>
    <n v="2"/>
    <n v="1"/>
    <n v="1280"/>
    <m/>
    <n v="2560"/>
    <m/>
    <m/>
    <d v="2024-04-07T00:00:00"/>
    <d v="2024-05-14T00:00:00"/>
    <n v="37"/>
    <d v="2024-05-14T00:00:00"/>
    <d v="2024-05-21T00:00:00"/>
    <n v="7"/>
    <d v="2024-05-21T00:00:00"/>
    <d v="2024-05-28T00:00:00"/>
    <m/>
    <m/>
    <n v="0.5"/>
    <n v="7"/>
    <m/>
    <m/>
    <m/>
  </r>
  <r>
    <x v="0"/>
    <m/>
    <x v="2"/>
    <m/>
    <s v="Nivel de Ocupación de camiones"/>
    <m/>
    <m/>
    <s v="Mediante este desarollo se optimizara el cubicaje del camión y"/>
    <m/>
    <x v="4"/>
    <x v="26"/>
    <s v="PLANTA"/>
    <x v="0"/>
    <s v="Diego Díaz "/>
    <s v="LOGISTICA"/>
    <x v="1"/>
    <s v="No iniciado"/>
    <s v="Q2"/>
    <x v="2"/>
    <m/>
    <s v="MEDIA"/>
    <n v="1"/>
    <n v="1"/>
    <n v="2"/>
    <n v="1100"/>
    <m/>
    <n v="2200"/>
    <m/>
    <m/>
    <d v="2024-02-07T00:00:00"/>
    <d v="2024-03-07T00:00:00"/>
    <n v="29"/>
    <d v="2024-03-07T00:00:00"/>
    <d v="2024-03-14T00:00:00"/>
    <n v="7"/>
    <d v="2024-03-14T00:00:00"/>
    <d v="2024-03-21T00:00:00"/>
    <m/>
    <m/>
    <n v="0.25"/>
    <n v="7"/>
    <m/>
    <m/>
    <m/>
  </r>
  <r>
    <x v="0"/>
    <m/>
    <x v="4"/>
    <m/>
    <s v="Proceso para Firmas Digitales de Contratos"/>
    <m/>
    <m/>
    <s v="Flujo de firma digital para contratos. (Revisar alcance a nivel corporativo) pendiente levantar a fondo, ya existe una herramienta de firma, requiere una licencia Anual y se ha dejado de pagar, se tiene que gestionar retomar este tema, (MERCADEO OTRAS MARCAS)"/>
    <m/>
    <x v="4"/>
    <x v="27"/>
    <s v="CAR"/>
    <x v="0"/>
    <s v="Andres Canelos / Ma. Paula Tapia"/>
    <s v="MERCADEO KFC"/>
    <x v="1"/>
    <s v="No iniciado"/>
    <s v="Q3"/>
    <x v="2"/>
    <m/>
    <s v="MEDIA"/>
    <m/>
    <n v="0"/>
    <n v="0"/>
    <n v="0"/>
    <m/>
    <n v="4800"/>
    <m/>
    <m/>
    <d v="2024-08-14T00:00:00"/>
    <d v="2024-09-14T00:00:00"/>
    <e v="#REF!"/>
    <d v="2024-09-14T00:00:00"/>
    <d v="2024-09-21T00:00:00"/>
    <d v="2897-09-07T00:00:00"/>
    <d v="2024-09-21T00:00:00"/>
    <d v="2024-09-28T00:00:00"/>
    <m/>
    <m/>
    <n v="0"/>
    <n v="7"/>
    <s v="Pendiente Conversar con proveedor"/>
    <m/>
    <m/>
  </r>
  <r>
    <x v="0"/>
    <m/>
    <x v="2"/>
    <m/>
    <s v="Optimizacion de desarrollos Z en SAP Regional"/>
    <m/>
    <m/>
    <s v="Mejorar los desarrollos en SAP"/>
    <m/>
    <x v="4"/>
    <x v="28"/>
    <s v="DSI"/>
    <x v="0"/>
    <s v="Juan Alejadro"/>
    <s v="DSI"/>
    <x v="1"/>
    <s v="No iniciado"/>
    <s v="Q3"/>
    <x v="1"/>
    <m/>
    <s v="ALTA"/>
    <n v="1"/>
    <n v="24"/>
    <n v="2"/>
    <n v="500"/>
    <m/>
    <n v="24000"/>
    <m/>
    <m/>
    <d v="2024-02-28T00:00:00"/>
    <d v="2024-08-28T00:00:00"/>
    <n v="182"/>
    <m/>
    <m/>
    <n v="0"/>
    <m/>
    <m/>
    <m/>
    <m/>
    <n v="6"/>
    <n v="0"/>
    <s v="PROYECTO REGIONAL"/>
    <m/>
    <m/>
  </r>
  <r>
    <x v="0"/>
    <m/>
    <x v="2"/>
    <m/>
    <s v="Planificación de la Producción (MPS)"/>
    <m/>
    <m/>
    <s v="Implementar la Planificación de Producción para Plantas (Master Production Schedule)"/>
    <m/>
    <x v="4"/>
    <x v="29"/>
    <s v="PLANTA"/>
    <x v="0"/>
    <s v="Diego Díaz "/>
    <s v="PRODUCCION"/>
    <x v="1"/>
    <s v="No iniciado"/>
    <s v="Q3"/>
    <x v="1"/>
    <m/>
    <s v="MEDIA"/>
    <n v="1"/>
    <n v="6"/>
    <n v="1"/>
    <n v="1100"/>
    <m/>
    <n v="6600"/>
    <m/>
    <m/>
    <d v="2024-04-07T00:00:00"/>
    <d v="2024-05-28T00:00:00"/>
    <n v="51"/>
    <d v="2024-05-28T00:00:00"/>
    <d v="2024-05-28T00:00:00"/>
    <n v="0"/>
    <d v="2024-05-28T00:00:00"/>
    <d v="2024-06-28T00:00:00"/>
    <m/>
    <m/>
    <n v="1.5"/>
    <n v="31"/>
    <m/>
    <m/>
    <m/>
  </r>
  <r>
    <x v="0"/>
    <m/>
    <x v="2"/>
    <m/>
    <s v="Realizar cruce de suministros que se encuentran para el débito bancario para evitar cortes y recargos adicionales"/>
    <m/>
    <m/>
    <s v="Hacer el registro con una matriz y revisar el debito con Robot que usa actualmente tesoreria"/>
    <m/>
    <x v="4"/>
    <x v="30"/>
    <s v="CAR"/>
    <x v="0"/>
    <s v="Diego Díaz "/>
    <s v="CONTABILIDAD"/>
    <x v="1"/>
    <s v="No iniciado"/>
    <s v="Q2"/>
    <x v="2"/>
    <m/>
    <s v="MEDIA"/>
    <n v="1"/>
    <n v="4"/>
    <n v="1"/>
    <n v="1600"/>
    <m/>
    <n v="6400"/>
    <m/>
    <m/>
    <d v="2024-04-07T00:00:00"/>
    <d v="2024-05-07T00:00:00"/>
    <n v="30"/>
    <d v="2024-05-07T00:00:00"/>
    <d v="2024-05-07T00:00:00"/>
    <n v="0"/>
    <d v="2024-05-07T00:00:00"/>
    <d v="2024-05-21T00:00:00"/>
    <m/>
    <m/>
    <n v="1"/>
    <n v="14"/>
    <m/>
    <m/>
    <m/>
  </r>
  <r>
    <x v="0"/>
    <m/>
    <x v="2"/>
    <m/>
    <s v="SAP(Licencias, Servicios Externos)"/>
    <m/>
    <m/>
    <s v="PAM Basis"/>
    <m/>
    <x v="4"/>
    <x v="31"/>
    <s v="DSI"/>
    <x v="0"/>
    <s v="Juan Alejadro"/>
    <s v="DSI"/>
    <x v="0"/>
    <s v="No iniciado"/>
    <s v="Q3"/>
    <x v="1"/>
    <m/>
    <s v="ALTA"/>
    <n v="0.8"/>
    <n v="3"/>
    <n v="24"/>
    <n v="500"/>
    <m/>
    <n v="289120"/>
    <m/>
    <m/>
    <d v="2024-02-28T00:00:00"/>
    <d v="2024-08-28T00:00:00"/>
    <n v="182"/>
    <m/>
    <m/>
    <n v="0"/>
    <m/>
    <m/>
    <m/>
    <m/>
    <n v="0.75"/>
    <n v="0"/>
    <s v="PROYECTO REGIONAL"/>
    <m/>
    <m/>
  </r>
  <r>
    <x v="0"/>
    <m/>
    <x v="2"/>
    <m/>
    <s v="SAP(Licencias, Servicios Externos)"/>
    <m/>
    <m/>
    <s v="PAM Basis"/>
    <m/>
    <x v="1"/>
    <x v="31"/>
    <s v="DSI"/>
    <x v="3"/>
    <s v="Juan Alejadro"/>
    <s v="CO"/>
    <x v="0"/>
    <s v="No iniciado"/>
    <s v="Q3"/>
    <x v="1"/>
    <m/>
    <s v="ALTA"/>
    <n v="0.15"/>
    <n v="3"/>
    <n v="24"/>
    <n v="500"/>
    <m/>
    <n v="22692"/>
    <m/>
    <m/>
    <d v="2024-02-28T00:00:00"/>
    <d v="2024-08-28T00:00:00"/>
    <n v="182"/>
    <m/>
    <m/>
    <n v="0"/>
    <m/>
    <m/>
    <m/>
    <m/>
    <n v="0.75"/>
    <n v="0"/>
    <s v="PROYECTO REGIONAL"/>
    <m/>
    <m/>
  </r>
  <r>
    <x v="0"/>
    <m/>
    <x v="2"/>
    <m/>
    <s v="Interfaz de activos fijos SAP-SIR"/>
    <m/>
    <m/>
    <s v="Contar con Integración de Activos Fijos SAP - SIR"/>
    <m/>
    <x v="0"/>
    <x v="0"/>
    <s v="REGIONAL"/>
    <x v="1"/>
    <s v="Davis Nuñez"/>
    <s v="CL"/>
    <x v="0"/>
    <s v="No iniciado"/>
    <s v="Q2"/>
    <x v="2"/>
    <m/>
    <s v="MEDIA"/>
    <n v="1"/>
    <n v="6"/>
    <n v="2"/>
    <n v="200"/>
    <m/>
    <n v="3040"/>
    <m/>
    <m/>
    <d v="2024-02-19T00:00:00"/>
    <d v="2024-03-31T00:00:00"/>
    <n v="41"/>
    <d v="2024-03-18T00:00:00"/>
    <d v="2024-03-25T00:00:00"/>
    <n v="7"/>
    <d v="2024-03-25T00:00:00"/>
    <d v="2024-04-01T00:00:00"/>
    <m/>
    <m/>
    <n v="1.5"/>
    <n v="7"/>
    <m/>
    <m/>
    <m/>
  </r>
  <r>
    <x v="0"/>
    <m/>
    <x v="2"/>
    <m/>
    <s v="Reabastecimiento"/>
    <m/>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x v="4"/>
    <x v="24"/>
    <s v="PLANTA"/>
    <x v="0"/>
    <s v="Diego Díaz "/>
    <s v="BODEGA"/>
    <x v="1"/>
    <s v="No iniciado"/>
    <s v="Q2"/>
    <x v="2"/>
    <m/>
    <s v="MEDIA"/>
    <n v="1"/>
    <n v="3"/>
    <n v="1"/>
    <n v="1100"/>
    <m/>
    <n v="3300"/>
    <m/>
    <m/>
    <d v="2024-02-07T00:00:00"/>
    <d v="2024-03-07T00:00:00"/>
    <n v="29"/>
    <d v="2024-03-14T00:00:00"/>
    <d v="2024-03-14T00:00:00"/>
    <n v="0"/>
    <d v="2024-03-14T00:00:00"/>
    <d v="2024-03-21T00:00:00"/>
    <m/>
    <m/>
    <n v="0.75"/>
    <n v="7"/>
    <m/>
    <m/>
    <m/>
  </r>
  <r>
    <x v="0"/>
    <m/>
    <x v="4"/>
    <m/>
    <s v="Sistema Aprobaciones OCs: Interfaz con SAP"/>
    <m/>
    <m/>
    <s v="Lo estaba proponiendo Davis N fase 1 (Regional) más ajustes a EC"/>
    <m/>
    <x v="4"/>
    <x v="32"/>
    <s v="CAR"/>
    <x v="0"/>
    <s v="Diego Díaz"/>
    <s v="CONTABILIDAD Y SAP"/>
    <x v="1"/>
    <s v="No iniciado"/>
    <s v="Q2"/>
    <x v="2"/>
    <m/>
    <s v="MEDIA"/>
    <m/>
    <n v="10"/>
    <n v="1"/>
    <n v="550"/>
    <m/>
    <n v="5500"/>
    <m/>
    <m/>
    <m/>
    <m/>
    <e v="#REF!"/>
    <m/>
    <m/>
    <d v="1899-12-30T00:00:00"/>
    <m/>
    <m/>
    <m/>
    <m/>
    <n v="2.5"/>
    <n v="0"/>
    <m/>
    <m/>
    <m/>
  </r>
  <r>
    <x v="0"/>
    <m/>
    <x v="4"/>
    <m/>
    <s v="FIONA: Ventas Clientes Externos Cerrados Subproductos Planta"/>
    <m/>
    <m/>
    <s v="Mediante Fiona la creacion de pedidos de clientes externos y comedor con un perfil para el supervisor del área, suprimir papel de solicitud "/>
    <m/>
    <x v="4"/>
    <x v="8"/>
    <s v="CAR"/>
    <x v="0"/>
    <s v="Diego Díaz / Vladimir Morillo"/>
    <s v="CONTABILIDAD Y SAP"/>
    <x v="2"/>
    <s v="No iniciado"/>
    <m/>
    <x v="1"/>
    <m/>
    <s v="ALTA"/>
    <m/>
    <n v="10"/>
    <n v="1"/>
    <n v="550"/>
    <m/>
    <n v="6140"/>
    <m/>
    <m/>
    <m/>
    <m/>
    <e v="#REF!"/>
    <m/>
    <m/>
    <d v="1899-12-30T00:00:00"/>
    <m/>
    <m/>
    <m/>
    <m/>
    <n v="2.5"/>
    <n v="0"/>
    <m/>
    <m/>
    <m/>
  </r>
  <r>
    <x v="0"/>
    <m/>
    <x v="1"/>
    <m/>
    <s v="Órdenes de compra en SIR para proveedores de Inventario (Tesalia, ARCA)"/>
    <m/>
    <m/>
    <s v="Creación de ordenes de compra en SIR para proveedores externos, validar integración con proveedor y solicitud de productos por sabores"/>
    <m/>
    <x v="4"/>
    <x v="33"/>
    <s v="CAR"/>
    <x v="0"/>
    <s v="Diego Díaz"/>
    <s v="CONTABILIDAD"/>
    <x v="1"/>
    <s v="Por Levantar"/>
    <s v="ALTA"/>
    <x v="2"/>
    <m/>
    <s v="MEDIA"/>
    <m/>
    <n v="5"/>
    <n v="2"/>
    <n v="450"/>
    <m/>
    <n v="5140"/>
    <m/>
    <m/>
    <d v="2024-04-29T00:00:00"/>
    <d v="2024-05-24T00:00:00"/>
    <e v="#REF!"/>
    <d v="2024-05-21T00:00:00"/>
    <d v="2024-05-31T00:00:00"/>
    <d v="2895-02-25T00:00:00"/>
    <m/>
    <d v="2024-05-31T00:00:00"/>
    <m/>
    <m/>
    <n v="1.25"/>
    <n v="45443"/>
    <m/>
    <m/>
    <m/>
  </r>
  <r>
    <x v="0"/>
    <m/>
    <x v="1"/>
    <m/>
    <s v="Digitacion de pedidos Mensajes, desarrollos por mail "/>
    <m/>
    <m/>
    <s v="Mediante SIR sean solicitados los pedidos  que se digitan en planta."/>
    <m/>
    <x v="4"/>
    <x v="33"/>
    <s v="CAR"/>
    <x v="0"/>
    <s v="Diego Díaz / Vladimir Morillo"/>
    <s v="CONTABILIDAD"/>
    <x v="1"/>
    <s v="No iniciado"/>
    <s v="MEDIA"/>
    <x v="1"/>
    <m/>
    <s v="ALTA"/>
    <m/>
    <n v="5"/>
    <n v="2"/>
    <n v="450"/>
    <m/>
    <n v="5140"/>
    <m/>
    <m/>
    <d v="2024-07-01T00:00:00"/>
    <d v="2024-08-02T00:00:00"/>
    <e v="#REF!"/>
    <d v="2024-08-06T00:00:00"/>
    <d v="2024-08-13T00:00:00"/>
    <d v="2896-10-30T00:00:00"/>
    <m/>
    <m/>
    <m/>
    <m/>
    <n v="1.25"/>
    <n v="0"/>
    <m/>
    <m/>
    <m/>
  </r>
  <r>
    <x v="0"/>
    <m/>
    <x v="5"/>
    <m/>
    <s v="Reporte Actualizado de Inversión a Directorio - Proyectos Construcción "/>
    <m/>
    <m/>
    <s v=" Reporte diario a descargar a la intranet presenta errores_x000a_- Alertas de límite presupuestario_x000a_- actualizar información se mantiene manual."/>
    <m/>
    <x v="4"/>
    <x v="34"/>
    <s v="CAR"/>
    <x v="0"/>
    <s v="Rodrigo Burbano"/>
    <s v="PROYECTOS DE CONSTRUCCIÓN"/>
    <x v="1"/>
    <s v="No iniciado"/>
    <s v="Q2"/>
    <x v="1"/>
    <m/>
    <s v="MEDIA"/>
    <n v="1"/>
    <m/>
    <m/>
    <m/>
    <m/>
    <n v="0"/>
    <m/>
    <m/>
    <m/>
    <m/>
    <m/>
    <m/>
    <m/>
    <m/>
    <m/>
    <m/>
    <m/>
    <m/>
    <n v="0"/>
    <m/>
    <m/>
    <m/>
    <m/>
  </r>
  <r>
    <x v="0"/>
    <m/>
    <x v="5"/>
    <m/>
    <s v="Reporte de pedidos no despachados por no disponibilidad"/>
    <m/>
    <m/>
    <s v="Reporte para controlar aquellos despachos que no realizan por falta de productos (vinculo con proveedor y capacidad de la planta. (Costo de oportunidad) (Consultar con Juan Celi) - Total por área - vinculo con pedido de compras."/>
    <m/>
    <x v="4"/>
    <x v="35"/>
    <s v="PLANTA"/>
    <x v="0"/>
    <s v="Shuber Aguirre"/>
    <s v="PLANTAS"/>
    <x v="1"/>
    <s v="No iniciado"/>
    <m/>
    <x v="4"/>
    <m/>
    <m/>
    <n v="1"/>
    <n v="4"/>
    <n v="1"/>
    <n v="1100"/>
    <m/>
    <n v="4400"/>
    <m/>
    <m/>
    <m/>
    <m/>
    <n v="0"/>
    <m/>
    <m/>
    <n v="0"/>
    <m/>
    <m/>
    <m/>
    <m/>
    <n v="1"/>
    <n v="0"/>
    <m/>
    <m/>
    <m/>
  </r>
  <r>
    <x v="0"/>
    <m/>
    <x v="2"/>
    <m/>
    <s v="Reporte: Anexo de Deuda Bancaria SAP"/>
    <m/>
    <m/>
    <s v="Tesorería, vinculo con SAP, con corte a la fecha ( en línea)"/>
    <m/>
    <x v="4"/>
    <x v="36"/>
    <s v="CAR"/>
    <x v="0"/>
    <s v="Amparo Aleman"/>
    <s v="TESORERÍA"/>
    <x v="1"/>
    <s v="No iniciado"/>
    <s v="Q2"/>
    <x v="2"/>
    <m/>
    <s v="MEDIA"/>
    <n v="1"/>
    <n v="4"/>
    <n v="1"/>
    <n v="1600"/>
    <m/>
    <n v="7040"/>
    <m/>
    <m/>
    <d v="2024-03-07T00:00:00"/>
    <d v="2024-05-07T00:00:00"/>
    <n v="61"/>
    <d v="2024-05-07T00:00:00"/>
    <d v="2024-05-14T00:00:00"/>
    <n v="7"/>
    <d v="2024-05-14T00:00:00"/>
    <d v="2024-05-21T00:00:00"/>
    <m/>
    <m/>
    <n v="1"/>
    <n v="7"/>
    <m/>
    <m/>
    <m/>
  </r>
  <r>
    <x v="0"/>
    <m/>
    <x v="0"/>
    <s v="Conciliaciones Tarjetas"/>
    <s v="Conciliador de Tarjetas de Crédito  Delivery  que incluya información depurada de ventas del swt "/>
    <s v="MXP LEGACY_x000a_MXP 2.0_x000a_TRADE"/>
    <m/>
    <s v="Max Point enviar transacciones POS a conciliador"/>
    <s v="ALTA"/>
    <x v="4"/>
    <x v="2"/>
    <s v="CAR"/>
    <x v="0"/>
    <s v="Diego Díaz"/>
    <s v="CONTABILIDAD Y SAP"/>
    <x v="0"/>
    <s v="No iniciado"/>
    <m/>
    <x v="2"/>
    <m/>
    <s v="MEDIA"/>
    <m/>
    <n v="8"/>
    <n v="1"/>
    <n v="550"/>
    <m/>
    <n v="5040"/>
    <m/>
    <m/>
    <d v="2024-03-18T00:00:00"/>
    <d v="2024-03-18T00:00:00"/>
    <n v="0"/>
    <d v="2024-03-18T00:00:00"/>
    <d v="2024-04-01T00:00:00"/>
    <n v="362966"/>
    <d v="2024-04-01T00:00:00"/>
    <d v="2024-04-15T00:00:00"/>
    <m/>
    <d v="1900-02-24T00:00:00"/>
    <n v="2"/>
    <n v="14"/>
    <m/>
    <m/>
    <s v="x"/>
  </r>
  <r>
    <x v="0"/>
    <m/>
    <x v="2"/>
    <m/>
    <s v="Implementar B2B en Depto. Tesorería"/>
    <m/>
    <m/>
    <s v="Nuevo Requerimiento"/>
    <m/>
    <x v="0"/>
    <x v="9"/>
    <s v="DSI"/>
    <x v="1"/>
    <s v="Maria A Stay"/>
    <s v="CL"/>
    <x v="0"/>
    <s v="No iniciado"/>
    <s v="Q1"/>
    <x v="2"/>
    <m/>
    <s v="MEDIA"/>
    <n v="1"/>
    <n v="4"/>
    <n v="1"/>
    <n v="572.5"/>
    <m/>
    <n v="2290"/>
    <m/>
    <m/>
    <d v="2024-02-21T00:00:00"/>
    <d v="2024-03-07T00:00:00"/>
    <n v="15"/>
    <d v="2024-03-07T00:00:00"/>
    <d v="2024-03-14T00:00:00"/>
    <n v="7"/>
    <d v="2024-03-14T00:00:00"/>
    <d v="2024-03-21T00:00:00"/>
    <m/>
    <m/>
    <n v="1"/>
    <n v="7"/>
    <m/>
    <m/>
    <m/>
  </r>
  <r>
    <x v="1"/>
    <m/>
    <x v="3"/>
    <m/>
    <s v="Flujo de Caja Chica Locales"/>
    <m/>
    <m/>
    <s v="Implementación de flujo de caja chica en curso, con vinculo a maxpoint y sir"/>
    <m/>
    <x v="0"/>
    <x v="0"/>
    <s v="REGIONAL"/>
    <x v="3"/>
    <s v="William Villegas"/>
    <s v="CO"/>
    <x v="0"/>
    <s v="No iniciado"/>
    <m/>
    <x v="2"/>
    <m/>
    <s v="ALTA"/>
    <n v="1"/>
    <n v="4"/>
    <n v="1"/>
    <n v="625"/>
    <m/>
    <n v="2500"/>
    <m/>
    <m/>
    <d v="2024-05-06T00:00:00"/>
    <d v="2024-05-17T00:00:00"/>
    <e v="#REF!"/>
    <d v="2024-05-20T00:00:00"/>
    <d v="2024-05-24T00:00:00"/>
    <d v="2895-02-11T00:00:00"/>
    <d v="2024-05-27T00:00:00"/>
    <d v="2024-05-31T00:00:00"/>
    <m/>
    <m/>
    <n v="1"/>
    <n v="4"/>
    <s v="PROYECTO MXP"/>
    <m/>
    <m/>
  </r>
  <r>
    <x v="0"/>
    <m/>
    <x v="2"/>
    <m/>
    <s v="RPA: Obtencion Tablas de amortización prestamos Bancarios en empresas relacionadas para Consolidar"/>
    <m/>
    <m/>
    <s v="Analizar solución con RPA"/>
    <m/>
    <x v="4"/>
    <x v="37"/>
    <s v="CAR"/>
    <x v="0"/>
    <s v="Amparo Aleman"/>
    <s v="TESORERÍA"/>
    <x v="1"/>
    <s v="No iniciado"/>
    <s v="Q2"/>
    <x v="2"/>
    <m/>
    <s v="ALTA"/>
    <n v="1"/>
    <n v="4"/>
    <n v="1"/>
    <n v="1600"/>
    <m/>
    <n v="7040"/>
    <m/>
    <m/>
    <d v="2024-04-07T00:00:00"/>
    <d v="2024-05-07T00:00:00"/>
    <n v="30"/>
    <d v="2024-05-07T00:00:00"/>
    <d v="2024-05-07T00:00:00"/>
    <n v="0"/>
    <d v="2024-05-07T00:00:00"/>
    <d v="2024-05-21T00:00:00"/>
    <m/>
    <m/>
    <n v="1"/>
    <n v="14"/>
    <m/>
    <m/>
    <m/>
  </r>
  <r>
    <x v="0"/>
    <m/>
    <x v="4"/>
    <m/>
    <s v="FIONA: Registro y procesamiento de control de calidad en planta"/>
    <m/>
    <m/>
    <s v="Permite llevar control del cumplimiento de especificaciones de producción a partir de los datos de los muestreo de calidad."/>
    <m/>
    <x v="4"/>
    <x v="38"/>
    <s v="CAR"/>
    <x v="0"/>
    <s v="Ana Cordova"/>
    <s v="PLANTAS"/>
    <x v="2"/>
    <s v="No iniciado"/>
    <m/>
    <x v="3"/>
    <m/>
    <s v="MEDIA"/>
    <m/>
    <n v="8"/>
    <n v="1"/>
    <n v="550"/>
    <m/>
    <n v="5040"/>
    <m/>
    <m/>
    <m/>
    <m/>
    <e v="#REF!"/>
    <m/>
    <m/>
    <d v="1899-12-30T00:00:00"/>
    <m/>
    <m/>
    <m/>
    <m/>
    <n v="2"/>
    <n v="0"/>
    <m/>
    <m/>
    <m/>
  </r>
  <r>
    <x v="1"/>
    <m/>
    <x v="3"/>
    <m/>
    <s v="Mxp - Impresión v2.1 NETCORE"/>
    <m/>
    <m/>
    <s v="Compromiso Matriz Regional  (Ecuador, Colombia, Chile y Argentina)"/>
    <m/>
    <x v="4"/>
    <x v="39"/>
    <s v="DSI"/>
    <x v="0"/>
    <s v="José Fernandez - Darwin Mora"/>
    <s v="DSI"/>
    <x v="0"/>
    <s v="Finalizado"/>
    <m/>
    <x v="0"/>
    <m/>
    <s v="BAJA"/>
    <m/>
    <m/>
    <m/>
    <m/>
    <m/>
    <n v="580"/>
    <m/>
    <m/>
    <m/>
    <m/>
    <m/>
    <m/>
    <m/>
    <d v="1899-12-30T00:00:00"/>
    <m/>
    <m/>
    <m/>
    <m/>
    <n v="0"/>
    <n v="0"/>
    <s v="PROYECTO REGIONAL"/>
    <m/>
    <m/>
  </r>
  <r>
    <x v="1"/>
    <m/>
    <x v="3"/>
    <m/>
    <s v="Mxp - Impresión v2.1 NETCORE"/>
    <m/>
    <m/>
    <s v="Compromiso Matriz Regional  (Ecuador, Colombia, Chile y Argentina)"/>
    <m/>
    <x v="1"/>
    <x v="1"/>
    <s v="REGIONAL"/>
    <x v="3"/>
    <s v="José Fernandez - Darwin Mora"/>
    <s v="CO"/>
    <x v="0"/>
    <s v="En curso"/>
    <m/>
    <x v="0"/>
    <m/>
    <s v="ALTA"/>
    <m/>
    <n v="8"/>
    <n v="1"/>
    <n v="625"/>
    <m/>
    <n v="5000"/>
    <m/>
    <m/>
    <d v="2024-03-04T00:00:00"/>
    <d v="2024-04-11T00:00:00"/>
    <e v="#REF!"/>
    <d v="2024-04-15T00:00:00"/>
    <d v="2024-04-19T00:00:00"/>
    <d v="2894-05-07T00:00:00"/>
    <d v="2024-04-22T00:00:00"/>
    <d v="2024-04-26T00:00:00"/>
    <m/>
    <m/>
    <n v="2"/>
    <n v="4"/>
    <s v="PROYECTO REGIONAL"/>
    <m/>
    <m/>
  </r>
  <r>
    <x v="0"/>
    <m/>
    <x v="2"/>
    <m/>
    <s v="SAP Disaster Recovery"/>
    <m/>
    <m/>
    <s v="CONTAR CON UN PLAN DE RECUPERACION ANTE DESASTERES Y PLAN DE CONTINUIDAD DE NEGOCIO "/>
    <m/>
    <x v="1"/>
    <x v="40"/>
    <s v="REGIONAL"/>
    <x v="1"/>
    <m/>
    <s v="CL"/>
    <x v="0"/>
    <s v="En curso"/>
    <s v="Q1"/>
    <x v="1"/>
    <m/>
    <s v="ALTA"/>
    <n v="0.05"/>
    <n v="12"/>
    <n v="10"/>
    <n v="1221"/>
    <m/>
    <n v="7326"/>
    <n v="6769.4000000000005"/>
    <m/>
    <d v="2024-02-21T00:00:00"/>
    <d v="2024-05-21T00:00:00"/>
    <n v="90"/>
    <d v="2024-03-21T00:00:00"/>
    <d v="2024-03-28T00:00:00"/>
    <n v="7"/>
    <d v="2024-03-21T00:00:00"/>
    <d v="2024-03-28T00:00:00"/>
    <m/>
    <m/>
    <n v="3"/>
    <n v="7"/>
    <s v="PROYECTO REGIONAL"/>
    <m/>
    <m/>
  </r>
  <r>
    <x v="1"/>
    <m/>
    <x v="3"/>
    <m/>
    <s v="Mxp - Impresión v2.1 NETCORE"/>
    <m/>
    <m/>
    <s v="Compromiso Matriz Regional  (Ecuador, Colombia, Chile y Argentina)"/>
    <m/>
    <x v="1"/>
    <x v="1"/>
    <s v="REGIONAL"/>
    <x v="2"/>
    <s v="José Fernandez - Darwin Mora"/>
    <s v="AR"/>
    <x v="0"/>
    <s v="No iniciado"/>
    <m/>
    <x v="0"/>
    <m/>
    <s v="ALTA"/>
    <n v="1"/>
    <n v="12"/>
    <n v="1"/>
    <n v="550"/>
    <m/>
    <n v="6600"/>
    <m/>
    <m/>
    <d v="2024-03-04T00:00:00"/>
    <d v="2024-05-10T00:00:00"/>
    <e v="#REF!"/>
    <d v="2024-05-13T00:00:00"/>
    <d v="2024-05-17T00:00:00"/>
    <d v="2894-12-17T00:00:00"/>
    <d v="2024-05-20T00:00:00"/>
    <d v="2024-05-24T00:00:00"/>
    <m/>
    <m/>
    <n v="3"/>
    <n v="4"/>
    <s v="PROYECTO REGIONAL"/>
    <m/>
    <m/>
  </r>
  <r>
    <x v="0"/>
    <m/>
    <x v="3"/>
    <m/>
    <s v="Replica de información v2.0"/>
    <m/>
    <m/>
    <s v="Compromiso Matriz Regional  (Ecuador)"/>
    <m/>
    <x v="0"/>
    <x v="41"/>
    <s v="DSI"/>
    <x v="0"/>
    <s v="José Fernandez - Darwin Mora"/>
    <s v="DSI"/>
    <x v="1"/>
    <s v="En curso"/>
    <m/>
    <x v="2"/>
    <m/>
    <s v="BAJA"/>
    <m/>
    <n v="8"/>
    <n v="2"/>
    <n v="550"/>
    <m/>
    <n v="9380"/>
    <m/>
    <m/>
    <d v="2024-04-01T00:00:00"/>
    <d v="2024-05-27T00:00:00"/>
    <m/>
    <d v="2024-05-28T00:00:00"/>
    <d v="2024-06-11T00:00:00"/>
    <d v="2895-04-26T00:00:00"/>
    <d v="2024-06-12T00:00:00"/>
    <d v="2024-07-10T00:00:00"/>
    <m/>
    <m/>
    <n v="2"/>
    <n v="28"/>
    <s v="PROYECTO REGIONAL"/>
    <m/>
    <m/>
  </r>
  <r>
    <x v="0"/>
    <m/>
    <x v="2"/>
    <m/>
    <s v="SAP(Licencias, Servicios Externos)"/>
    <m/>
    <m/>
    <s v="PAM Basis"/>
    <m/>
    <x v="1"/>
    <x v="31"/>
    <s v="DSI"/>
    <x v="1"/>
    <s v="Juan Alejadro"/>
    <s v="CL"/>
    <x v="0"/>
    <s v="No iniciado"/>
    <s v="Q2"/>
    <x v="1"/>
    <m/>
    <s v="ALTA"/>
    <n v="0.05"/>
    <n v="3"/>
    <n v="24"/>
    <n v="500"/>
    <m/>
    <n v="25219"/>
    <m/>
    <m/>
    <d v="2024-02-28T00:00:00"/>
    <d v="2024-08-28T00:00:00"/>
    <n v="182"/>
    <m/>
    <m/>
    <n v="0"/>
    <m/>
    <m/>
    <m/>
    <m/>
    <n v="0.75"/>
    <n v="0"/>
    <s v="PROYECTO REGIONAL"/>
    <m/>
    <m/>
  </r>
  <r>
    <x v="1"/>
    <m/>
    <x v="3"/>
    <m/>
    <s v="Mxp Delivery - Turneros v3.0 "/>
    <m/>
    <m/>
    <s v="Compromiso Matriz Regional  (Chile Argentina)"/>
    <m/>
    <x v="1"/>
    <x v="1"/>
    <s v="REGIONAL"/>
    <x v="2"/>
    <s v="Adrian Gadja"/>
    <s v="AR"/>
    <x v="0"/>
    <s v="No iniciado"/>
    <m/>
    <x v="0"/>
    <s v="programadores en Angular"/>
    <s v="MEDIA"/>
    <n v="1"/>
    <n v="4"/>
    <n v="1"/>
    <n v="550"/>
    <m/>
    <n v="2200"/>
    <m/>
    <m/>
    <d v="2024-03-04T00:00:00"/>
    <d v="2024-03-15T00:00:00"/>
    <e v="#REF!"/>
    <d v="2024-03-18T00:00:00"/>
    <d v="2024-03-22T00:00:00"/>
    <d v="2893-09-25T00:00:00"/>
    <d v="2024-03-25T00:00:00"/>
    <d v="2024-03-29T00:00:00"/>
    <m/>
    <m/>
    <n v="1"/>
    <n v="4"/>
    <s v="PROYECTO REGIONAL"/>
    <m/>
    <m/>
  </r>
  <r>
    <x v="1"/>
    <m/>
    <x v="3"/>
    <m/>
    <s v="Mxp Delivery- Core Integraciones Ultimas Millas"/>
    <m/>
    <m/>
    <s v="Compromiso Matriz Regional  (Argentina"/>
    <m/>
    <x v="1"/>
    <x v="1"/>
    <s v="REGIONAL"/>
    <x v="2"/>
    <s v="Adrian Gadja"/>
    <s v="AR"/>
    <x v="0"/>
    <s v="No iniciado"/>
    <m/>
    <x v="2"/>
    <m/>
    <s v="MEDIA"/>
    <n v="1"/>
    <n v="8"/>
    <n v="1"/>
    <n v="550"/>
    <m/>
    <n v="4400"/>
    <m/>
    <m/>
    <d v="2024-04-01T00:00:00"/>
    <d v="2024-05-10T00:00:00"/>
    <e v="#REF!"/>
    <d v="2024-05-13T00:00:00"/>
    <d v="2024-05-17T00:00:00"/>
    <d v="2894-12-17T00:00:00"/>
    <d v="2024-05-20T00:00:00"/>
    <d v="2024-05-24T00:00:00"/>
    <m/>
    <m/>
    <n v="2"/>
    <n v="4"/>
    <s v="PROYECTO REGIONAL"/>
    <m/>
    <m/>
  </r>
  <r>
    <x v="0"/>
    <m/>
    <x v="0"/>
    <s v="DragonTail"/>
    <s v="Mxp Delivery - Dragon Tail (Seguimiento)"/>
    <s v="MXP LEGACY_x000a_MXP 2.0"/>
    <m/>
    <s v="Compromiso Matriz Regional  (Venezuela, Ecuador, Chile, Colombia y Argentina)_x000a_Implementación de KDS en el counter con dragontale para todos los pedido"/>
    <s v="ALTA"/>
    <x v="1"/>
    <x v="0"/>
    <s v="DSI"/>
    <x v="4"/>
    <s v="Mychael Castro - José Fernandez"/>
    <s v="DSI"/>
    <x v="0"/>
    <s v="En curso"/>
    <m/>
    <x v="0"/>
    <s v="p8"/>
    <s v="ALTA"/>
    <n v="1"/>
    <n v="6"/>
    <n v="1"/>
    <n v="550"/>
    <m/>
    <n v="3940"/>
    <m/>
    <m/>
    <d v="2024-02-05T00:00:00"/>
    <d v="2024-03-04T00:00:00"/>
    <n v="28"/>
    <d v="2024-03-04T00:00:00"/>
    <d v="2024-03-11T00:00:00"/>
    <n v="362847"/>
    <d v="2024-03-11T00:00:00"/>
    <d v="2024-03-25T00:00:00"/>
    <d v="2024-04-01T00:00:00"/>
    <d v="2024-05-13T00:00:00"/>
    <n v="1.5"/>
    <n v="14"/>
    <s v="PROYECTO REGIONAL"/>
    <m/>
    <m/>
  </r>
  <r>
    <x v="0"/>
    <m/>
    <x v="4"/>
    <m/>
    <s v="Sistema Aprobaciones OCs: Control de Cupos por Solicitantes e interfaz de CM ( Mercadeo )"/>
    <m/>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x v="4"/>
    <x v="42"/>
    <s v="CAR"/>
    <x v="0"/>
    <s v="Verónica Marañon"/>
    <s v="MERCADEO OTRAS MARCAS"/>
    <x v="1"/>
    <s v="No iniciado"/>
    <s v="Q2"/>
    <x v="3"/>
    <m/>
    <s v="ALTA"/>
    <n v="1"/>
    <n v="5"/>
    <n v="1"/>
    <n v="550"/>
    <m/>
    <n v="3950"/>
    <m/>
    <m/>
    <d v="2024-10-01T00:00:00"/>
    <d v="2025-10-07T00:00:00"/>
    <d v="2024-11-01T00:00:00"/>
    <d v="2025-10-07T00:00:00"/>
    <d v="2024-10-14T00:00:00"/>
    <d v="2024-11-07T00:00:00"/>
    <d v="2024-10-21T00:00:00"/>
    <d v="2024-04-21T00:00:00"/>
    <m/>
    <m/>
    <n v="1.25"/>
    <n v="-183"/>
    <m/>
    <m/>
    <m/>
  </r>
  <r>
    <x v="0"/>
    <m/>
    <x v="3"/>
    <m/>
    <s v="Identificar extras/modificadores asociados al producto padre en la pantalla de toma de pedido y la impresión de la orden de la cocina"/>
    <s v="MXP 2.0"/>
    <m/>
    <s v="Ver Anexo A2"/>
    <m/>
    <x v="4"/>
    <x v="43"/>
    <s v="OPER"/>
    <x v="0"/>
    <s v="Sandra Paillacho"/>
    <s v="OPERACIONES"/>
    <x v="1"/>
    <s v="No iniciado"/>
    <n v="1"/>
    <x v="2"/>
    <m/>
    <s v="BAJA"/>
    <n v="1"/>
    <n v="3"/>
    <n v="1"/>
    <n v="550"/>
    <m/>
    <n v="2230"/>
    <m/>
    <m/>
    <d v="2024-04-01T00:00:00"/>
    <d v="2024-04-22T00:00:00"/>
    <d v="2024-04-23T00:00:00"/>
    <d v="2024-05-07T00:00:00"/>
    <d v="2024-05-08T00:00:00"/>
    <d v="2024-05-22T00:00:00"/>
    <d v="2024-05-08T00:00:00"/>
    <d v="2024-05-22T00:00:00"/>
    <m/>
    <m/>
    <n v="0.75"/>
    <n v="14"/>
    <s v="Célula Operaciones"/>
    <m/>
    <m/>
  </r>
  <r>
    <x v="0"/>
    <m/>
    <x v="8"/>
    <m/>
    <s v="Modelar la selección del canal en una misma transacción por producto"/>
    <m/>
    <m/>
    <s v="Ver Anexo A2_x000a_Desglosar el pedido y mediante popup seleccionar el medio del producto"/>
    <m/>
    <x v="4"/>
    <x v="43"/>
    <s v="OPER"/>
    <x v="0"/>
    <s v="Sandra Paillacho"/>
    <s v="OPERACIONES"/>
    <x v="2"/>
    <s v="No iniciado"/>
    <n v="1"/>
    <x v="0"/>
    <s v="Se necesita mayor contexto del cliente"/>
    <s v="MEDIA"/>
    <n v="1"/>
    <n v="1"/>
    <n v="4"/>
    <n v="550"/>
    <m/>
    <n v="2200"/>
    <m/>
    <m/>
    <d v="2024-02-26T00:00:00"/>
    <d v="2024-03-25T00:00:00"/>
    <e v="#REF!"/>
    <d v="2024-03-26T00:00:00"/>
    <d v="2024-04-09T00:00:00"/>
    <d v="2893-12-08T00:00:00"/>
    <d v="2024-04-10T00:00:00"/>
    <d v="2024-04-24T00:00:00"/>
    <m/>
    <m/>
    <n v="0.25"/>
    <n v="14"/>
    <s v="Célula Operaciones"/>
    <m/>
    <m/>
  </r>
  <r>
    <x v="0"/>
    <m/>
    <x v="8"/>
    <m/>
    <s v="Asignacion de Modificadores mendiante Popup y otros como la división de sándwiches"/>
    <m/>
    <m/>
    <s v="Ver Anexo A2"/>
    <m/>
    <x v="4"/>
    <x v="43"/>
    <s v="OPER"/>
    <x v="0"/>
    <s v="Sandra Paillacho"/>
    <s v="OPERACIONES"/>
    <x v="2"/>
    <s v="No iniciado"/>
    <n v="1"/>
    <x v="0"/>
    <m/>
    <s v="BAJA"/>
    <n v="1"/>
    <n v="1"/>
    <n v="3"/>
    <n v="550"/>
    <m/>
    <n v="1650"/>
    <m/>
    <m/>
    <d v="2024-03-18T00:00:00"/>
    <d v="2024-04-08T00:00:00"/>
    <e v="#REF!"/>
    <d v="2024-04-09T00:00:00"/>
    <d v="2024-04-23T00:00:00"/>
    <d v="2894-03-30T00:00:00"/>
    <d v="2024-04-24T00:00:00"/>
    <d v="2024-05-08T00:00:00"/>
    <m/>
    <m/>
    <n v="0.25"/>
    <n v="14"/>
    <s v="Célula Operaciones"/>
    <m/>
    <m/>
  </r>
  <r>
    <x v="0"/>
    <m/>
    <x v="8"/>
    <m/>
    <s v=" Desacoplar las preguntas de los productos, y crear preguntas del macro al micro por categorías y subcategorías de forma general para poder asociar los modificadores"/>
    <m/>
    <m/>
    <s v="Ver Anexo A2"/>
    <m/>
    <x v="4"/>
    <x v="43"/>
    <s v="OPER"/>
    <x v="0"/>
    <s v="Sandra Paillacho"/>
    <s v="OPERACIONES"/>
    <x v="2"/>
    <s v="No iniciado"/>
    <n v="1"/>
    <x v="0"/>
    <m/>
    <s v="ALTA"/>
    <n v="1"/>
    <n v="1"/>
    <n v="5"/>
    <n v="550"/>
    <m/>
    <n v="2750"/>
    <m/>
    <m/>
    <d v="2024-03-25T00:00:00"/>
    <d v="2024-04-29T00:00:00"/>
    <e v="#REF!"/>
    <d v="2024-04-30T00:00:00"/>
    <d v="2024-05-14T00:00:00"/>
    <d v="2894-09-14T00:00:00"/>
    <d v="2024-05-15T00:00:00"/>
    <d v="2024-05-29T00:00:00"/>
    <m/>
    <m/>
    <n v="0.25"/>
    <n v="14"/>
    <s v="Célula Operaciones"/>
    <m/>
    <m/>
  </r>
  <r>
    <x v="0"/>
    <m/>
    <x v="3"/>
    <m/>
    <s v="Mantenimiento Legacy Ecuador 2024"/>
    <m/>
    <m/>
    <s v="Ver Anexo A3"/>
    <m/>
    <x v="4"/>
    <x v="3"/>
    <s v="DSI"/>
    <x v="0"/>
    <s v="José Fernández"/>
    <s v="DSI"/>
    <x v="0"/>
    <s v="No iniciado"/>
    <m/>
    <x v="2"/>
    <m/>
    <s v="ALTA"/>
    <n v="1"/>
    <n v="20"/>
    <n v="8"/>
    <n v="550"/>
    <m/>
    <n v="88580"/>
    <m/>
    <m/>
    <d v="2024-06-15T00:00:00"/>
    <d v="2024-07-06T00:00:00"/>
    <d v="2024-07-07T00:00:00"/>
    <d v="2024-07-21T00:00:00"/>
    <d v="2024-07-22T00:00:00"/>
    <d v="2024-08-05T00:00:00"/>
    <d v="2024-03-10T00:00:00"/>
    <d v="2024-12-31T00:00:00"/>
    <m/>
    <m/>
    <n v="5"/>
    <n v="296"/>
    <s v="Identificado Grupo de Soporte"/>
    <m/>
    <m/>
  </r>
  <r>
    <x v="0"/>
    <m/>
    <x v="3"/>
    <m/>
    <s v="Descuentos por Bin de Tarjetas counter"/>
    <m/>
    <m/>
    <s v="Convenio con los bancos para dar descuentos al total de la factura. (Comunicación con el pinpad)"/>
    <m/>
    <x v="0"/>
    <x v="0"/>
    <s v="REGIONAL"/>
    <x v="1"/>
    <s v="Davis Nuñez"/>
    <s v="CL"/>
    <x v="0"/>
    <s v="No iniciado"/>
    <m/>
    <x v="2"/>
    <s v="Dependencia documentación Hassar."/>
    <s v="ALTA"/>
    <n v="1"/>
    <n v="6"/>
    <n v="1"/>
    <n v="625"/>
    <m/>
    <n v="3750"/>
    <m/>
    <m/>
    <d v="2024-04-29T00:00:00"/>
    <d v="2024-05-31T00:00:00"/>
    <e v="#REF!"/>
    <d v="2024-06-03T00:00:00"/>
    <d v="2024-06-07T00:00:00"/>
    <d v="2895-06-03T00:00:00"/>
    <d v="2024-06-10T00:00:00"/>
    <d v="2024-06-14T00:00:00"/>
    <m/>
    <m/>
    <n v="1.5"/>
    <n v="4"/>
    <m/>
    <m/>
    <m/>
  </r>
  <r>
    <x v="0"/>
    <m/>
    <x v="8"/>
    <m/>
    <s v="Ordenar botones por reglas de negocio por definirse"/>
    <m/>
    <m/>
    <s v="Ver Anexo A2"/>
    <m/>
    <x v="4"/>
    <x v="43"/>
    <s v="OPER"/>
    <x v="0"/>
    <s v="Sandra Paillacho"/>
    <s v="OPERACIONES"/>
    <x v="2"/>
    <s v="No iniciado"/>
    <n v="1"/>
    <x v="2"/>
    <m/>
    <s v="MEDIA"/>
    <n v="1"/>
    <n v="1"/>
    <n v="4"/>
    <n v="550"/>
    <m/>
    <n v="2200"/>
    <m/>
    <m/>
    <d v="2024-04-01T00:00:00"/>
    <d v="2024-04-29T00:00:00"/>
    <e v="#REF!"/>
    <d v="2024-04-30T00:00:00"/>
    <d v="2024-05-14T00:00:00"/>
    <d v="2894-09-14T00:00:00"/>
    <d v="2024-05-15T00:00:00"/>
    <d v="2024-05-29T00:00:00"/>
    <m/>
    <m/>
    <n v="0.25"/>
    <n v="14"/>
    <s v="Célula Operaciones"/>
    <m/>
    <m/>
  </r>
  <r>
    <x v="0"/>
    <m/>
    <x v="8"/>
    <m/>
    <s v="Que aparezcan en las pantallas de publicidad el valor de la factura a  pagar"/>
    <m/>
    <m/>
    <s v="Ver Anexo A2"/>
    <m/>
    <x v="4"/>
    <x v="43"/>
    <s v="OPER"/>
    <x v="0"/>
    <s v="Sandra Paillacho"/>
    <s v="OPERACIONES"/>
    <x v="2"/>
    <s v="No iniciado"/>
    <n v="2"/>
    <x v="2"/>
    <m/>
    <s v="MEDIA"/>
    <n v="1"/>
    <n v="1"/>
    <n v="4"/>
    <n v="550"/>
    <m/>
    <n v="2200"/>
    <m/>
    <m/>
    <d v="2024-04-15T00:00:00"/>
    <d v="2024-05-13T00:00:00"/>
    <e v="#REF!"/>
    <d v="2024-05-14T00:00:00"/>
    <d v="2024-05-28T00:00:00"/>
    <d v="2895-01-04T00:00:00"/>
    <d v="2024-05-29T00:00:00"/>
    <d v="2024-06-12T00:00:00"/>
    <m/>
    <m/>
    <n v="0.25"/>
    <n v="14"/>
    <s v="Célula Operaciones"/>
    <m/>
    <m/>
  </r>
  <r>
    <x v="0"/>
    <m/>
    <x v="3"/>
    <m/>
    <s v="Imprimir reporte de desmontado de cajero en la impresora de la caja cuando se realice el proceso desde el backoffice"/>
    <s v="MXP 2.0"/>
    <m/>
    <s v="Ver Anexo A2_x000a_Arqueo, Retiros, proceso de cuadre de caja se lo haga en la oficina y no el en fronting POS, pero Imprimir la cinta en el POS caja, agrupador UX de formas de pago, BACK y Front"/>
    <m/>
    <x v="4"/>
    <x v="43"/>
    <s v="OPER"/>
    <x v="0"/>
    <s v="José Fernandez"/>
    <s v="OPERACIONES"/>
    <x v="1"/>
    <s v="No iniciado"/>
    <n v="2"/>
    <x v="2"/>
    <m/>
    <s v="BAJA"/>
    <n v="1"/>
    <n v="3"/>
    <n v="1"/>
    <n v="550"/>
    <m/>
    <n v="2230"/>
    <m/>
    <m/>
    <d v="2024-04-01T00:00:00"/>
    <d v="2024-04-22T00:00:00"/>
    <d v="2024-04-23T00:00:00"/>
    <d v="2024-05-07T00:00:00"/>
    <d v="2024-05-08T00:00:00"/>
    <d v="2024-05-22T00:00:00"/>
    <d v="2024-07-22T00:00:00"/>
    <d v="2024-08-05T00:00:00"/>
    <m/>
    <m/>
    <n v="0.75"/>
    <n v="14"/>
    <s v="Célula Operaciones"/>
    <m/>
    <m/>
  </r>
  <r>
    <x v="0"/>
    <m/>
    <x v="8"/>
    <m/>
    <s v="Asignación de tamaños a de productividad ctos a botones para selección mediante popup de tamanos (Ej.: Café 8onz 12Onz 16Onz., Cola 12onz 16onz 22onz."/>
    <m/>
    <m/>
    <s v="Ver Anexo A2"/>
    <m/>
    <x v="4"/>
    <x v="43"/>
    <s v="OPER"/>
    <x v="0"/>
    <s v="Sandra Paillacho"/>
    <s v="OPERACIONES"/>
    <x v="2"/>
    <s v="No iniciado"/>
    <n v="2"/>
    <x v="2"/>
    <m/>
    <s v="MEDIA"/>
    <n v="1"/>
    <n v="2"/>
    <n v="4"/>
    <n v="550"/>
    <m/>
    <n v="4400"/>
    <m/>
    <m/>
    <d v="2024-04-01T00:00:00"/>
    <d v="2024-04-29T00:00:00"/>
    <d v="2024-04-30T00:00:00"/>
    <d v="2024-05-14T00:00:00"/>
    <d v="2024-05-15T00:00:00"/>
    <d v="2024-05-29T00:00:00"/>
    <d v="2024-06-19T00:00:00"/>
    <d v="2024-07-03T00:00:00"/>
    <m/>
    <m/>
    <n v="0.5"/>
    <n v="14"/>
    <s v="Célula Operaciones"/>
    <m/>
    <m/>
  </r>
  <r>
    <x v="0"/>
    <m/>
    <x v="8"/>
    <m/>
    <s v="Al momento de cobrar el sistema  tiene muchas preguntas / simplificar"/>
    <m/>
    <m/>
    <s v="Ver Anexo A2"/>
    <m/>
    <x v="4"/>
    <x v="43"/>
    <s v="OPER"/>
    <x v="0"/>
    <s v="Sandra Paillacho"/>
    <s v="OPERACIONES"/>
    <x v="2"/>
    <s v="No iniciado"/>
    <n v="3"/>
    <x v="2"/>
    <m/>
    <s v="MEDIA"/>
    <n v="1"/>
    <n v="2"/>
    <n v="4"/>
    <n v="550"/>
    <m/>
    <n v="4400"/>
    <m/>
    <m/>
    <d v="2024-05-02T00:00:00"/>
    <d v="2024-05-16T00:00:00"/>
    <d v="2024-05-17T00:00:00"/>
    <d v="2024-05-31T00:00:00"/>
    <d v="2024-06-01T00:00:00"/>
    <d v="2024-06-15T00:00:00"/>
    <d v="2024-06-19T00:00:00"/>
    <d v="2024-07-03T00:00:00"/>
    <m/>
    <m/>
    <n v="0.5"/>
    <n v="14"/>
    <s v="Célula Operaciones"/>
    <m/>
    <m/>
  </r>
  <r>
    <x v="0"/>
    <m/>
    <x v="3"/>
    <m/>
    <s v="Optimización de la velocidad de carga del menú luego de loguear al cajero"/>
    <s v="MXP 2.0"/>
    <m/>
    <s v="Ver Anexo A2_x000a_Al ingresar a max point tarda en cargar para el ingreso de claves"/>
    <m/>
    <x v="4"/>
    <x v="43"/>
    <s v="OPER"/>
    <x v="0"/>
    <s v="Sandra Paillacho"/>
    <s v="OPERACIONES"/>
    <x v="1"/>
    <s v="No iniciado"/>
    <n v="1"/>
    <x v="2"/>
    <m/>
    <s v="BAJA"/>
    <n v="1"/>
    <n v="3"/>
    <n v="1"/>
    <n v="550"/>
    <m/>
    <n v="2230"/>
    <m/>
    <m/>
    <d v="2024-05-02T00:00:00"/>
    <d v="2024-05-30T00:00:00"/>
    <d v="2024-05-31T00:00:00"/>
    <d v="2024-06-14T00:00:00"/>
    <d v="2024-06-15T00:00:00"/>
    <d v="2024-06-29T00:00:00"/>
    <d v="2024-05-08T00:00:00"/>
    <d v="2024-05-22T00:00:00"/>
    <m/>
    <m/>
    <n v="0.75"/>
    <n v="14"/>
    <s v="Célula Operaciones"/>
    <m/>
    <m/>
  </r>
  <r>
    <x v="0"/>
    <m/>
    <x v="3"/>
    <m/>
    <s v="Permitir ingreso de cedulas de extranjeros"/>
    <s v="MXP 2.0"/>
    <m/>
    <s v="Ver Anexo A2_x000a_Al realizar facturas hay cedulas de extranjeros que no permite ingresar"/>
    <m/>
    <x v="4"/>
    <x v="43"/>
    <s v="OPER"/>
    <x v="0"/>
    <s v="Sandra Paillacho"/>
    <s v="OPERACIONES"/>
    <x v="1"/>
    <s v="No iniciado"/>
    <n v="3"/>
    <x v="2"/>
    <m/>
    <s v="BAJA"/>
    <n v="1"/>
    <n v="4"/>
    <n v="1"/>
    <n v="550"/>
    <m/>
    <n v="2780"/>
    <m/>
    <m/>
    <d v="2024-05-06T00:00:00"/>
    <d v="2024-05-27T00:00:00"/>
    <d v="2024-05-28T00:00:00"/>
    <d v="2024-06-11T00:00:00"/>
    <d v="2024-06-12T00:00:00"/>
    <d v="2024-06-26T00:00:00"/>
    <d v="2024-05-15T00:00:00"/>
    <d v="2024-05-29T00:00:00"/>
    <m/>
    <m/>
    <n v="1"/>
    <n v="14"/>
    <s v="Célula Operaciones"/>
    <m/>
    <m/>
  </r>
  <r>
    <x v="0"/>
    <m/>
    <x v="3"/>
    <m/>
    <s v="Agregar número de ficha la orden de la cocina y en el RIDE que sea el mismo número"/>
    <s v="MXP 2.0"/>
    <m/>
    <s v="Ver Anexo A2"/>
    <m/>
    <x v="4"/>
    <x v="43"/>
    <s v="OPER"/>
    <x v="0"/>
    <s v="Sandra Paillacho"/>
    <s v="OPERACIONES"/>
    <x v="1"/>
    <s v="No iniciado"/>
    <n v="3"/>
    <x v="2"/>
    <m/>
    <s v="BAJA"/>
    <n v="1"/>
    <n v="2"/>
    <n v="1"/>
    <n v="550"/>
    <m/>
    <n v="1680"/>
    <m/>
    <m/>
    <d v="2024-05-20T00:00:00"/>
    <d v="2024-06-03T00:00:00"/>
    <d v="2024-06-04T00:00:00"/>
    <d v="2024-06-18T00:00:00"/>
    <d v="2024-06-19T00:00:00"/>
    <d v="2024-07-03T00:00:00"/>
    <d v="2024-06-01T00:00:00"/>
    <d v="2024-06-15T00:00:00"/>
    <m/>
    <m/>
    <n v="0.5"/>
    <n v="14"/>
    <s v="Célula Operaciones"/>
    <m/>
    <m/>
  </r>
  <r>
    <x v="0"/>
    <m/>
    <x v="3"/>
    <m/>
    <s v="Mejora de UX de pantalla de datos en toma de pedido (landing page)"/>
    <m/>
    <m/>
    <s v="Ver Anexo A2_x000a_Eliminar la pantallla de Datos de Delivery CONFIGURACION"/>
    <m/>
    <x v="4"/>
    <x v="43"/>
    <s v="OPER"/>
    <x v="0"/>
    <s v="Sandra Paillacho"/>
    <s v="OPERACIONES"/>
    <x v="1"/>
    <s v="No iniciado"/>
    <n v="3"/>
    <x v="2"/>
    <m/>
    <s v="BAJA"/>
    <n v="1"/>
    <n v="4"/>
    <n v="1"/>
    <n v="550"/>
    <m/>
    <n v="2780"/>
    <m/>
    <m/>
    <d v="2024-06-03T00:00:00"/>
    <d v="2024-06-24T00:00:00"/>
    <d v="2024-06-25T00:00:00"/>
    <d v="2024-07-09T00:00:00"/>
    <d v="2024-07-10T00:00:00"/>
    <d v="2024-07-24T00:00:00"/>
    <d v="2024-06-15T00:00:00"/>
    <d v="2024-06-29T00:00:00"/>
    <m/>
    <m/>
    <n v="1"/>
    <n v="14"/>
    <s v="Célula Operaciones"/>
    <m/>
    <m/>
  </r>
  <r>
    <x v="0"/>
    <m/>
    <x v="8"/>
    <m/>
    <s v="Incorporar venta detallada de complementos (productos) por cajeros"/>
    <m/>
    <m/>
    <s v="Ver Anexo A2"/>
    <m/>
    <x v="4"/>
    <x v="43"/>
    <s v="OPER"/>
    <x v="0"/>
    <s v="Sandra Paillacho"/>
    <s v="OPERACIONES"/>
    <x v="2"/>
    <s v="No iniciado"/>
    <n v="3"/>
    <x v="1"/>
    <m/>
    <s v="BAJA"/>
    <n v="1"/>
    <n v="2"/>
    <n v="3"/>
    <n v="550"/>
    <m/>
    <n v="3300"/>
    <m/>
    <m/>
    <d v="2024-08-12T00:00:00"/>
    <d v="2024-08-26T00:00:00"/>
    <d v="2024-08-27T00:00:00"/>
    <d v="2024-09-10T00:00:00"/>
    <d v="2024-09-11T00:00:00"/>
    <d v="2024-09-25T00:00:00"/>
    <d v="2024-07-19T00:00:00"/>
    <d v="2024-08-02T00:00:00"/>
    <m/>
    <m/>
    <n v="0.5"/>
    <n v="14"/>
    <s v="Célula Operaciones"/>
    <m/>
    <m/>
  </r>
  <r>
    <x v="0"/>
    <m/>
    <x v="8"/>
    <m/>
    <s v="Poder imprimir en la orden el canal SALÓN - LLEVAR de forma separada e identificada con trazabilidad al BI"/>
    <m/>
    <m/>
    <s v="Ver Anexo A2"/>
    <m/>
    <x v="4"/>
    <x v="43"/>
    <s v="OPER"/>
    <x v="0"/>
    <s v="Sandra Paillacho"/>
    <s v="OPERACIONES"/>
    <x v="2"/>
    <s v="No iniciado"/>
    <n v="4"/>
    <x v="1"/>
    <m/>
    <s v="BAJA"/>
    <n v="1"/>
    <n v="2"/>
    <n v="2"/>
    <n v="550"/>
    <m/>
    <n v="2200"/>
    <m/>
    <m/>
    <d v="2024-08-05T00:00:00"/>
    <d v="2024-09-09T00:00:00"/>
    <d v="2024-09-10T00:00:00"/>
    <d v="2024-09-24T00:00:00"/>
    <d v="2024-09-25T00:00:00"/>
    <d v="2024-10-09T00:00:00"/>
    <d v="2024-07-26T00:00:00"/>
    <d v="2024-08-09T00:00:00"/>
    <m/>
    <m/>
    <n v="0.5"/>
    <n v="14"/>
    <s v="Célula Operaciones"/>
    <m/>
    <m/>
  </r>
  <r>
    <x v="0"/>
    <m/>
    <x v="8"/>
    <m/>
    <s v="Semáforo venta inteligente en los Menús, Se desea colocar colores en los botones por relevancia de venta de PODUCTIVIDAD ctos por venta inteligente VERDE&gt; contribución AMARILLO = ROJO &lt; contribución (actualmente hay muchos colores)"/>
    <m/>
    <m/>
    <s v="Ver Anexo A2"/>
    <m/>
    <x v="4"/>
    <x v="43"/>
    <s v="OPER"/>
    <x v="0"/>
    <s v="Sandra Paillacho"/>
    <s v="OPERACIONES"/>
    <x v="2"/>
    <s v="No iniciado"/>
    <n v="4"/>
    <x v="2"/>
    <m/>
    <s v="ALTA"/>
    <n v="1"/>
    <n v="2"/>
    <n v="5"/>
    <n v="550"/>
    <m/>
    <n v="5500"/>
    <m/>
    <m/>
    <d v="2024-04-01T00:00:00"/>
    <d v="2024-05-06T00:00:00"/>
    <d v="2024-05-07T00:00:00"/>
    <d v="2024-05-21T00:00:00"/>
    <d v="2024-05-22T00:00:00"/>
    <d v="2024-06-05T00:00:00"/>
    <d v="2024-08-23T00:00:00"/>
    <d v="2024-09-06T00:00:00"/>
    <m/>
    <m/>
    <n v="0.5"/>
    <n v="14"/>
    <s v="Célula Operaciones"/>
    <m/>
    <m/>
  </r>
  <r>
    <x v="0"/>
    <m/>
    <x v="3"/>
    <m/>
    <s v="Mejora de UX para agilizar selección de menú en moódulo de toma de pedido"/>
    <s v="MXP 2.0"/>
    <m/>
    <s v="Ver Anexo A2"/>
    <m/>
    <x v="4"/>
    <x v="43"/>
    <s v="OPER"/>
    <x v="0"/>
    <s v="Sandra Paillacho"/>
    <s v="OPERACIONES"/>
    <x v="1"/>
    <s v="No iniciado"/>
    <n v="4"/>
    <x v="1"/>
    <m/>
    <s v="BAJA"/>
    <n v="1"/>
    <n v="3"/>
    <n v="2"/>
    <n v="550"/>
    <m/>
    <n v="3880"/>
    <m/>
    <m/>
    <d v="2024-09-11T00:00:00"/>
    <d v="2024-10-02T00:00:00"/>
    <d v="2024-10-03T00:00:00"/>
    <d v="2024-10-17T00:00:00"/>
    <d v="2024-10-18T00:00:00"/>
    <d v="2024-11-01T00:00:00"/>
    <d v="2024-06-12T00:00:00"/>
    <d v="2024-06-26T00:00:00"/>
    <m/>
    <m/>
    <n v="0.75"/>
    <n v="14"/>
    <s v="Célula Operaciones"/>
    <m/>
    <m/>
  </r>
  <r>
    <x v="0"/>
    <m/>
    <x v="3"/>
    <m/>
    <s v="Optimización en algoritmo de búsqueda de productos"/>
    <s v="MXP 2.0"/>
    <m/>
    <s v="Ver Anexo A2_x000a_No hay busqueda compleja de productos por nombres "/>
    <m/>
    <x v="4"/>
    <x v="43"/>
    <s v="OPER"/>
    <x v="0"/>
    <s v="Sandra Paillacho"/>
    <s v="OPERACIONES"/>
    <x v="1"/>
    <s v="No iniciado"/>
    <n v="4"/>
    <x v="1"/>
    <m/>
    <s v="BAJA"/>
    <n v="1"/>
    <n v="2"/>
    <n v="1"/>
    <n v="550"/>
    <m/>
    <n v="1680"/>
    <m/>
    <m/>
    <d v="2024-07-01T00:00:00"/>
    <d v="2024-08-05T00:00:00"/>
    <d v="2024-08-06T00:00:00"/>
    <d v="2024-08-20T00:00:00"/>
    <d v="2024-08-21T00:00:00"/>
    <d v="2024-09-04T00:00:00"/>
    <d v="2024-06-19T00:00:00"/>
    <d v="2024-07-03T00:00:00"/>
    <m/>
    <m/>
    <n v="0.5"/>
    <n v="14"/>
    <s v="Célula Operaciones"/>
    <m/>
    <m/>
  </r>
  <r>
    <x v="0"/>
    <m/>
    <x v="8"/>
    <m/>
    <s v="Toma de pedido en Tablet debe ser amigable, rehacer repensar todo el sistema para lograr el efecto"/>
    <m/>
    <m/>
    <s v="Ver Anexo A2"/>
    <m/>
    <x v="4"/>
    <x v="43"/>
    <s v="OPER"/>
    <x v="0"/>
    <s v="Sandra Paillacho"/>
    <s v="OPERACIONES"/>
    <x v="2"/>
    <s v="No iniciado"/>
    <s v="3T 24"/>
    <x v="2"/>
    <m/>
    <s v="BAJA"/>
    <n v="1"/>
    <n v="0"/>
    <n v="0"/>
    <n v="550"/>
    <m/>
    <n v="0"/>
    <m/>
    <m/>
    <d v="2024-05-02T00:00:00"/>
    <d v="2024-05-23T00:00:00"/>
    <d v="2024-05-24T00:00:00"/>
    <d v="2024-06-07T00:00:00"/>
    <d v="2024-06-08T00:00:00"/>
    <d v="2024-06-22T00:00:00"/>
    <d v="2024-09-15T00:00:00"/>
    <d v="2024-09-29T00:00:00"/>
    <m/>
    <m/>
    <n v="0"/>
    <n v="14"/>
    <s v="Célula Operaciones"/>
    <m/>
    <m/>
  </r>
  <r>
    <x v="0"/>
    <m/>
    <x v="3"/>
    <m/>
    <s v="Habilitar completamente el proceso de desasignado del cajero en el backoffice de la tienda"/>
    <m/>
    <m/>
    <s v="Ver Anexo A2"/>
    <m/>
    <x v="4"/>
    <x v="43"/>
    <s v="OPER"/>
    <x v="0"/>
    <s v="Sandra Paillacho"/>
    <s v="OPERACIONES"/>
    <x v="1"/>
    <s v="No iniciado"/>
    <m/>
    <x v="2"/>
    <m/>
    <s v="MEDIA"/>
    <n v="1"/>
    <n v="3"/>
    <n v="2"/>
    <n v="550"/>
    <m/>
    <n v="3880"/>
    <m/>
    <m/>
    <d v="2024-06-03T00:00:00"/>
    <d v="2024-06-24T00:00:00"/>
    <d v="2024-06-25T00:00:00"/>
    <d v="2024-07-09T00:00:00"/>
    <d v="2024-07-10T00:00:00"/>
    <d v="2024-07-24T00:00:00"/>
    <d v="2024-07-10T00:00:00"/>
    <d v="2024-07-24T00:00:00"/>
    <m/>
    <m/>
    <n v="0.75"/>
    <n v="14"/>
    <m/>
    <m/>
    <m/>
  </r>
  <r>
    <x v="0"/>
    <m/>
    <x v="3"/>
    <m/>
    <s v=" La digitación es muy lenta  para digital posible problema de de red"/>
    <m/>
    <m/>
    <s v="Ver Anexo A2_x000a_ La digitación es muy lenta  para digital posible problema de de red"/>
    <m/>
    <x v="4"/>
    <x v="43"/>
    <s v="OPER"/>
    <x v="0"/>
    <s v="Sandra Paillacho"/>
    <s v="OPERACIONES"/>
    <x v="2"/>
    <s v="No iniciado"/>
    <n v="4"/>
    <x v="1"/>
    <m/>
    <s v="BAJA"/>
    <n v="1"/>
    <n v="0"/>
    <n v="0"/>
    <n v="550"/>
    <m/>
    <n v="0"/>
    <m/>
    <m/>
    <d v="2024-08-12T00:00:00"/>
    <d v="2024-08-26T00:00:00"/>
    <e v="#REF!"/>
    <d v="2024-08-27T00:00:00"/>
    <d v="2024-09-10T00:00:00"/>
    <d v="2897-04-23T00:00:00"/>
    <d v="2024-09-11T00:00:00"/>
    <d v="2024-09-25T00:00:00"/>
    <m/>
    <m/>
    <n v="0"/>
    <n v="14"/>
    <s v="Célula Operaciones_x000a_Es un requerimiento de configuraciones_x000a_Proceso ya realizado en el 2023"/>
    <m/>
    <m/>
  </r>
  <r>
    <x v="0"/>
    <m/>
    <x v="3"/>
    <m/>
    <s v="Notificación de estado cancelado de los pedidos de agregadores hacia maxpoint"/>
    <s v="CANALES DIGITALES"/>
    <m/>
    <s v="Se necesita una alerta en maxpoint en la pantalla de despachos la cual notifique de manera visual y auditiva que un pedido de agregador ha sido cancelado, esto con la finalidad de que el cajero pueda realizar la nota de crédito una vez que se haya emitido la factura. "/>
    <m/>
    <x v="4"/>
    <x v="43"/>
    <s v="OPER"/>
    <x v="0"/>
    <s v="Sebastián Jara"/>
    <s v="OPERACIONES"/>
    <x v="1"/>
    <s v="No iniciado"/>
    <m/>
    <x v="1"/>
    <m/>
    <s v="BAJA"/>
    <n v="1"/>
    <n v="5"/>
    <n v="1"/>
    <n v="550"/>
    <m/>
    <n v="3330"/>
    <m/>
    <m/>
    <d v="2024-08-05T00:00:00"/>
    <d v="2024-09-09T00:00:00"/>
    <e v="#REF!"/>
    <d v="2024-09-10T00:00:00"/>
    <d v="2024-09-24T00:00:00"/>
    <d v="2897-08-13T00:00:00"/>
    <d v="2024-09-25T00:00:00"/>
    <d v="2024-10-09T00:00:00"/>
    <m/>
    <m/>
    <n v="1.25"/>
    <n v="14"/>
    <m/>
    <m/>
    <m/>
  </r>
  <r>
    <x v="0"/>
    <m/>
    <x v="3"/>
    <m/>
    <s v="Nuevo UX de pantalla de desmontado de cajero"/>
    <s v="MXP 2.0"/>
    <m/>
    <s v="Ver Anexo A2"/>
    <m/>
    <x v="4"/>
    <x v="43"/>
    <s v="OPER"/>
    <x v="0"/>
    <s v="Sandra Paillacho"/>
    <s v="OPERACIONES"/>
    <x v="1"/>
    <s v="No iniciado"/>
    <m/>
    <x v="2"/>
    <m/>
    <s v="MEDIA"/>
    <n v="1"/>
    <n v="5"/>
    <n v="2"/>
    <n v="550"/>
    <m/>
    <n v="6080"/>
    <m/>
    <m/>
    <d v="2024-04-01T00:00:00"/>
    <d v="2024-05-06T00:00:00"/>
    <e v="#REF!"/>
    <d v="2024-05-07T00:00:00"/>
    <d v="2024-05-21T00:00:00"/>
    <d v="2894-11-09T00:00:00"/>
    <d v="2024-05-22T00:00:00"/>
    <d v="2024-06-05T00:00:00"/>
    <m/>
    <m/>
    <n v="1.25"/>
    <n v="14"/>
    <m/>
    <m/>
    <m/>
  </r>
  <r>
    <x v="0"/>
    <m/>
    <x v="3"/>
    <m/>
    <s v="Activar en todas las marcas los descuentos que ya utiliza El Español"/>
    <m/>
    <m/>
    <s v="Ver Anexo A2"/>
    <m/>
    <x v="4"/>
    <x v="43"/>
    <s v="OPER"/>
    <x v="0"/>
    <s v="Sandra Paillacho"/>
    <s v="OPERACIONES"/>
    <x v="2"/>
    <s v="No iniciado"/>
    <n v="3"/>
    <x v="1"/>
    <s v="Se necesita mayor contexto del cliente"/>
    <s v="BAJA"/>
    <n v="1"/>
    <n v="0"/>
    <n v="0"/>
    <n v="550"/>
    <m/>
    <n v="0"/>
    <m/>
    <m/>
    <d v="2024-09-11T00:00:00"/>
    <d v="2024-10-02T00:00:00"/>
    <e v="#REF!"/>
    <d v="2024-10-03T00:00:00"/>
    <d v="2024-10-17T00:00:00"/>
    <d v="2898-02-13T00:00:00"/>
    <d v="2024-10-18T00:00:00"/>
    <d v="2024-11-01T00:00:00"/>
    <m/>
    <m/>
    <n v="0"/>
    <n v="14"/>
    <s v="Célula Operaciones_x000a_Es un requerimiento de configuraciones"/>
    <m/>
    <m/>
  </r>
  <r>
    <x v="0"/>
    <m/>
    <x v="3"/>
    <m/>
    <s v="Rediseño del algoritmo para clasificar el medio de venta de una transacción"/>
    <s v="MXP 2.0"/>
    <m/>
    <s v="- Actualmente se realiza ingreso mensual en la caja  (se registra en menú llamadas)_x000a_- Dolce Incontro: no dispones de botón de pago, se utiliza salón_x000a_ - Botones de Pago Inyección (Otros Agregadores Provincias): "/>
    <m/>
    <x v="4"/>
    <x v="43"/>
    <s v="OPER"/>
    <x v="0"/>
    <s v="Sebastián Jara"/>
    <s v="OPERACIONES"/>
    <x v="1"/>
    <s v="No iniciado"/>
    <m/>
    <x v="1"/>
    <s v="Se necesita mayor contexto del cliente"/>
    <s v="BAJA"/>
    <n v="1"/>
    <n v="5"/>
    <n v="1"/>
    <n v="550"/>
    <m/>
    <n v="3330"/>
    <m/>
    <m/>
    <d v="2024-07-01T00:00:00"/>
    <d v="2024-08-05T00:00:00"/>
    <e v="#REF!"/>
    <d v="2024-08-06T00:00:00"/>
    <d v="2024-08-20T00:00:00"/>
    <d v="2896-11-06T00:00:00"/>
    <d v="2024-08-21T00:00:00"/>
    <d v="2024-09-04T00:00:00"/>
    <m/>
    <m/>
    <n v="1.25"/>
    <n v="14"/>
    <m/>
    <m/>
    <m/>
  </r>
  <r>
    <x v="0"/>
    <m/>
    <x v="3"/>
    <m/>
    <s v="Identificar en la impresión de la comanda a los pedidos de salón y llevar"/>
    <s v="REVISAR DARWIN"/>
    <m/>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x v="4"/>
    <x v="43"/>
    <s v="OPER"/>
    <x v="0"/>
    <s v="Sebastián Jara"/>
    <s v="OPERACIONES"/>
    <x v="1"/>
    <s v="No iniciado"/>
    <m/>
    <x v="2"/>
    <s v="Se necesita mayor contexto del cliente"/>
    <s v="BAJA"/>
    <n v="1"/>
    <n v="3"/>
    <n v="1"/>
    <n v="550"/>
    <m/>
    <n v="2230"/>
    <m/>
    <m/>
    <d v="2024-05-02T00:00:00"/>
    <d v="2024-05-23T00:00:00"/>
    <e v="#REF!"/>
    <d v="2024-05-24T00:00:00"/>
    <d v="2024-06-07T00:00:00"/>
    <d v="2895-03-25T00:00:00"/>
    <d v="2024-06-08T00:00:00"/>
    <d v="2024-06-22T00:00:00"/>
    <m/>
    <m/>
    <n v="0.75"/>
    <n v="14"/>
    <m/>
    <m/>
    <m/>
  </r>
  <r>
    <x v="0"/>
    <m/>
    <x v="3"/>
    <m/>
    <s v="Mejora de UX para el proceso de recuperación de pedidos kiosko/pickup"/>
    <s v="MXP 2.0"/>
    <m/>
    <s v="Ver Anexo A2_x000a_PICKUP / Pantalla mesas-&gt; boton pickup: Mejorar la experiencia del usuario. Actualmente se debe realizar muchos clicks "/>
    <m/>
    <x v="4"/>
    <x v="43"/>
    <s v="OPER"/>
    <x v="0"/>
    <s v="Sandra Paillacho"/>
    <s v="OPERACIONES"/>
    <x v="1"/>
    <s v="No iniciado"/>
    <m/>
    <x v="2"/>
    <m/>
    <s v="MEDIA"/>
    <n v="1"/>
    <n v="3"/>
    <n v="2"/>
    <n v="550"/>
    <m/>
    <n v="3880"/>
    <m/>
    <m/>
    <d v="2024-06-03T00:00:00"/>
    <d v="2024-06-24T00:00:00"/>
    <e v="#REF!"/>
    <d v="2024-06-25T00:00:00"/>
    <d v="2024-07-09T00:00:00"/>
    <d v="2895-12-06T00:00:00"/>
    <d v="2024-07-10T00:00:00"/>
    <d v="2024-07-24T00:00:00"/>
    <m/>
    <m/>
    <n v="0.75"/>
    <n v="14"/>
    <m/>
    <m/>
    <m/>
  </r>
  <r>
    <x v="0"/>
    <m/>
    <x v="3"/>
    <m/>
    <s v="Homologar la versión del maxpoint en la cadena de dolce incontro"/>
    <m/>
    <m/>
    <s v="Implementar versión de maxpoint domicilio para dolce;"/>
    <m/>
    <x v="4"/>
    <x v="43"/>
    <s v="OPER"/>
    <x v="0"/>
    <s v="Sebastián Jara"/>
    <s v="OPERACIONES"/>
    <x v="1"/>
    <s v="No iniciado"/>
    <m/>
    <x v="2"/>
    <m/>
    <s v="ALTA"/>
    <n v="1"/>
    <n v="4"/>
    <n v="2"/>
    <n v="550"/>
    <m/>
    <n v="4980"/>
    <m/>
    <m/>
    <d v="2024-06-03T00:00:00"/>
    <d v="2024-07-01T00:00:00"/>
    <e v="#REF!"/>
    <d v="2024-07-02T00:00:00"/>
    <d v="2024-07-16T00:00:00"/>
    <d v="2896-01-31T00:00:00"/>
    <d v="2024-07-17T00:00:00"/>
    <d v="2024-07-31T00:00:00"/>
    <m/>
    <m/>
    <n v="1"/>
    <n v="14"/>
    <m/>
    <m/>
    <m/>
  </r>
  <r>
    <x v="0"/>
    <m/>
    <x v="3"/>
    <m/>
    <s v="Mantenimiento Maxpoint"/>
    <m/>
    <m/>
    <s v="Correcciones y mejoras en MaxPoint"/>
    <m/>
    <x v="0"/>
    <x v="3"/>
    <s v="DSI"/>
    <x v="4"/>
    <s v="Jhustin Vergara"/>
    <s v="VE"/>
    <x v="0"/>
    <s v="En curso"/>
    <m/>
    <x v="0"/>
    <m/>
    <s v="ALTA"/>
    <n v="1"/>
    <n v="8"/>
    <n v="3"/>
    <n v="550"/>
    <m/>
    <n v="13200"/>
    <m/>
    <m/>
    <d v="2024-01-01T00:00:00"/>
    <d v="2024-03-14T00:00:00"/>
    <e v="#REF!"/>
    <d v="2024-03-18T00:00:00"/>
    <d v="2024-03-22T00:00:00"/>
    <d v="2893-09-25T00:00:00"/>
    <d v="2024-03-25T00:00:00"/>
    <d v="2024-03-27T00:00:00"/>
    <m/>
    <m/>
    <n v="2"/>
    <n v="2"/>
    <m/>
    <m/>
    <m/>
  </r>
  <r>
    <x v="3"/>
    <m/>
    <x v="3"/>
    <m/>
    <s v="Integración de Credibanco"/>
    <m/>
    <m/>
    <s v="Nueva red de datafonos"/>
    <m/>
    <x v="0"/>
    <x v="0"/>
    <s v="REGIONAL"/>
    <x v="3"/>
    <s v="William Villegas"/>
    <s v="CO"/>
    <x v="0"/>
    <s v="En curso"/>
    <m/>
    <x v="0"/>
    <m/>
    <s v="ALTA"/>
    <n v="1"/>
    <n v="12"/>
    <n v="1"/>
    <n v="625"/>
    <m/>
    <n v="7500"/>
    <m/>
    <m/>
    <d v="2024-03-04T00:00:00"/>
    <d v="2024-03-22T00:00:00"/>
    <e v="#REF!"/>
    <d v="2024-03-25T00:00:00"/>
    <d v="2024-03-29T00:00:00"/>
    <d v="2893-11-20T00:00:00"/>
    <d v="2024-04-01T00:00:00"/>
    <d v="2024-04-05T00:00:00"/>
    <m/>
    <m/>
    <n v="3"/>
    <n v="4"/>
    <m/>
    <m/>
    <m/>
  </r>
  <r>
    <x v="0"/>
    <m/>
    <x v="4"/>
    <m/>
    <s v="Integración de Herramientas SatCon: Venezuela"/>
    <m/>
    <m/>
    <s v="Dependencia de SAP Venezuela"/>
    <m/>
    <x v="0"/>
    <x v="0"/>
    <s v="DSI"/>
    <x v="4"/>
    <s v="Jhustin Vergara"/>
    <s v="VE"/>
    <x v="0"/>
    <s v="No iniciado"/>
    <m/>
    <x v="2"/>
    <m/>
    <s v="MEDIA"/>
    <n v="0"/>
    <n v="10"/>
    <n v="1"/>
    <n v="550"/>
    <m/>
    <n v="0"/>
    <n v="364"/>
    <m/>
    <d v="2024-04-01T00:00:00"/>
    <d v="2024-06-01T00:00:00"/>
    <e v="#REF!"/>
    <d v="2024-06-01T00:00:00"/>
    <d v="2024-06-07T00:00:00"/>
    <d v="2895-05-20T00:00:00"/>
    <d v="2024-06-07T00:00:00"/>
    <d v="2024-06-14T00:00:00"/>
    <m/>
    <m/>
    <n v="2.5"/>
    <n v="7"/>
    <s v="Presupuesto incluido en poryecto SAP"/>
    <m/>
    <m/>
  </r>
  <r>
    <x v="0"/>
    <m/>
    <x v="3"/>
    <m/>
    <s v="Mejoras de integración del servicio de impresión MXP España"/>
    <m/>
    <m/>
    <s v="Configurable de canales de impresión, pre cuenta, factura, abono, Corte de X, desmontar cajero, fin de día y comandas."/>
    <m/>
    <x v="0"/>
    <x v="8"/>
    <s v="REGIONAL"/>
    <x v="5"/>
    <s v="Jeison Caguana"/>
    <s v="ES"/>
    <x v="0"/>
    <s v="No iniciado"/>
    <m/>
    <x v="2"/>
    <m/>
    <s v="BAJA"/>
    <n v="1"/>
    <n v="1"/>
    <n v="3"/>
    <n v="625"/>
    <m/>
    <n v="1875"/>
    <m/>
    <m/>
    <d v="2025-04-06T00:00:00"/>
    <d v="2025-04-18T00:00:00"/>
    <e v="#REF!"/>
    <d v="2024-04-21T00:00:00"/>
    <d v="2024-04-26T00:00:00"/>
    <d v="2894-06-25T00:00:00"/>
    <d v="2024-04-28T00:00:00"/>
    <d v="2024-04-30T00:00:00"/>
    <m/>
    <m/>
    <n v="0.25"/>
    <n v="2"/>
    <m/>
    <m/>
    <m/>
  </r>
  <r>
    <x v="0"/>
    <m/>
    <x v="3"/>
    <m/>
    <s v="Nuevos procesos en el flujo de Facturación."/>
    <m/>
    <m/>
    <s v="El negocio requiere añadir a su flujo de facturación el incremento del secuencial de facturas simplificadas centralizado por empresa."/>
    <m/>
    <x v="0"/>
    <x v="8"/>
    <s v="REGIONAL"/>
    <x v="5"/>
    <s v="Jeison Caguana"/>
    <s v="ES"/>
    <x v="0"/>
    <s v="No iniciado"/>
    <m/>
    <x v="0"/>
    <m/>
    <s v="ALTA"/>
    <n v="1"/>
    <n v="4"/>
    <n v="1"/>
    <n v="625"/>
    <m/>
    <n v="2500"/>
    <m/>
    <m/>
    <d v="2024-03-03T00:00:00"/>
    <d v="2024-03-15T00:00:00"/>
    <e v="#REF!"/>
    <d v="2024-03-18T00:00:00"/>
    <d v="2024-03-22T00:00:00"/>
    <d v="2893-09-25T00:00:00"/>
    <d v="2024-03-25T00:00:00"/>
    <d v="2024-03-29T00:00:00"/>
    <m/>
    <m/>
    <n v="1"/>
    <n v="4"/>
    <m/>
    <m/>
    <m/>
  </r>
  <r>
    <x v="1"/>
    <m/>
    <x v="3"/>
    <m/>
    <s v="Envío de Pedidos Pick Up V3"/>
    <m/>
    <m/>
    <s v="Envío de Pedidos Pick Up V3"/>
    <m/>
    <x v="0"/>
    <x v="1"/>
    <s v="REGIONAL"/>
    <x v="3"/>
    <s v="William Villegas"/>
    <s v="CO"/>
    <x v="0"/>
    <s v="En curso"/>
    <m/>
    <x v="0"/>
    <s v="pruebas con tarjetas de crédito"/>
    <s v="ALTA"/>
    <n v="1"/>
    <n v="12"/>
    <n v="1"/>
    <n v="625"/>
    <m/>
    <n v="7500"/>
    <m/>
    <m/>
    <d v="2023-12-17T00:00:00"/>
    <d v="2024-02-02T00:00:00"/>
    <e v="#REF!"/>
    <d v="2024-02-04T00:00:00"/>
    <d v="2024-02-09T00:00:00"/>
    <d v="2892-10-17T00:00:00"/>
    <d v="2024-02-11T00:00:00"/>
    <d v="2024-02-15T00:00:00"/>
    <m/>
    <m/>
    <n v="3"/>
    <n v="4"/>
    <m/>
    <m/>
    <m/>
  </r>
  <r>
    <x v="1"/>
    <m/>
    <x v="1"/>
    <m/>
    <s v="Usos y Consumos: Sobrantes y Faltantes"/>
    <m/>
    <m/>
    <s v="Segmentación de Sobrantes y Faltantes en el Reporte SIR: USOS Y CONSUMOS MERMAS."/>
    <m/>
    <x v="4"/>
    <x v="44"/>
    <s v="CAR"/>
    <x v="0"/>
    <s v="Vladimir Morillo"/>
    <s v="AUDITORIA"/>
    <x v="0"/>
    <s v="Pruebas"/>
    <n v="1"/>
    <x v="0"/>
    <m/>
    <s v="BAJA"/>
    <m/>
    <m/>
    <m/>
    <m/>
    <m/>
    <m/>
    <m/>
    <m/>
    <d v="2024-01-01T00:00:00"/>
    <d v="2024-01-21T00:00:00"/>
    <e v="#REF!"/>
    <d v="2024-01-21T00:00:00"/>
    <d v="2024-02-21T00:00:00"/>
    <d v="2892-07-23T00:00:00"/>
    <d v="2024-02-21T00:00:00"/>
    <d v="2024-02-28T00:00:00"/>
    <m/>
    <m/>
    <n v="0"/>
    <n v="7"/>
    <m/>
    <m/>
    <m/>
  </r>
  <r>
    <x v="1"/>
    <m/>
    <x v="3"/>
    <m/>
    <s v="Control Motorizados/Agregadores [2] - Depósito de Efectivo"/>
    <m/>
    <m/>
    <s v="flujo para controlar los pagos en efectivo entregados por el motorizado a personal del restaurante"/>
    <m/>
    <x v="0"/>
    <x v="1"/>
    <s v="REGIONAL"/>
    <x v="3"/>
    <s v="William Villegas"/>
    <s v="CO"/>
    <x v="0"/>
    <s v="En curso"/>
    <m/>
    <x v="0"/>
    <m/>
    <s v="MEDIA"/>
    <n v="1"/>
    <n v="4"/>
    <n v="1"/>
    <n v="625"/>
    <m/>
    <n v="2500"/>
    <m/>
    <m/>
    <d v="2023-12-17T00:00:00"/>
    <d v="2024-02-02T00:00:00"/>
    <e v="#REF!"/>
    <d v="2024-02-04T00:00:00"/>
    <d v="2024-02-09T00:00:00"/>
    <d v="2892-10-17T00:00:00"/>
    <d v="2024-02-11T00:00:00"/>
    <d v="2024-02-15T00:00:00"/>
    <m/>
    <m/>
    <n v="1"/>
    <n v="4"/>
    <m/>
    <m/>
    <m/>
  </r>
  <r>
    <x v="0"/>
    <m/>
    <x v="8"/>
    <m/>
    <s v="Agrupación de Plus para armar picadas (El Español)"/>
    <m/>
    <m/>
    <s v="Ver Anexo A4"/>
    <m/>
    <x v="4"/>
    <x v="45"/>
    <s v="OPER"/>
    <x v="0"/>
    <s v="Sandra Pailacho"/>
    <s v="OPERACIONES"/>
    <x v="1"/>
    <s v="No iniciado"/>
    <n v="22"/>
    <x v="4"/>
    <m/>
    <m/>
    <m/>
    <m/>
    <m/>
    <n v="550"/>
    <m/>
    <m/>
    <m/>
    <m/>
    <m/>
    <m/>
    <e v="#REF!"/>
    <m/>
    <m/>
    <d v="1899-12-30T00:00:00"/>
    <m/>
    <m/>
    <m/>
    <m/>
    <n v="0"/>
    <n v="0"/>
    <s v="Jaime va a evaluar el proceso (MAXPOINT)_x000a_No se tiene contexto del requerimiento, evaluar si se lo realiza en nuevo maxpoint"/>
    <m/>
    <m/>
  </r>
  <r>
    <x v="1"/>
    <m/>
    <x v="3"/>
    <m/>
    <s v="Recepciones de Pedidos V3 - Monitor  de transacciones (Tracking) de Pedidos"/>
    <m/>
    <m/>
    <s v="Herramienta para CDC que permite ver todos los pedidos de domicilio, incluye tranking y ubicación del motorizado. no supero el piloto por carga "/>
    <m/>
    <x v="0"/>
    <x v="1"/>
    <s v="REGIONAL"/>
    <x v="3"/>
    <s v="William Villegas"/>
    <s v="CO"/>
    <x v="0"/>
    <s v="En curso"/>
    <m/>
    <x v="0"/>
    <m/>
    <s v="ALTA"/>
    <n v="1"/>
    <n v="4"/>
    <n v="2"/>
    <n v="625"/>
    <m/>
    <n v="5000"/>
    <m/>
    <m/>
    <d v="2023-12-17T00:00:00"/>
    <d v="2024-02-02T00:00:00"/>
    <e v="#REF!"/>
    <d v="2024-02-04T00:00:00"/>
    <d v="2024-02-09T00:00:00"/>
    <d v="2892-10-17T00:00:00"/>
    <d v="2024-02-11T00:00:00"/>
    <d v="2024-02-15T00:00:00"/>
    <m/>
    <m/>
    <n v="1"/>
    <n v="4"/>
    <m/>
    <m/>
    <m/>
  </r>
  <r>
    <x v="0"/>
    <m/>
    <x v="3"/>
    <m/>
    <s v="Nueva Versión Turnero v.3"/>
    <m/>
    <m/>
    <s v="Desarrollo de nueva versión de turnero para solucionar problemas en el counter (ligado con la implementación de KDS)"/>
    <m/>
    <x v="1"/>
    <x v="1"/>
    <s v="REGIONAL"/>
    <x v="3"/>
    <s v="William Villegas"/>
    <s v="CO"/>
    <x v="0"/>
    <s v="No iniciado"/>
    <m/>
    <x v="2"/>
    <m/>
    <s v="MEDIA"/>
    <n v="1"/>
    <n v="4"/>
    <n v="1"/>
    <n v="625"/>
    <m/>
    <n v="2500"/>
    <m/>
    <m/>
    <d v="2024-04-01T00:00:00"/>
    <d v="2024-04-12T00:00:00"/>
    <e v="#REF!"/>
    <d v="2024-04-15T00:00:00"/>
    <d v="2024-04-19T00:00:00"/>
    <d v="2894-05-07T00:00:00"/>
    <d v="2024-04-22T00:00:00"/>
    <d v="2024-04-26T00:00:00"/>
    <m/>
    <m/>
    <n v="1"/>
    <n v="4"/>
    <m/>
    <m/>
    <m/>
  </r>
  <r>
    <x v="0"/>
    <m/>
    <x v="0"/>
    <s v="Pickup"/>
    <s v="Recepción de Descuentos -  Pick up"/>
    <s v="MXP LEGACY_x000a_MXP 2.0_x000a_TRADE"/>
    <m/>
    <s v="Recepción de descuentos desde inyección V3 hacia Pickup en las tiendas"/>
    <s v="ALTA"/>
    <x v="0"/>
    <x v="2"/>
    <s v="CAR"/>
    <x v="4"/>
    <s v="Mychael Castro"/>
    <s v="TRANSFORMACIÓN DIGITAL"/>
    <x v="0"/>
    <s v="No iniciado"/>
    <m/>
    <x v="0"/>
    <m/>
    <s v="ALTA"/>
    <n v="1"/>
    <n v="4"/>
    <n v="1"/>
    <n v="550"/>
    <m/>
    <n v="2840"/>
    <m/>
    <m/>
    <d v="2024-03-04T00:00:00"/>
    <d v="2024-03-18T00:00:00"/>
    <n v="14"/>
    <d v="2024-03-18T00:00:00"/>
    <d v="2024-03-25T00:00:00"/>
    <n v="362959"/>
    <d v="2024-03-25T00:00:00"/>
    <d v="2024-04-01T00:00:00"/>
    <d v="2024-04-01T00:00:00"/>
    <d v="2024-04-29T00:00:00"/>
    <n v="1"/>
    <n v="7"/>
    <m/>
    <m/>
    <s v="x"/>
  </r>
  <r>
    <x v="0"/>
    <m/>
    <x v="3"/>
    <m/>
    <s v="Integracion Pinpad SITEF (Reemplazo de Megasoft)"/>
    <m/>
    <m/>
    <m/>
    <m/>
    <x v="0"/>
    <x v="0"/>
    <s v="REGIONAL"/>
    <x v="4"/>
    <s v="Jhustin Vergara"/>
    <s v="VE"/>
    <x v="0"/>
    <s v="En curso"/>
    <m/>
    <x v="0"/>
    <m/>
    <s v="ALTA"/>
    <n v="1"/>
    <n v="8"/>
    <n v="1"/>
    <n v="550"/>
    <m/>
    <n v="4400"/>
    <m/>
    <m/>
    <d v="2024-02-11T00:00:00"/>
    <d v="2024-03-29T00:00:00"/>
    <e v="#REF!"/>
    <d v="2024-04-01T00:00:00"/>
    <d v="2024-04-05T00:00:00"/>
    <d v="2894-01-15T00:00:00"/>
    <d v="2024-04-08T00:00:00"/>
    <d v="2024-04-10T00:00:00"/>
    <m/>
    <m/>
    <n v="2"/>
    <n v="2"/>
    <m/>
    <m/>
    <m/>
  </r>
  <r>
    <x v="0"/>
    <m/>
    <x v="8"/>
    <m/>
    <s v="Desarrollo PMV "/>
    <m/>
    <m/>
    <s v="Desarrollo PMV "/>
    <m/>
    <x v="4"/>
    <x v="8"/>
    <s v="OPER"/>
    <x v="0"/>
    <s v="Juan Estevez"/>
    <s v="OPERACIONES"/>
    <x v="2"/>
    <s v="En curso"/>
    <m/>
    <x v="4"/>
    <m/>
    <m/>
    <m/>
    <m/>
    <m/>
    <m/>
    <m/>
    <n v="640"/>
    <m/>
    <m/>
    <m/>
    <m/>
    <e v="#REF!"/>
    <m/>
    <m/>
    <d v="1899-12-30T00:00:00"/>
    <m/>
    <m/>
    <m/>
    <m/>
    <n v="0"/>
    <n v="0"/>
    <m/>
    <m/>
    <m/>
  </r>
  <r>
    <x v="1"/>
    <m/>
    <x v="1"/>
    <m/>
    <s v="VAR (Real + Proyeccion)"/>
    <m/>
    <m/>
    <s v="Ver Anexo A4"/>
    <m/>
    <x v="4"/>
    <x v="46"/>
    <s v="OPER"/>
    <x v="0"/>
    <s v="Sandra Pailacho"/>
    <s v="OPERACIONES"/>
    <x v="0"/>
    <s v="No iniciado"/>
    <n v="3"/>
    <x v="2"/>
    <m/>
    <s v="MEDIA"/>
    <m/>
    <n v="2"/>
    <n v="4"/>
    <n v="400"/>
    <m/>
    <n v="3840"/>
    <m/>
    <m/>
    <m/>
    <m/>
    <e v="#REF!"/>
    <m/>
    <m/>
    <d v="1899-12-30T00:00:00"/>
    <m/>
    <m/>
    <m/>
    <m/>
    <n v="0.5"/>
    <n v="0"/>
    <s v="Célula Operaciones"/>
    <m/>
    <m/>
  </r>
  <r>
    <x v="1"/>
    <m/>
    <x v="1"/>
    <m/>
    <s v="52 semanas diario y semanal ( plantilla en SIR para ingreso manual real y proyeccion)"/>
    <m/>
    <m/>
    <s v="Ver Anexo A4"/>
    <m/>
    <x v="4"/>
    <x v="46"/>
    <s v="OPER"/>
    <x v="0"/>
    <s v="Sandra Pailacho"/>
    <s v="OPERACIONES"/>
    <x v="0"/>
    <s v="iniciado"/>
    <n v="1"/>
    <x v="0"/>
    <m/>
    <s v="MEDIA"/>
    <m/>
    <n v="4"/>
    <n v="1"/>
    <n v="400"/>
    <m/>
    <n v="2240"/>
    <m/>
    <m/>
    <d v="2024-02-19T00:00:00"/>
    <d v="2024-03-15T00:00:00"/>
    <e v="#REF!"/>
    <d v="2024-03-19T00:00:00"/>
    <d v="2024-03-26T00:00:00"/>
    <d v="2893-10-06T00:00:00"/>
    <m/>
    <m/>
    <m/>
    <m/>
    <n v="1"/>
    <n v="0"/>
    <s v="Célula Operaciones"/>
    <m/>
    <m/>
  </r>
  <r>
    <x v="1"/>
    <m/>
    <x v="1"/>
    <m/>
    <s v="Automatización de Compras Automaticas PLT-TIENDAS"/>
    <m/>
    <m/>
    <s v="Ver Anexo A4"/>
    <m/>
    <x v="4"/>
    <x v="46"/>
    <s v="OPER"/>
    <x v="0"/>
    <s v="Sandra Pailacho"/>
    <s v="OPERACIONES"/>
    <x v="0"/>
    <s v="Pruebas"/>
    <n v="2"/>
    <x v="0"/>
    <m/>
    <s v="ALTA"/>
    <m/>
    <n v="5"/>
    <n v="2"/>
    <n v="450"/>
    <m/>
    <n v="5140"/>
    <m/>
    <m/>
    <d v="2023-11-01T00:00:00"/>
    <d v="2023-12-15T00:00:00"/>
    <e v="#REF!"/>
    <d v="2024-03-19T00:00:00"/>
    <d v="2024-03-26T00:00:00"/>
    <d v="2893-10-06T00:00:00"/>
    <m/>
    <m/>
    <m/>
    <m/>
    <n v="1.25"/>
    <n v="0"/>
    <s v="Célula Operaciones"/>
    <m/>
    <m/>
  </r>
  <r>
    <x v="1"/>
    <m/>
    <x v="1"/>
    <m/>
    <s v="Flujo Pedido productos No Despachados ( Restaurantes)"/>
    <m/>
    <m/>
    <s v="Ver Anexo A4"/>
    <m/>
    <x v="4"/>
    <x v="46"/>
    <s v="OPER"/>
    <x v="0"/>
    <s v="Sandra Pailacho"/>
    <s v="OPERACIONES"/>
    <x v="0"/>
    <s v="Pruebas"/>
    <n v="4"/>
    <x v="2"/>
    <m/>
    <s v="ALTA"/>
    <m/>
    <n v="2"/>
    <n v="3"/>
    <n v="400"/>
    <m/>
    <n v="3040"/>
    <m/>
    <m/>
    <m/>
    <m/>
    <e v="#REF!"/>
    <m/>
    <m/>
    <d v="1899-12-30T00:00:00"/>
    <m/>
    <m/>
    <m/>
    <m/>
    <n v="0.5"/>
    <n v="0"/>
    <s v="Célula Operaciones"/>
    <m/>
    <m/>
  </r>
  <r>
    <x v="1"/>
    <m/>
    <x v="1"/>
    <m/>
    <s v="Hoja de Proyeccion de Pre-Producción Articulos Materia primas"/>
    <m/>
    <m/>
    <s v="Ver Anexo A4"/>
    <m/>
    <x v="4"/>
    <x v="46"/>
    <s v="OPER"/>
    <x v="0"/>
    <s v="Sandra Pailacho"/>
    <s v="OPERACIONES"/>
    <x v="0"/>
    <s v="No iniciado"/>
    <n v="5"/>
    <x v="2"/>
    <m/>
    <s v="MEDIA"/>
    <m/>
    <n v="2"/>
    <n v="4"/>
    <n v="400"/>
    <m/>
    <n v="3840"/>
    <m/>
    <m/>
    <m/>
    <m/>
    <e v="#REF!"/>
    <m/>
    <m/>
    <d v="1899-12-30T00:00:00"/>
    <m/>
    <m/>
    <m/>
    <m/>
    <n v="0.5"/>
    <n v="0"/>
    <s v="Célula Operaciones"/>
    <m/>
    <m/>
  </r>
  <r>
    <x v="1"/>
    <m/>
    <x v="1"/>
    <m/>
    <s v="Visualizar lo que planta tiene en stock y fecha de caducidad para tener datos reales"/>
    <m/>
    <m/>
    <s v="Ver Anexo A4"/>
    <m/>
    <x v="4"/>
    <x v="46"/>
    <s v="OPER"/>
    <x v="0"/>
    <s v="Sandra Pailacho"/>
    <s v="OPERACIONES"/>
    <x v="0"/>
    <s v="Finalizado"/>
    <n v="6"/>
    <x v="0"/>
    <m/>
    <s v="BAJA"/>
    <m/>
    <n v="2"/>
    <n v="2"/>
    <n v="400"/>
    <m/>
    <n v="2240"/>
    <m/>
    <m/>
    <d v="2023-12-03T00:00:00"/>
    <d v="2023-12-15T00:00:00"/>
    <e v="#REF!"/>
    <s v="-"/>
    <s v="-"/>
    <e v="#VALUE!"/>
    <m/>
    <m/>
    <m/>
    <m/>
    <n v="0.5"/>
    <n v="0"/>
    <s v="Célula Operaciones"/>
    <m/>
    <m/>
  </r>
  <r>
    <x v="1"/>
    <m/>
    <x v="1"/>
    <m/>
    <s v="Usos y Consumos Resumido por Grupo de Articulos"/>
    <m/>
    <m/>
    <s v="Ver Anexo A4"/>
    <m/>
    <x v="4"/>
    <x v="46"/>
    <s v="OPER"/>
    <x v="0"/>
    <s v="Sandra Pailacho"/>
    <s v="OPERACIONES"/>
    <x v="0"/>
    <s v="Pruebas"/>
    <n v="7"/>
    <x v="0"/>
    <m/>
    <s v="BAJA"/>
    <m/>
    <n v="2"/>
    <n v="2"/>
    <n v="400"/>
    <m/>
    <n v="2240"/>
    <m/>
    <m/>
    <d v="2024-01-29T00:00:00"/>
    <d v="2024-02-09T00:00:00"/>
    <e v="#REF!"/>
    <d v="2024-03-05T00:00:00"/>
    <d v="2024-03-12T00:00:00"/>
    <d v="2893-06-16T00:00:00"/>
    <m/>
    <m/>
    <m/>
    <m/>
    <n v="0.5"/>
    <n v="0"/>
    <s v="Célula Operaciones"/>
    <m/>
    <m/>
  </r>
  <r>
    <x v="1"/>
    <m/>
    <x v="1"/>
    <m/>
    <s v="Pedidos Sugeridos con interface SAP"/>
    <m/>
    <m/>
    <s v="Ver Anexo A4"/>
    <m/>
    <x v="4"/>
    <x v="46"/>
    <s v="OPER"/>
    <x v="0"/>
    <s v="Sandra Pailacho"/>
    <s v="OPERACIONES"/>
    <x v="0"/>
    <s v="No iniciado"/>
    <n v="8"/>
    <x v="2"/>
    <m/>
    <s v="ALTA"/>
    <m/>
    <n v="3"/>
    <n v="5"/>
    <n v="400"/>
    <m/>
    <n v="6640"/>
    <m/>
    <m/>
    <m/>
    <m/>
    <e v="#REF!"/>
    <m/>
    <m/>
    <d v="1899-12-30T00:00:00"/>
    <m/>
    <m/>
    <m/>
    <m/>
    <n v="0.75"/>
    <n v="0"/>
    <s v="Célula Operaciones"/>
    <m/>
    <m/>
  </r>
  <r>
    <x v="0"/>
    <m/>
    <x v="1"/>
    <m/>
    <s v="Ingreso de Proyeccion Ventas y Gastos (pyg) - Real y avance"/>
    <m/>
    <m/>
    <s v="Ver Anexo A4"/>
    <m/>
    <x v="4"/>
    <x v="47"/>
    <s v="OPER"/>
    <x v="0"/>
    <s v="Sandra Pailacho"/>
    <s v="OPERACIONES"/>
    <x v="1"/>
    <s v="No iniciado"/>
    <n v="9"/>
    <x v="2"/>
    <m/>
    <s v="MEDIA"/>
    <m/>
    <n v="4"/>
    <n v="2"/>
    <n v="400"/>
    <m/>
    <n v="3840"/>
    <m/>
    <m/>
    <d v="2024-05-06T00:00:00"/>
    <d v="2024-05-24T00:00:00"/>
    <e v="#REF!"/>
    <d v="2024-05-28T00:00:00"/>
    <d v="2024-06-04T00:00:00"/>
    <d v="2895-04-19T00:00:00"/>
    <m/>
    <m/>
    <m/>
    <m/>
    <n v="1"/>
    <n v="0"/>
    <s v="Célula Operaciones"/>
    <m/>
    <m/>
  </r>
  <r>
    <x v="1"/>
    <m/>
    <x v="1"/>
    <m/>
    <s v="Cambio de costo maximo y minimo costo configurado en artículo y Usos y Consumos"/>
    <m/>
    <m/>
    <s v="Ver Anexo A4"/>
    <m/>
    <x v="4"/>
    <x v="44"/>
    <s v="OPER"/>
    <x v="0"/>
    <s v="Sandra Pailacho"/>
    <s v="OPERACIONES"/>
    <x v="0"/>
    <s v="Pruebas"/>
    <n v="12"/>
    <x v="0"/>
    <m/>
    <s v="BAJA"/>
    <m/>
    <n v="2"/>
    <n v="2"/>
    <n v="400"/>
    <m/>
    <n v="2240"/>
    <m/>
    <m/>
    <d v="2024-01-15T00:00:00"/>
    <d v="2024-01-26T00:00:00"/>
    <e v="#REF!"/>
    <d v="2024-03-05T00:00:00"/>
    <d v="2024-03-12T00:00:00"/>
    <d v="2893-06-16T00:00:00"/>
    <m/>
    <m/>
    <m/>
    <m/>
    <n v="0.5"/>
    <n v="0"/>
    <s v="Presupuesto 2023"/>
    <m/>
    <m/>
  </r>
  <r>
    <x v="0"/>
    <m/>
    <x v="1"/>
    <m/>
    <s v="Digitalización de Toma Fisica de Inventario"/>
    <m/>
    <m/>
    <s v="Ver Anexo A4"/>
    <m/>
    <x v="4"/>
    <x v="47"/>
    <s v="OPER"/>
    <x v="0"/>
    <s v="Sandra Pailacho"/>
    <s v="OPERACIONES"/>
    <x v="1"/>
    <s v="No iniciado"/>
    <n v="13"/>
    <x v="1"/>
    <m/>
    <s v="BAJA"/>
    <m/>
    <n v="3"/>
    <n v="2"/>
    <n v="400"/>
    <m/>
    <n v="3040"/>
    <m/>
    <m/>
    <d v="2024-06-17T00:00:00"/>
    <d v="2024-07-05T00:00:00"/>
    <e v="#REF!"/>
    <d v="2024-09-09T00:00:00"/>
    <d v="2024-07-16T00:00:00"/>
    <d v="2897-05-28T00:00:00"/>
    <m/>
    <m/>
    <m/>
    <m/>
    <n v="0.75"/>
    <n v="0"/>
    <s v="Célula Operaciones"/>
    <m/>
    <m/>
  </r>
  <r>
    <x v="0"/>
    <m/>
    <x v="1"/>
    <m/>
    <s v="Alertas de caducidad para productos inventario restaurante"/>
    <m/>
    <m/>
    <s v="Revisar con los pedidos ingresados con planta y operaciones (Socializar desarrollo SIR)"/>
    <m/>
    <x v="4"/>
    <x v="47"/>
    <s v="OPER"/>
    <x v="0"/>
    <s v="José Luis Tello"/>
    <s v="AEROPUERTO GYE"/>
    <x v="4"/>
    <s v="iniciado"/>
    <n v="1"/>
    <x v="1"/>
    <m/>
    <s v="BAJA"/>
    <m/>
    <m/>
    <m/>
    <m/>
    <m/>
    <m/>
    <m/>
    <m/>
    <m/>
    <m/>
    <e v="#REF!"/>
    <m/>
    <m/>
    <d v="1899-12-30T00:00:00"/>
    <m/>
    <m/>
    <m/>
    <m/>
    <n v="0"/>
    <n v="0"/>
    <m/>
    <m/>
    <m/>
  </r>
  <r>
    <x v="0"/>
    <m/>
    <x v="1"/>
    <m/>
    <s v="Control de modificación de inventarios en SIR"/>
    <m/>
    <m/>
    <s v="Una vez cerrados el inventario Diario, no permita ingresar ningún movimiento de días anteriores . "/>
    <m/>
    <x v="4"/>
    <x v="48"/>
    <s v="CAR"/>
    <x v="0"/>
    <s v="Vladimir Morillo"/>
    <s v="AUDITORIA"/>
    <x v="1"/>
    <s v="No iniciado"/>
    <n v="1"/>
    <x v="2"/>
    <m/>
    <s v="ALTA"/>
    <m/>
    <n v="4"/>
    <n v="2"/>
    <n v="400"/>
    <m/>
    <n v="3840"/>
    <m/>
    <m/>
    <d v="2024-04-01T00:00:00"/>
    <d v="2024-04-19T00:00:00"/>
    <e v="#REF!"/>
    <d v="2024-04-23T00:00:00"/>
    <d v="2024-04-29T00:00:00"/>
    <d v="2894-07-12T00:00:00"/>
    <m/>
    <d v="2024-04-30T00:00:00"/>
    <m/>
    <m/>
    <n v="1"/>
    <n v="45412"/>
    <m/>
    <m/>
    <m/>
  </r>
  <r>
    <x v="0"/>
    <m/>
    <x v="1"/>
    <m/>
    <s v="Modificación Reporte: Crédito sin Cupon SIR"/>
    <m/>
    <m/>
    <s v="En el SIR - MODULO CREDITO SIN CUPON, incluir una opción de selección varios clientes"/>
    <m/>
    <x v="4"/>
    <x v="48"/>
    <s v="CAR"/>
    <x v="0"/>
    <s v="Vladimir Morillo"/>
    <s v="AUDITORIA"/>
    <x v="1"/>
    <s v="No iniciado"/>
    <n v="2"/>
    <x v="2"/>
    <m/>
    <s v="MEDIA"/>
    <m/>
    <n v="2"/>
    <n v="1"/>
    <n v="400"/>
    <m/>
    <n v="1440"/>
    <m/>
    <m/>
    <d v="2024-04-29T00:00:00"/>
    <d v="2024-05-10T00:00:00"/>
    <e v="#REF!"/>
    <d v="2024-05-14T00:00:00"/>
    <d v="2024-05-21T00:00:00"/>
    <d v="2894-12-28T00:00:00"/>
    <m/>
    <d v="2024-05-15T00:00:00"/>
    <m/>
    <m/>
    <n v="0.5"/>
    <n v="45427"/>
    <m/>
    <m/>
    <m/>
  </r>
  <r>
    <x v="0"/>
    <m/>
    <x v="1"/>
    <m/>
    <s v="Módulo de Auditoría en SIR"/>
    <m/>
    <m/>
    <s v="Desarrollar un modulo de auditoria en el SIR donde se incorpore. Evaluación Auditoria "/>
    <m/>
    <x v="4"/>
    <x v="48"/>
    <s v="CAR"/>
    <x v="0"/>
    <s v="Vladimir Morillo"/>
    <s v="AUDITORIA"/>
    <x v="1"/>
    <s v="No iniciado"/>
    <n v="3"/>
    <x v="1"/>
    <m/>
    <s v="MEDIA"/>
    <m/>
    <n v="4"/>
    <n v="2"/>
    <n v="400"/>
    <m/>
    <n v="3840"/>
    <m/>
    <m/>
    <d v="2024-06-03T00:00:00"/>
    <d v="2024-06-28T00:00:00"/>
    <e v="#REF!"/>
    <d v="2024-07-02T00:00:00"/>
    <d v="2024-07-09T00:00:00"/>
    <d v="2896-01-24T00:00:00"/>
    <m/>
    <m/>
    <m/>
    <m/>
    <n v="1"/>
    <n v="0"/>
    <s v="Sacrificable"/>
    <m/>
    <m/>
  </r>
  <r>
    <x v="0"/>
    <m/>
    <x v="1"/>
    <m/>
    <s v="Cuadre de Fondo de Caja SIR"/>
    <m/>
    <m/>
    <s v="Cuadre del fondo de Caja chica, incorporado en el SIR."/>
    <m/>
    <x v="4"/>
    <x v="48"/>
    <s v="CAR"/>
    <x v="0"/>
    <s v="Vladimir Morillo"/>
    <s v="AUDITORIA"/>
    <x v="1"/>
    <s v="No iniciado"/>
    <n v="5"/>
    <x v="3"/>
    <m/>
    <s v="MEDIA"/>
    <m/>
    <n v="4"/>
    <n v="2"/>
    <n v="450"/>
    <m/>
    <n v="4240"/>
    <m/>
    <m/>
    <d v="2024-09-02T00:00:00"/>
    <d v="2024-09-27T00:00:00"/>
    <e v="#REF!"/>
    <d v="2024-10-01T00:00:00"/>
    <d v="2024-10-01T00:00:00"/>
    <d v="2898-01-14T00:00:00"/>
    <m/>
    <m/>
    <m/>
    <m/>
    <n v="1"/>
    <n v="0"/>
    <s v="Sacrificable"/>
    <m/>
    <m/>
  </r>
  <r>
    <x v="0"/>
    <m/>
    <x v="1"/>
    <m/>
    <s v="Rediseño Estructura de Recetas ( Optimización Plus por Canales)"/>
    <m/>
    <m/>
    <s v="Ver Anexo A4"/>
    <m/>
    <x v="4"/>
    <x v="47"/>
    <s v="OPER"/>
    <x v="0"/>
    <s v="Sandra Pailacho"/>
    <s v="OPERACIONES"/>
    <x v="1"/>
    <s v="No iniciado"/>
    <n v="11"/>
    <x v="1"/>
    <m/>
    <s v="ALTA"/>
    <m/>
    <n v="8"/>
    <n v="2"/>
    <n v="450"/>
    <m/>
    <n v="7840"/>
    <m/>
    <m/>
    <d v="2024-08-12T00:00:00"/>
    <d v="2024-10-04T00:00:00"/>
    <e v="#REF!"/>
    <d v="2014-10-08T00:00:00"/>
    <d v="2024-10-22T00:00:00"/>
    <d v="2828-03-21T00:00:00"/>
    <m/>
    <m/>
    <m/>
    <m/>
    <n v="2"/>
    <n v="0"/>
    <s v="Célula Operaciones"/>
    <m/>
    <m/>
  </r>
  <r>
    <x v="0"/>
    <m/>
    <x v="1"/>
    <m/>
    <s v="Inclusión de PLUS en LUNCH, MERMAS y  DEGUSTACIÓN"/>
    <m/>
    <m/>
    <s v="Ver Anexo A4"/>
    <m/>
    <x v="4"/>
    <x v="47"/>
    <s v="OPER"/>
    <x v="0"/>
    <s v="Sandra Pailacho"/>
    <s v="OPERACIONES"/>
    <x v="1"/>
    <s v="No iniciado"/>
    <n v="14"/>
    <x v="1"/>
    <m/>
    <s v="ALTA"/>
    <m/>
    <n v="6"/>
    <n v="2"/>
    <n v="450"/>
    <m/>
    <n v="6040"/>
    <m/>
    <m/>
    <d v="2024-07-08T00:00:00"/>
    <d v="2024-08-16T00:00:00"/>
    <e v="#REF!"/>
    <d v="2024-08-22T00:00:00"/>
    <d v="2024-09-02T00:00:00"/>
    <d v="2897-03-11T00:00:00"/>
    <m/>
    <m/>
    <m/>
    <m/>
    <n v="1.5"/>
    <n v="0"/>
    <s v="Célula Operaciones"/>
    <m/>
    <m/>
  </r>
  <r>
    <x v="0"/>
    <m/>
    <x v="1"/>
    <m/>
    <s v="Cupones de Dinero y Descuentos"/>
    <m/>
    <m/>
    <s v="Ver Anexo A4"/>
    <m/>
    <x v="4"/>
    <x v="47"/>
    <s v="OPER"/>
    <x v="0"/>
    <s v="Sandra Pailacho"/>
    <s v="OPERACIONES"/>
    <x v="1"/>
    <s v="Pruebas"/>
    <n v="15"/>
    <x v="2"/>
    <m/>
    <s v="MEDIA"/>
    <m/>
    <n v="2"/>
    <n v="2"/>
    <n v="400"/>
    <m/>
    <n v="2240"/>
    <m/>
    <m/>
    <d v="2024-04-08T00:00:00"/>
    <d v="2024-04-19T00:00:00"/>
    <e v="#REF!"/>
    <d v="2024-04-23T00:00:00"/>
    <d v="2024-04-30T00:00:00"/>
    <d v="2894-07-13T00:00:00"/>
    <m/>
    <m/>
    <m/>
    <m/>
    <n v="0.5"/>
    <n v="0"/>
    <s v="Célula Operaciones"/>
    <m/>
    <m/>
  </r>
  <r>
    <x v="0"/>
    <m/>
    <x v="1"/>
    <m/>
    <s v="Código de Barras ( Español)"/>
    <m/>
    <m/>
    <s v="Ver Anexo A4"/>
    <m/>
    <x v="4"/>
    <x v="47"/>
    <s v="OPER"/>
    <x v="0"/>
    <s v="Sandra Pailacho"/>
    <s v="OPERACIONES"/>
    <x v="1"/>
    <s v="No iniciado"/>
    <n v="17"/>
    <x v="1"/>
    <m/>
    <s v="BAJA"/>
    <m/>
    <n v="3"/>
    <n v="2"/>
    <n v="400"/>
    <m/>
    <n v="3040"/>
    <m/>
    <m/>
    <d v="2024-07-01T00:00:00"/>
    <d v="2024-07-20T00:00:00"/>
    <e v="#REF!"/>
    <d v="2024-04-23T00:00:00"/>
    <d v="2024-07-30T00:00:00"/>
    <d v="2894-10-12T00:00:00"/>
    <m/>
    <m/>
    <m/>
    <m/>
    <n v="0.75"/>
    <n v="0"/>
    <s v="Célula Operaciones"/>
    <m/>
    <m/>
  </r>
  <r>
    <x v="0"/>
    <m/>
    <x v="1"/>
    <m/>
    <s v="Agrupar tarjetas a una sola forma de pago "/>
    <m/>
    <m/>
    <s v="Agrupar en una sola forma de pago por tarjeta_x000a_- Interfaz de venta_x000a_- Interfaz de sir y guardar información"/>
    <m/>
    <x v="4"/>
    <x v="48"/>
    <s v="CAR"/>
    <x v="0"/>
    <s v="Vladimir Morillo"/>
    <s v="AUDITORIA"/>
    <x v="1"/>
    <s v="No iniciado"/>
    <s v="Q1"/>
    <x v="2"/>
    <s v="Ejecución del proyecto de conciliador de tarjetas que está a cargo de Canales Digitales"/>
    <s v="ALTA"/>
    <m/>
    <n v="3"/>
    <n v="2"/>
    <n v="550"/>
    <m/>
    <n v="3300"/>
    <m/>
    <m/>
    <d v="2024-04-22T00:00:00"/>
    <d v="2024-05-10T00:00:00"/>
    <e v="#REF!"/>
    <d v="2024-05-14T00:00:00"/>
    <d v="2024-05-21T00:00:00"/>
    <d v="2894-12-28T00:00:00"/>
    <m/>
    <m/>
    <m/>
    <m/>
    <n v="0.75"/>
    <n v="0"/>
    <m/>
    <m/>
    <m/>
  </r>
  <r>
    <x v="1"/>
    <m/>
    <x v="1"/>
    <m/>
    <s v="Campaña sonrisa - nueva forma de pago"/>
    <m/>
    <m/>
    <s v="Ver Anexo A4"/>
    <m/>
    <x v="4"/>
    <x v="44"/>
    <s v="CAR"/>
    <x v="0"/>
    <s v="Vladimir Morillo"/>
    <s v="AUDITORIA"/>
    <x v="0"/>
    <s v="No iniciado"/>
    <m/>
    <x v="2"/>
    <m/>
    <s v="BAJA"/>
    <m/>
    <n v="2"/>
    <n v="2"/>
    <n v="400"/>
    <m/>
    <m/>
    <m/>
    <m/>
    <d v="2024-03-25T00:00:00"/>
    <d v="2024-04-05T00:00:00"/>
    <e v="#REF!"/>
    <d v="2024-04-07T00:00:00"/>
    <d v="2024-04-16T00:00:00"/>
    <d v="2894-03-09T00:00:00"/>
    <m/>
    <m/>
    <m/>
    <m/>
    <n v="0.5"/>
    <n v="0"/>
    <s v="Célula Operaciones"/>
    <m/>
    <m/>
  </r>
  <r>
    <x v="0"/>
    <m/>
    <x v="1"/>
    <m/>
    <s v="Descuadres de Cupones CCC. Entre MP Y SIR"/>
    <m/>
    <m/>
    <s v="Identificar el motivo por el cual existe diferencias al ingreso de cupones en  Max Point. "/>
    <m/>
    <x v="4"/>
    <x v="3"/>
    <s v="DSI"/>
    <x v="0"/>
    <s v="Vladimir Morillo"/>
    <s v="DSI"/>
    <x v="0"/>
    <s v="No iniciado"/>
    <n v="1"/>
    <x v="0"/>
    <m/>
    <s v="BAJA"/>
    <m/>
    <n v="1"/>
    <n v="1"/>
    <n v="400"/>
    <m/>
    <n v="1410"/>
    <m/>
    <m/>
    <d v="2024-02-26T00:00:00"/>
    <d v="2024-03-08T00:00:00"/>
    <e v="#REF!"/>
    <d v="2024-03-12T00:00:00"/>
    <d v="2024-03-19T00:00:00"/>
    <d v="2893-08-11T00:00:00"/>
    <m/>
    <m/>
    <m/>
    <m/>
    <n v="0.25"/>
    <n v="0"/>
    <s v="Ingresar REQ a MNT Maxpoint 24"/>
    <m/>
    <m/>
  </r>
  <r>
    <x v="1"/>
    <m/>
    <x v="1"/>
    <m/>
    <s v="Mayores contables - mensaje de ejecución"/>
    <m/>
    <m/>
    <s v="Ver Anexo A4"/>
    <m/>
    <x v="4"/>
    <x v="44"/>
    <s v="OPER"/>
    <x v="0"/>
    <s v="Byron Realpe"/>
    <s v="OPERACIONES"/>
    <x v="0"/>
    <s v="Pruebas"/>
    <m/>
    <x v="0"/>
    <m/>
    <s v="BAJA"/>
    <m/>
    <m/>
    <m/>
    <m/>
    <m/>
    <m/>
    <m/>
    <m/>
    <m/>
    <m/>
    <e v="#REF!"/>
    <m/>
    <m/>
    <d v="1899-12-30T00:00:00"/>
    <m/>
    <m/>
    <m/>
    <m/>
    <n v="0"/>
    <n v="0"/>
    <s v="Proyecto 2023"/>
    <m/>
    <m/>
  </r>
  <r>
    <x v="0"/>
    <m/>
    <x v="1"/>
    <m/>
    <s v="Definir Modelo de Costos en SIR ( sug. Promedio ponderado similar a SAP)"/>
    <m/>
    <m/>
    <s v="Ver Anexo A4"/>
    <m/>
    <x v="4"/>
    <x v="47"/>
    <s v="OPER"/>
    <x v="0"/>
    <s v="Sandra Pailacho"/>
    <s v="OPERACIONES"/>
    <x v="1"/>
    <s v="No iniciado"/>
    <n v="18"/>
    <x v="3"/>
    <m/>
    <s v="ALTA"/>
    <m/>
    <n v="6"/>
    <n v="2"/>
    <n v="450"/>
    <m/>
    <n v="6040"/>
    <m/>
    <m/>
    <d v="2024-11-04T00:00:00"/>
    <d v="2024-12-13T00:00:00"/>
    <e v="#REF!"/>
    <d v="2025-01-07T00:00:00"/>
    <d v="2025-01-15T00:00:00"/>
    <d v="2900-03-17T00:00:00"/>
    <m/>
    <m/>
    <m/>
    <m/>
    <n v="1.5"/>
    <n v="0"/>
    <s v="Célula Operaciones"/>
    <m/>
    <m/>
  </r>
  <r>
    <x v="0"/>
    <m/>
    <x v="4"/>
    <m/>
    <s v="FIONA: Mejoras Operativas"/>
    <m/>
    <m/>
    <s v="Pendiente Levantamiento con Diego Diaz"/>
    <m/>
    <x v="4"/>
    <x v="8"/>
    <s v="CAR"/>
    <x v="0"/>
    <s v="Diego Díaz / Vladimir Morillo"/>
    <s v="CONTABILIDAD Y SAP"/>
    <x v="2"/>
    <s v="No iniciado"/>
    <m/>
    <x v="3"/>
    <m/>
    <m/>
    <m/>
    <n v="8"/>
    <n v="1"/>
    <n v="550"/>
    <m/>
    <n v="5040"/>
    <m/>
    <m/>
    <m/>
    <m/>
    <e v="#REF!"/>
    <m/>
    <m/>
    <n v="0"/>
    <m/>
    <m/>
    <m/>
    <m/>
    <n v="2"/>
    <n v="0"/>
    <m/>
    <m/>
    <m/>
  </r>
  <r>
    <x v="0"/>
    <m/>
    <x v="2"/>
    <m/>
    <s v="Registro de descuentos a transportistas ( Cuentas por Cobrar- Rastreo Satelital-Fumigacion)-SAP"/>
    <m/>
    <m/>
    <s v="Capacitacion Prorrateos - Automatizacion de descuentos, LA FAC QUEDA EN UNA CUENTA TRANSITORIA Y SE GENERAN LAS FACTURAS A CADA UNO DE LOS PROVEEDORES. lUEGO DESDE FIONA SE INTEGRE CON SAP Y GENERE ASIENTEO CONTABLE_x000a_uN DIA L MES 2 PAX NACIONAL"/>
    <m/>
    <x v="4"/>
    <x v="24"/>
    <s v="PLANTA"/>
    <x v="0"/>
    <s v="Diego Díaz "/>
    <s v="CONTABILIDAD"/>
    <x v="1"/>
    <s v="No iniciado"/>
    <s v="Q2"/>
    <x v="2"/>
    <m/>
    <s v="MEDIA"/>
    <n v="1"/>
    <n v="4"/>
    <n v="1"/>
    <n v="1100"/>
    <m/>
    <n v="4400"/>
    <m/>
    <m/>
    <m/>
    <m/>
    <n v="0"/>
    <m/>
    <m/>
    <n v="0"/>
    <m/>
    <m/>
    <m/>
    <m/>
    <n v="1"/>
    <n v="0"/>
    <m/>
    <m/>
    <m/>
  </r>
  <r>
    <x v="0"/>
    <m/>
    <x v="1"/>
    <m/>
    <s v="Digitalizar toma fisica de activos fijos"/>
    <m/>
    <m/>
    <s v="Ver Anexo A4"/>
    <m/>
    <x v="4"/>
    <x v="47"/>
    <s v="OPER"/>
    <x v="0"/>
    <s v="Sandra Pailacho"/>
    <s v="OPERACIONES"/>
    <x v="1"/>
    <s v="No iniciado"/>
    <n v="20"/>
    <x v="1"/>
    <m/>
    <s v="MEDIA"/>
    <m/>
    <n v="5"/>
    <n v="2"/>
    <n v="450"/>
    <m/>
    <n v="5140"/>
    <m/>
    <m/>
    <d v="2024-07-15T00:00:00"/>
    <d v="2024-08-16T00:00:00"/>
    <e v="#REF!"/>
    <d v="2024-08-20T00:00:00"/>
    <d v="2024-08-27T00:00:00"/>
    <d v="2897-02-19T00:00:00"/>
    <m/>
    <m/>
    <m/>
    <m/>
    <n v="1.25"/>
    <n v="0"/>
    <s v="Célula Operaciones"/>
    <m/>
    <m/>
  </r>
  <r>
    <x v="0"/>
    <m/>
    <x v="1"/>
    <m/>
    <s v="Cambio en Reportes (Pedidos, Usos&amp;Consumos, Listado de Articulos)"/>
    <m/>
    <m/>
    <s v="Ver Anexo A4"/>
    <m/>
    <x v="4"/>
    <x v="47"/>
    <s v="OPER"/>
    <x v="0"/>
    <s v="Sandra Pailacho"/>
    <s v="OPERACIONES"/>
    <x v="1"/>
    <s v="No iniciado"/>
    <n v="20"/>
    <x v="3"/>
    <m/>
    <s v="BAJA"/>
    <m/>
    <n v="6"/>
    <n v="2"/>
    <n v="450"/>
    <m/>
    <n v="6040"/>
    <m/>
    <m/>
    <d v="2024-11-11T00:00:00"/>
    <d v="2024-12-20T00:00:00"/>
    <e v="#REF!"/>
    <d v="2025-01-07T00:00:00"/>
    <d v="2025-01-10T00:00:00"/>
    <d v="2900-03-12T00:00:00"/>
    <m/>
    <m/>
    <m/>
    <m/>
    <n v="1.5"/>
    <n v="0"/>
    <s v="Célula Operaciones"/>
    <m/>
    <m/>
  </r>
  <r>
    <x v="1"/>
    <m/>
    <x v="1"/>
    <m/>
    <s v="Pedidos Sugeridos con interface SAP - Extensión BI"/>
    <m/>
    <m/>
    <s v="Ver Anexo A4"/>
    <m/>
    <x v="4"/>
    <x v="47"/>
    <s v="OPER"/>
    <x v="0"/>
    <s v="Sandra Pailacho"/>
    <s v="OPERACIONES"/>
    <x v="1"/>
    <s v="No iniciado"/>
    <n v="20"/>
    <x v="3"/>
    <m/>
    <s v="ALTA"/>
    <m/>
    <n v="8"/>
    <n v="1"/>
    <n v="400"/>
    <m/>
    <n v="3840"/>
    <m/>
    <m/>
    <m/>
    <m/>
    <e v="#REF!"/>
    <m/>
    <m/>
    <d v="1899-12-30T00:00:00"/>
    <m/>
    <m/>
    <m/>
    <m/>
    <n v="2"/>
    <n v="0"/>
    <m/>
    <m/>
    <m/>
  </r>
  <r>
    <x v="0"/>
    <m/>
    <x v="1"/>
    <m/>
    <s v="Planificación de Recetas y subrecetas para degustación  y Lunch (productos, articulos y presupuesto total al mes)(Calculadora) (calendario)"/>
    <m/>
    <m/>
    <s v="Ver Anexo A4"/>
    <m/>
    <x v="4"/>
    <x v="47"/>
    <s v="OPER"/>
    <x v="0"/>
    <s v="Sandra Pailacho"/>
    <s v="OPERACIONES"/>
    <x v="1"/>
    <s v="No iniciado"/>
    <n v="23"/>
    <x v="3"/>
    <m/>
    <s v="ALTA"/>
    <m/>
    <n v="8"/>
    <n v="2"/>
    <n v="450"/>
    <m/>
    <n v="7840"/>
    <m/>
    <m/>
    <d v="2024-09-23T00:00:00"/>
    <d v="2024-11-08T00:00:00"/>
    <e v="#REF!"/>
    <d v="2024-11-12T00:00:00"/>
    <d v="2024-11-19T00:00:00"/>
    <d v="2898-12-23T00:00:00"/>
    <m/>
    <m/>
    <m/>
    <m/>
    <n v="2"/>
    <n v="0"/>
    <s v="Célula Operaciones"/>
    <m/>
    <m/>
  </r>
  <r>
    <x v="0"/>
    <m/>
    <x v="1"/>
    <m/>
    <s v="V2. Calculo de proyecciones sugeridas de PyG"/>
    <m/>
    <m/>
    <s v="Ver Anexo A4"/>
    <m/>
    <x v="4"/>
    <x v="47"/>
    <s v="OPER"/>
    <x v="0"/>
    <s v="Sandra Pailacho"/>
    <s v="OPERACIONES"/>
    <x v="1"/>
    <s v="No iniciado"/>
    <n v="24"/>
    <x v="2"/>
    <m/>
    <s v="MEDIA"/>
    <m/>
    <n v="4"/>
    <n v="2"/>
    <n v="400"/>
    <m/>
    <n v="3840"/>
    <m/>
    <m/>
    <d v="2024-04-08T00:00:00"/>
    <d v="2024-04-26T00:00:00"/>
    <d v="2024-04-30T00:00:00"/>
    <d v="2024-05-07T00:00:00"/>
    <d v="2024-04-30T00:00:00"/>
    <d v="2894-10-19T00:00:00"/>
    <m/>
    <m/>
    <m/>
    <m/>
    <n v="1"/>
    <n v="0"/>
    <s v="Célula Operaciones"/>
    <m/>
    <m/>
  </r>
  <r>
    <x v="0"/>
    <m/>
    <x v="1"/>
    <m/>
    <s v="Reporte de Stock V2"/>
    <m/>
    <m/>
    <s v="Ver Anexo A4"/>
    <m/>
    <x v="4"/>
    <x v="47"/>
    <s v="OPER"/>
    <x v="0"/>
    <s v="Sandra Pailacho"/>
    <s v="OPERACIONES"/>
    <x v="1"/>
    <s v="No iniciado"/>
    <n v="24"/>
    <x v="2"/>
    <m/>
    <s v="MEDIA"/>
    <m/>
    <n v="4"/>
    <n v="2"/>
    <n v="400"/>
    <m/>
    <n v="3840"/>
    <m/>
    <m/>
    <d v="2024-04-01T00:00:00"/>
    <d v="2024-04-26T00:00:00"/>
    <e v="#REF!"/>
    <d v="2024-04-30T00:00:00"/>
    <d v="2024-05-07T00:00:00"/>
    <d v="2894-09-07T00:00:00"/>
    <m/>
    <m/>
    <m/>
    <m/>
    <n v="1"/>
    <n v="0"/>
    <m/>
    <m/>
    <m/>
  </r>
  <r>
    <x v="0"/>
    <m/>
    <x v="1"/>
    <m/>
    <s v="Usos y Consumos con grupo de artículos cadena"/>
    <m/>
    <m/>
    <s v="Ver Anexo A4"/>
    <m/>
    <x v="4"/>
    <x v="47"/>
    <s v="OPER"/>
    <x v="0"/>
    <s v="Sandra Pailacho/Andres Valencia"/>
    <s v="OPERACIONES"/>
    <x v="1"/>
    <s v="No iniciado"/>
    <n v="24"/>
    <x v="3"/>
    <m/>
    <s v="ALTA"/>
    <m/>
    <n v="5"/>
    <n v="2"/>
    <n v="450"/>
    <m/>
    <n v="4500"/>
    <m/>
    <m/>
    <d v="2024-10-14T00:00:00"/>
    <d v="2024-11-23T00:00:00"/>
    <e v="#REF!"/>
    <d v="2024-11-26T00:00:00"/>
    <d v="2024-11-29T00:00:00"/>
    <d v="2899-04-10T00:00:00"/>
    <m/>
    <m/>
    <m/>
    <m/>
    <n v="1.25"/>
    <n v="0"/>
    <m/>
    <m/>
    <m/>
  </r>
  <r>
    <x v="0"/>
    <m/>
    <x v="1"/>
    <m/>
    <s v="Cierre automático de Pedidos segun Configuracion por Proveedor"/>
    <m/>
    <m/>
    <s v="Ver Anexo A4"/>
    <m/>
    <x v="4"/>
    <x v="47"/>
    <s v="OPER"/>
    <x v="0"/>
    <s v="Sandra Pailacho"/>
    <s v="OPERACIONES"/>
    <x v="1"/>
    <s v="No iniciado"/>
    <n v="26"/>
    <x v="3"/>
    <m/>
    <s v="MEDIA"/>
    <m/>
    <n v="4"/>
    <n v="2"/>
    <n v="400"/>
    <m/>
    <n v="3840"/>
    <m/>
    <m/>
    <d v="2024-11-18T00:00:00"/>
    <d v="2024-12-13T00:00:00"/>
    <e v="#REF!"/>
    <d v="2024-12-17T00:00:00"/>
    <d v="2024-12-23T00:00:00"/>
    <d v="2899-09-28T00:00:00"/>
    <m/>
    <m/>
    <m/>
    <m/>
    <n v="1"/>
    <n v="0"/>
    <s v="Célula Operaciones"/>
    <m/>
    <m/>
  </r>
  <r>
    <x v="0"/>
    <m/>
    <x v="1"/>
    <m/>
    <s v="Proceso de Cuadre de información ventas"/>
    <m/>
    <m/>
    <m/>
    <m/>
    <x v="4"/>
    <x v="3"/>
    <s v="DSI"/>
    <x v="0"/>
    <s v="Amarilis Loor"/>
    <s v="BI"/>
    <x v="0"/>
    <s v="No iniciado"/>
    <m/>
    <x v="1"/>
    <m/>
    <s v="ALTA"/>
    <m/>
    <n v="6"/>
    <n v="2"/>
    <n v="450"/>
    <m/>
    <n v="6040"/>
    <m/>
    <m/>
    <d v="2024-08-19T00:00:00"/>
    <d v="2024-09-27T00:00:00"/>
    <e v="#REF!"/>
    <d v="2024-10-01T00:00:00"/>
    <d v="2024-10-07T00:00:00"/>
    <d v="2898-01-20T00:00:00"/>
    <m/>
    <m/>
    <m/>
    <m/>
    <n v="1.5"/>
    <n v="0"/>
    <m/>
    <m/>
    <m/>
  </r>
  <r>
    <x v="0"/>
    <m/>
    <x v="9"/>
    <m/>
    <s v="Clasificación Automatizada de Facturas de Autoconsumo vs Descarga de Inventarios"/>
    <m/>
    <m/>
    <s v="Automatización para la clasificación y transferencia de Inventarios para pedidos de Servicios Internos_x000a_Se está asumiendo IVA de Autoconsumo si no se hace este movimiento le cuesta al año $3000"/>
    <m/>
    <x v="4"/>
    <x v="49"/>
    <s v="PLANTA"/>
    <x v="0"/>
    <s v="Diego Díaz "/>
    <s v="CONTABILIDAD Y SAP"/>
    <x v="1"/>
    <s v="No iniciado"/>
    <m/>
    <x v="3"/>
    <m/>
    <s v="ALTA"/>
    <n v="1"/>
    <n v="8"/>
    <n v="1"/>
    <n v="550"/>
    <m/>
    <n v="4400"/>
    <m/>
    <m/>
    <m/>
    <m/>
    <n v="0"/>
    <m/>
    <m/>
    <n v="0"/>
    <m/>
    <m/>
    <m/>
    <m/>
    <n v="2"/>
    <n v="0"/>
    <m/>
    <m/>
    <m/>
  </r>
  <r>
    <x v="0"/>
    <m/>
    <x v="1"/>
    <m/>
    <s v="Modificación Reporte: Administración de facturas"/>
    <m/>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x v="4"/>
    <x v="33"/>
    <s v="CAR"/>
    <x v="0"/>
    <s v="Ruben Guanolisa"/>
    <s v="CONTABILIDAD"/>
    <x v="1"/>
    <s v="No iniciado"/>
    <s v="MEDIA"/>
    <x v="2"/>
    <m/>
    <s v="BAJA"/>
    <m/>
    <n v="2"/>
    <n v="2"/>
    <n v="400"/>
    <m/>
    <n v="2240"/>
    <m/>
    <m/>
    <d v="2024-03-25T00:00:00"/>
    <d v="2024-04-05T00:00:00"/>
    <e v="#REF!"/>
    <d v="2024-04-09T00:00:00"/>
    <d v="2014-04-16T00:00:00"/>
    <d v="2884-03-22T00:00:00"/>
    <m/>
    <m/>
    <m/>
    <m/>
    <n v="0.5"/>
    <n v="0"/>
    <m/>
    <m/>
    <m/>
  </r>
  <r>
    <x v="0"/>
    <m/>
    <x v="1"/>
    <m/>
    <s v="Creación de módulo de Administración de devoluciones "/>
    <m/>
    <m/>
    <s v="Asentar devoluciones de manera masiva no local por local"/>
    <m/>
    <x v="4"/>
    <x v="33"/>
    <s v="CAR"/>
    <x v="0"/>
    <s v="Diego Díaz / Vladimir Morillo"/>
    <s v="CONTABILIDAD"/>
    <x v="1"/>
    <s v="No iniciado"/>
    <s v="ALTA"/>
    <x v="2"/>
    <m/>
    <s v="MEDIA"/>
    <m/>
    <n v="4"/>
    <n v="2"/>
    <n v="450"/>
    <m/>
    <n v="4240"/>
    <m/>
    <m/>
    <d v="2024-04-29T00:00:00"/>
    <d v="2024-05-17T00:00:00"/>
    <e v="#REF!"/>
    <d v="2024-05-21T00:00:00"/>
    <d v="2024-05-28T00:00:00"/>
    <d v="2895-02-22T00:00:00"/>
    <m/>
    <m/>
    <m/>
    <m/>
    <n v="1"/>
    <n v="0"/>
    <m/>
    <m/>
    <m/>
  </r>
  <r>
    <x v="0"/>
    <m/>
    <x v="1"/>
    <m/>
    <s v="Automatización en el proceso de envío de notificación de pedidos planta"/>
    <m/>
    <m/>
    <s v="Revisión y mejora de procesos de pedidos"/>
    <m/>
    <x v="4"/>
    <x v="3"/>
    <s v="DSI"/>
    <x v="0"/>
    <s v="Vanessa Soria"/>
    <s v="DSI"/>
    <x v="0"/>
    <s v="No iniciado"/>
    <m/>
    <x v="0"/>
    <m/>
    <s v="BAJA"/>
    <m/>
    <n v="2"/>
    <n v="1"/>
    <n v="400"/>
    <m/>
    <n v="1440"/>
    <m/>
    <m/>
    <d v="2024-03-04T00:00:00"/>
    <d v="2024-03-21T00:00:00"/>
    <e v="#REF!"/>
    <d v="2024-03-26T00:00:00"/>
    <d v="2024-03-19T00:00:00"/>
    <d v="2893-11-17T00:00:00"/>
    <m/>
    <m/>
    <m/>
    <m/>
    <n v="0.5"/>
    <n v="0"/>
    <m/>
    <m/>
    <m/>
  </r>
  <r>
    <x v="0"/>
    <m/>
    <x v="1"/>
    <m/>
    <s v="Sitio SIR Historico"/>
    <m/>
    <m/>
    <m/>
    <m/>
    <x v="4"/>
    <x v="3"/>
    <s v="DSI"/>
    <x v="0"/>
    <s v="Vanessa Soria"/>
    <s v="DSI"/>
    <x v="0"/>
    <s v="No iniciado"/>
    <m/>
    <x v="2"/>
    <m/>
    <s v="BAJA"/>
    <m/>
    <n v="2"/>
    <n v="2"/>
    <n v="400"/>
    <m/>
    <n v="2240"/>
    <m/>
    <m/>
    <d v="2024-03-25T00:00:00"/>
    <d v="2024-04-05T00:00:00"/>
    <e v="#REF!"/>
    <d v="2024-04-09T00:00:00"/>
    <d v="2024-04-16T00:00:00"/>
    <d v="2894-03-23T00:00:00"/>
    <m/>
    <m/>
    <m/>
    <m/>
    <n v="0.5"/>
    <n v="0"/>
    <m/>
    <m/>
    <m/>
  </r>
  <r>
    <x v="0"/>
    <m/>
    <x v="1"/>
    <m/>
    <s v="Colombia - Articulos sin conversión"/>
    <m/>
    <m/>
    <m/>
    <m/>
    <x v="4"/>
    <x v="3"/>
    <s v="DSI"/>
    <x v="0"/>
    <s v="Vanessa Soria"/>
    <s v="DSI"/>
    <x v="0"/>
    <s v="No iniciado"/>
    <m/>
    <x v="0"/>
    <m/>
    <s v="BAJA"/>
    <m/>
    <n v="2"/>
    <n v="2"/>
    <n v="400"/>
    <m/>
    <n v="2240"/>
    <m/>
    <m/>
    <d v="2024-02-26T00:00:00"/>
    <d v="2024-03-08T00:00:00"/>
    <e v="#REF!"/>
    <d v="2024-03-12T00:00:00"/>
    <d v="2024-03-19T00:00:00"/>
    <d v="2893-08-11T00:00:00"/>
    <m/>
    <m/>
    <m/>
    <m/>
    <n v="0.5"/>
    <n v="0"/>
    <m/>
    <m/>
    <m/>
  </r>
  <r>
    <x v="0"/>
    <m/>
    <x v="1"/>
    <m/>
    <s v="Incluir auditoría en Gastos cajas chicas"/>
    <m/>
    <m/>
    <m/>
    <m/>
    <x v="4"/>
    <x v="3"/>
    <s v="DSI"/>
    <x v="0"/>
    <s v="Vanessa Soria"/>
    <s v="DSI"/>
    <x v="0"/>
    <s v="No iniciado"/>
    <m/>
    <x v="1"/>
    <m/>
    <s v="BAJA"/>
    <m/>
    <n v="2"/>
    <n v="1"/>
    <n v="400"/>
    <m/>
    <n v="1440"/>
    <m/>
    <m/>
    <d v="2024-09-16T00:00:00"/>
    <d v="2024-09-27T00:00:00"/>
    <e v="#REF!"/>
    <d v="2024-10-01T00:00:00"/>
    <d v="2024-10-07T00:00:00"/>
    <d v="2898-01-20T00:00:00"/>
    <m/>
    <m/>
    <m/>
    <m/>
    <n v="0.5"/>
    <n v="0"/>
    <m/>
    <m/>
    <m/>
  </r>
  <r>
    <x v="0"/>
    <m/>
    <x v="1"/>
    <m/>
    <s v="Administración Artículos -  Validación de campos"/>
    <m/>
    <m/>
    <m/>
    <m/>
    <x v="4"/>
    <x v="3"/>
    <s v="DSI"/>
    <x v="0"/>
    <s v="Vanessa Soria"/>
    <s v="DSI"/>
    <x v="0"/>
    <s v="No iniciado"/>
    <m/>
    <x v="1"/>
    <m/>
    <s v="BAJA"/>
    <m/>
    <n v="2"/>
    <n v="2"/>
    <n v="400"/>
    <m/>
    <n v="2240"/>
    <m/>
    <m/>
    <d v="2024-09-02T00:00:00"/>
    <d v="2024-09-17T00:00:00"/>
    <e v="#REF!"/>
    <d v="2024-09-24T00:00:00"/>
    <d v="2024-09-30T00:00:00"/>
    <d v="2897-11-25T00:00:00"/>
    <m/>
    <m/>
    <m/>
    <m/>
    <n v="0.5"/>
    <n v="0"/>
    <m/>
    <m/>
    <m/>
  </r>
  <r>
    <x v="0"/>
    <m/>
    <x v="1"/>
    <m/>
    <s v="Administración Restaurante - Regional"/>
    <m/>
    <m/>
    <s v="validación campo swt"/>
    <m/>
    <x v="4"/>
    <x v="3"/>
    <s v="DSI"/>
    <x v="0"/>
    <s v="Vanessa Soria"/>
    <s v="DSI"/>
    <x v="0"/>
    <s v="No iniciado"/>
    <m/>
    <x v="1"/>
    <m/>
    <s v="BAJA"/>
    <m/>
    <n v="3"/>
    <n v="2"/>
    <n v="400"/>
    <m/>
    <n v="3040"/>
    <m/>
    <m/>
    <d v="2024-09-23T00:00:00"/>
    <d v="2024-10-04T00:00:00"/>
    <e v="#REF!"/>
    <d v="2024-10-08T00:00:00"/>
    <d v="2024-10-15T00:00:00"/>
    <d v="2898-03-18T00:00:00"/>
    <m/>
    <m/>
    <m/>
    <m/>
    <n v="0.75"/>
    <n v="0"/>
    <m/>
    <m/>
    <m/>
  </r>
  <r>
    <x v="0"/>
    <m/>
    <x v="1"/>
    <m/>
    <s v="Mayores Contables por Cco"/>
    <m/>
    <m/>
    <m/>
    <m/>
    <x v="4"/>
    <x v="3"/>
    <s v="DSI"/>
    <x v="0"/>
    <s v="Juan Alejandro"/>
    <s v="DSI"/>
    <x v="1"/>
    <s v="No iniciado"/>
    <m/>
    <x v="0"/>
    <m/>
    <s v="BAJA"/>
    <m/>
    <n v="2"/>
    <n v="2"/>
    <n v="400"/>
    <m/>
    <n v="2240"/>
    <m/>
    <m/>
    <d v="2024-03-18T00:00:00"/>
    <d v="2024-03-29T00:00:00"/>
    <e v="#REF!"/>
    <d v="2024-04-01T00:00:00"/>
    <d v="2024-04-12T00:00:00"/>
    <d v="2894-01-22T00:00:00"/>
    <m/>
    <m/>
    <m/>
    <m/>
    <n v="0.5"/>
    <n v="0"/>
    <m/>
    <m/>
    <m/>
  </r>
  <r>
    <x v="0"/>
    <m/>
    <x v="1"/>
    <m/>
    <s v="Administración cuentas de banco"/>
    <m/>
    <m/>
    <m/>
    <m/>
    <x v="4"/>
    <x v="3"/>
    <s v="DSI"/>
    <x v="0"/>
    <s v="Vanessa Soria"/>
    <s v="DSI"/>
    <x v="0"/>
    <s v="No iniciado"/>
    <m/>
    <x v="2"/>
    <m/>
    <s v="BAJA"/>
    <m/>
    <n v="2"/>
    <n v="2"/>
    <n v="400"/>
    <m/>
    <n v="2240"/>
    <m/>
    <m/>
    <d v="2024-05-13T00:00:00"/>
    <d v="2024-05-17T00:00:00"/>
    <e v="#REF!"/>
    <d v="2024-05-21T00:00:00"/>
    <d v="2024-05-28T00:00:00"/>
    <d v="2895-02-22T00:00:00"/>
    <m/>
    <m/>
    <m/>
    <m/>
    <n v="0.5"/>
    <n v="0"/>
    <m/>
    <m/>
    <m/>
  </r>
  <r>
    <x v="0"/>
    <m/>
    <x v="1"/>
    <m/>
    <s v="Automatización de proveedores de cajas chicas Ecuador"/>
    <m/>
    <m/>
    <m/>
    <m/>
    <x v="4"/>
    <x v="3"/>
    <s v="DSI"/>
    <x v="0"/>
    <s v="Vanessa Soria"/>
    <s v="DSI"/>
    <x v="0"/>
    <s v="No iniciado"/>
    <m/>
    <x v="1"/>
    <m/>
    <s v="BAJA"/>
    <m/>
    <n v="1"/>
    <n v="1"/>
    <n v="400"/>
    <m/>
    <n v="1390"/>
    <m/>
    <m/>
    <d v="2024-07-08T00:00:00"/>
    <d v="2024-07-12T00:00:00"/>
    <e v="#REF!"/>
    <d v="2024-07-16T00:00:00"/>
    <d v="2024-07-23T00:00:00"/>
    <d v="2896-05-15T00:00:00"/>
    <m/>
    <m/>
    <m/>
    <m/>
    <n v="0.25"/>
    <n v="0"/>
    <m/>
    <m/>
    <m/>
  </r>
  <r>
    <x v="0"/>
    <m/>
    <x v="0"/>
    <s v="Kioscos"/>
    <s v="Descuentos por Bin de Tarjetas Kioscos"/>
    <s v="MXP LEGACY_x000a_TRADE"/>
    <m/>
    <s v="Descuentos exclusivos por tarjeta de crédito"/>
    <s v="MEDIA"/>
    <x v="0"/>
    <x v="0"/>
    <s v="DSI"/>
    <x v="1"/>
    <s v="Davis Nuñez"/>
    <s v="DSI"/>
    <x v="0"/>
    <s v="No iniciado"/>
    <m/>
    <x v="2"/>
    <s v="p36"/>
    <s v="ALTA"/>
    <m/>
    <n v="10"/>
    <n v="2"/>
    <n v="550"/>
    <m/>
    <n v="11640"/>
    <m/>
    <m/>
    <d v="2024-04-01T00:00:00"/>
    <d v="2024-04-29T00:00:00"/>
    <n v="28"/>
    <d v="2024-04-29T00:00:00"/>
    <d v="2024-05-13T00:00:00"/>
    <n v="363302"/>
    <d v="2024-05-13T00:00:00"/>
    <d v="2024-06-10T00:00:00"/>
    <d v="2024-05-01T00:00:00"/>
    <d v="2024-07-10T00:00:00"/>
    <n v="2.5"/>
    <n v="28"/>
    <s v="Solicitud de Colombia y Chile._x000a_Falta definición de alcance con el proveedor."/>
    <m/>
    <s v="x"/>
  </r>
  <r>
    <x v="0"/>
    <m/>
    <x v="1"/>
    <m/>
    <s v="Automatización de asignación de permisos PDA"/>
    <m/>
    <m/>
    <s v="Evaluar, creación de pantalla, o login contra payroll"/>
    <m/>
    <x v="4"/>
    <x v="3"/>
    <s v="DSI"/>
    <x v="0"/>
    <s v="Vanessa Soria"/>
    <s v="DSI"/>
    <x v="0"/>
    <s v="No iniciado"/>
    <m/>
    <x v="3"/>
    <m/>
    <s v="MEDIA"/>
    <m/>
    <n v="3"/>
    <n v="2"/>
    <n v="400"/>
    <m/>
    <n v="3040"/>
    <m/>
    <m/>
    <d v="2024-10-14T00:00:00"/>
    <d v="2024-11-01T00:00:00"/>
    <e v="#REF!"/>
    <d v="2024-11-05T00:00:00"/>
    <d v="2024-11-12T00:00:00"/>
    <d v="2898-10-28T00:00:00"/>
    <m/>
    <m/>
    <m/>
    <m/>
    <n v="0.75"/>
    <n v="0"/>
    <m/>
    <m/>
    <m/>
  </r>
  <r>
    <x v="0"/>
    <m/>
    <x v="1"/>
    <m/>
    <s v="Creación de pantalla de correos ordenes de mantenimiento"/>
    <m/>
    <m/>
    <m/>
    <m/>
    <x v="4"/>
    <x v="50"/>
    <s v="CAR"/>
    <x v="0"/>
    <s v="Carolina Pantoja"/>
    <s v="MTO Restaurantes"/>
    <x v="2"/>
    <s v="No iniciado"/>
    <m/>
    <x v="2"/>
    <m/>
    <s v="BAJA"/>
    <m/>
    <n v="2"/>
    <n v="2"/>
    <n v="400"/>
    <m/>
    <n v="2240"/>
    <m/>
    <m/>
    <d v="2024-05-27T00:00:00"/>
    <d v="2025-06-07T00:00:00"/>
    <e v="#REF!"/>
    <d v="2024-06-18T00:00:00"/>
    <d v="2024-06-25T00:00:00"/>
    <d v="2895-10-04T00:00:00"/>
    <m/>
    <m/>
    <m/>
    <m/>
    <n v="0.5"/>
    <n v="0"/>
    <m/>
    <m/>
    <m/>
  </r>
  <r>
    <x v="0"/>
    <m/>
    <x v="4"/>
    <m/>
    <s v="Cajas Chicas Admin: Conciliacion de Facturas"/>
    <m/>
    <m/>
    <s v="Nuevo desarrollo que permite empatar gastos de Facturas declaradas vs documentos que llegan a Carga Masiva"/>
    <m/>
    <x v="4"/>
    <x v="51"/>
    <s v="CAR"/>
    <x v="0"/>
    <s v="Diego Díaz / Vladimir Morillo"/>
    <s v="CONTABILIDAD Y SAP"/>
    <x v="1"/>
    <s v="No iniciado"/>
    <m/>
    <x v="2"/>
    <m/>
    <s v="MEDIA"/>
    <m/>
    <n v="6"/>
    <n v="1"/>
    <n v="550"/>
    <m/>
    <n v="3900"/>
    <m/>
    <m/>
    <m/>
    <m/>
    <e v="#REF!"/>
    <m/>
    <m/>
    <d v="1899-12-30T00:00:00"/>
    <m/>
    <m/>
    <m/>
    <m/>
    <n v="1.5"/>
    <n v="0"/>
    <m/>
    <m/>
    <m/>
  </r>
  <r>
    <x v="0"/>
    <m/>
    <x v="2"/>
    <m/>
    <s v="Atar Notas de crédito de empresas Relacionadas  - Cliente Proveedor en SAP"/>
    <m/>
    <m/>
    <s v="Compensacion Automatica de Facturas con Notas de credito Cliente, se ejecuta un bot en Clt y PROV, proceso semanal, 5 pax "/>
    <m/>
    <x v="4"/>
    <x v="24"/>
    <s v="PLANTA"/>
    <x v="0"/>
    <s v="Diego Díaz "/>
    <s v="CONTABILIDAD"/>
    <x v="1"/>
    <s v="No iniciado"/>
    <s v="Q2"/>
    <x v="2"/>
    <m/>
    <s v="MEDIA"/>
    <n v="1"/>
    <n v="3"/>
    <n v="1"/>
    <n v="1100"/>
    <m/>
    <n v="3300"/>
    <m/>
    <m/>
    <d v="2024-02-26T00:00:00"/>
    <d v="2024-03-25T00:00:00"/>
    <n v="28"/>
    <d v="2024-03-25T00:00:00"/>
    <d v="2024-04-01T00:00:00"/>
    <n v="7"/>
    <m/>
    <m/>
    <m/>
    <m/>
    <n v="0.75"/>
    <n v="0"/>
    <m/>
    <m/>
    <m/>
  </r>
  <r>
    <x v="0"/>
    <m/>
    <x v="2"/>
    <m/>
    <s v="Ingresar las Facturas Relacionadas  Log de Errores Y Doc Preliminares -SAP"/>
    <m/>
    <m/>
    <s v="Corregir los motivos por los que se generan log de errores , gasto fabril, particion de lotes, cambio de precios."/>
    <m/>
    <x v="4"/>
    <x v="24"/>
    <s v="PLANTA"/>
    <x v="0"/>
    <s v="Diego Díaz"/>
    <s v="CONTABILIDAD"/>
    <x v="1"/>
    <s v="No iniciado"/>
    <s v="Q2"/>
    <x v="2"/>
    <m/>
    <s v="MEDIA"/>
    <n v="1"/>
    <n v="3"/>
    <n v="1"/>
    <n v="1100"/>
    <m/>
    <n v="3300"/>
    <m/>
    <m/>
    <m/>
    <m/>
    <n v="0"/>
    <m/>
    <m/>
    <n v="0"/>
    <m/>
    <m/>
    <m/>
    <m/>
    <n v="0.75"/>
    <n v="0"/>
    <m/>
    <m/>
    <m/>
  </r>
  <r>
    <x v="0"/>
    <m/>
    <x v="4"/>
    <m/>
    <s v="APP Gestiona: Mejoras en Reporteria y administración de Fomularios"/>
    <m/>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x v="4"/>
    <x v="52"/>
    <s v="CAR"/>
    <x v="0"/>
    <s v="Javier Cruz / Veronica Ramos"/>
    <s v="GESTIÓN"/>
    <x v="1"/>
    <s v="No iniciado"/>
    <s v="Q2"/>
    <x v="2"/>
    <s v="N/A"/>
    <s v="MEDIA"/>
    <m/>
    <n v="10"/>
    <n v="2"/>
    <n v="420"/>
    <m/>
    <n v="8400"/>
    <m/>
    <m/>
    <d v="2024-04-01T00:00:00"/>
    <d v="2024-06-15T00:00:00"/>
    <e v="#REF!"/>
    <d v="2024-06-15T00:00:00"/>
    <d v="2024-06-30T00:00:00"/>
    <d v="2895-09-18T00:00:00"/>
    <d v="2024-06-30T00:00:00"/>
    <d v="2023-07-07T00:00:00"/>
    <m/>
    <m/>
    <n v="2.5"/>
    <n v="-359"/>
    <m/>
    <s v="VERO RAMOS"/>
    <m/>
  </r>
  <r>
    <x v="0"/>
    <m/>
    <x v="4"/>
    <m/>
    <s v="APP Somos repotenciar (Objetivo engagement)-&gt; administrar en DSI"/>
    <m/>
    <m/>
    <s v="Pendiente de Levantamiento, nuevos features y posible Rework de la aplicación de Trade"/>
    <m/>
    <x v="4"/>
    <x v="53"/>
    <s v="CAR"/>
    <x v="0"/>
    <s v="Javier Cruz"/>
    <s v="GESTIÓN"/>
    <x v="2"/>
    <s v="No iniciado"/>
    <s v="Q3"/>
    <x v="3"/>
    <s v="N/A"/>
    <s v="ALTA"/>
    <m/>
    <n v="12"/>
    <n v="2"/>
    <n v="550"/>
    <m/>
    <n v="13840"/>
    <m/>
    <m/>
    <d v="2024-08-01T00:00:00"/>
    <d v="2024-10-01T00:00:00"/>
    <e v="#REF!"/>
    <d v="2024-10-01T00:00:00"/>
    <d v="2024-10-07T00:00:00"/>
    <d v="2898-01-20T00:00:00"/>
    <d v="2023-10-14T00:00:00"/>
    <d v="2023-10-21T00:00:00"/>
    <m/>
    <m/>
    <n v="3"/>
    <n v="7"/>
    <m/>
    <s v="Validar con Javier Cruz costos de mantemiento actual / Daniel Barreno "/>
    <m/>
  </r>
  <r>
    <x v="0"/>
    <m/>
    <x v="4"/>
    <m/>
    <s v="Plataforma Etraining: Operaciones"/>
    <m/>
    <m/>
    <s v="Desarrollo interno de plataforma Elearning, actualmente se tiene un proveedor externo con un costo de 20 usd por local (presupuesto anual 86 k anual)"/>
    <m/>
    <x v="4"/>
    <x v="54"/>
    <s v="OPER"/>
    <x v="0"/>
    <s v=" Sandra PAillacho / Andrea Rodríguez"/>
    <s v="CAPACITACIÓN INTERNA"/>
    <x v="0"/>
    <s v="No iniciado"/>
    <s v="Q1"/>
    <x v="1"/>
    <m/>
    <s v="ALTA"/>
    <m/>
    <n v="30"/>
    <n v="3"/>
    <n v="750"/>
    <m/>
    <n v="70000"/>
    <n v="364"/>
    <m/>
    <d v="2024-03-14T00:00:00"/>
    <d v="2024-07-14T00:00:00"/>
    <e v="#REF!"/>
    <d v="2024-07-14T00:00:00"/>
    <d v="2024-08-14T00:00:00"/>
    <d v="2896-05-23T00:00:00"/>
    <d v="2024-08-14T00:00:00"/>
    <d v="2024-09-14T00:00:00"/>
    <m/>
    <m/>
    <n v="7.5"/>
    <n v="31"/>
    <m/>
    <s v="Con datos del costo actual a proveedor"/>
    <m/>
  </r>
  <r>
    <x v="0"/>
    <m/>
    <x v="3"/>
    <m/>
    <s v="Digitalización del Proceso de Canje de Cupones para Socios Corporativos en el Aeropuerto"/>
    <m/>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m/>
    <x v="4"/>
    <x v="55"/>
    <s v="OPER"/>
    <x v="0"/>
    <s v="Jorge Samaniego / Estefanía Viteri"/>
    <s v="AEROPUERTO UIO"/>
    <x v="1"/>
    <s v="No iniciado"/>
    <m/>
    <x v="1"/>
    <m/>
    <s v="MEDIA"/>
    <m/>
    <n v="5"/>
    <n v="1"/>
    <n v="550"/>
    <m/>
    <n v="3330"/>
    <m/>
    <m/>
    <d v="2024-07-01T00:00:00"/>
    <d v="2024-08-05T00:00:00"/>
    <d v="2024-12-01T00:00:00"/>
    <d v="2024-08-06T00:00:00"/>
    <d v="2024-08-20T00:00:00"/>
    <d v="2024-12-07T00:00:00"/>
    <d v="2024-08-21T00:00:00"/>
    <d v="2024-09-04T00:00:00"/>
    <m/>
    <m/>
    <n v="1.25"/>
    <n v="14"/>
    <s v="Pendiente definición de Aereopuertos Quito / Gye"/>
    <m/>
    <m/>
  </r>
  <r>
    <x v="0"/>
    <m/>
    <x v="8"/>
    <m/>
    <s v="Restructura de manejo de Plu´s y MasterPlu"/>
    <m/>
    <m/>
    <s v="Restructura de manejo de Plu´s y MasterPlu"/>
    <m/>
    <x v="4"/>
    <x v="45"/>
    <s v="CAR"/>
    <x v="0"/>
    <s v="Verónica Marañon / Renato Loayza"/>
    <s v="MERCADEO OTRAS MARCAS"/>
    <x v="1"/>
    <s v="No iniciado"/>
    <m/>
    <x v="0"/>
    <s v="Validar con la operación si este requerimiento puede esperar a la nueva versión de maxpoint"/>
    <s v="BAJA"/>
    <n v="1"/>
    <n v="5"/>
    <n v="2"/>
    <n v="550"/>
    <m/>
    <n v="5500"/>
    <m/>
    <m/>
    <m/>
    <m/>
    <d v="1899-12-30T00:00:00"/>
    <m/>
    <m/>
    <d v="1899-12-30T00:00:00"/>
    <m/>
    <m/>
    <m/>
    <m/>
    <n v="1.25"/>
    <n v="0"/>
    <m/>
    <m/>
    <m/>
  </r>
  <r>
    <x v="0"/>
    <m/>
    <x v="5"/>
    <m/>
    <s v="Repositorio de Proyectos Centralizado"/>
    <m/>
    <m/>
    <s v="Control de Cupos en Fiona, desarrollo de BOT en SAP para Generación de Asientos y Debitos en Rol para Payroll"/>
    <m/>
    <x v="4"/>
    <x v="8"/>
    <s v="CAR"/>
    <x v="0"/>
    <s v="Rodrigo Burbano"/>
    <s v="PROYECTOS DE CONSTRUCCIÓN"/>
    <x v="1"/>
    <s v="No iniciado"/>
    <m/>
    <x v="4"/>
    <m/>
    <s v="MEDIA"/>
    <m/>
    <n v="10"/>
    <n v="1"/>
    <n v="550"/>
    <m/>
    <n v="6140"/>
    <m/>
    <m/>
    <m/>
    <m/>
    <e v="#REF!"/>
    <m/>
    <m/>
    <d v="1899-12-30T00:00:00"/>
    <m/>
    <m/>
    <m/>
    <m/>
    <n v="2.5"/>
    <n v="0"/>
    <m/>
    <m/>
    <m/>
  </r>
  <r>
    <x v="0"/>
    <m/>
    <x v="4"/>
    <m/>
    <s v="APP Gestiona: Indicadores de sostenibilidad - dashboard y registro decentralizado V4"/>
    <m/>
    <m/>
    <s v="Toma de indicadores de diversas fuentas (Reportes manuales y automáticos) de consumo de energía, gestión de desechos, reciclaje de aceite, consumo de paper, reciclaje."/>
    <m/>
    <x v="4"/>
    <x v="8"/>
    <s v="CAR"/>
    <x v="0"/>
    <s v="Javier Cruz"/>
    <s v="GESTIÓN"/>
    <x v="2"/>
    <s v="No iniciado"/>
    <m/>
    <x v="3"/>
    <m/>
    <s v="MEDIA"/>
    <m/>
    <n v="8"/>
    <n v="1"/>
    <n v="550"/>
    <m/>
    <n v="5040"/>
    <m/>
    <m/>
    <m/>
    <m/>
    <e v="#REF!"/>
    <m/>
    <m/>
    <d v="1899-12-30T00:00:00"/>
    <m/>
    <m/>
    <m/>
    <m/>
    <n v="2"/>
    <n v="0"/>
    <m/>
    <m/>
    <m/>
  </r>
  <r>
    <x v="0"/>
    <m/>
    <x v="4"/>
    <m/>
    <s v="Pedidos Planta: Reclamos Proveedores"/>
    <m/>
    <m/>
    <s v="Generar aplicación para dar seguimiento reclamos a proveedores, conexión con SAP para obtener código de material y código de proveedor"/>
    <m/>
    <x v="4"/>
    <x v="38"/>
    <s v="CAR"/>
    <x v="0"/>
    <s v="Verónica Ramos"/>
    <s v="CALIDAD"/>
    <x v="1"/>
    <s v="No iniciado"/>
    <m/>
    <x v="1"/>
    <m/>
    <s v="MEDIA"/>
    <m/>
    <n v="12"/>
    <n v="1"/>
    <n v="550"/>
    <m/>
    <n v="7240"/>
    <m/>
    <m/>
    <d v="2024-07-01T00:00:00"/>
    <d v="2024-09-14T00:00:00"/>
    <e v="#REF!"/>
    <d v="2024-09-14T00:00:00"/>
    <d v="2024-09-21T00:00:00"/>
    <d v="2897-09-07T00:00:00"/>
    <d v="2024-09-21T00:00:00"/>
    <d v="2024-10-01T00:00:00"/>
    <m/>
    <m/>
    <n v="3"/>
    <n v="10"/>
    <m/>
    <m/>
    <m/>
  </r>
  <r>
    <x v="0"/>
    <m/>
    <x v="4"/>
    <m/>
    <s v="Reingeniería Payroll"/>
    <m/>
    <m/>
    <s v="Esquema de administración - kfc_x000a_Migración de bases a la nube_x000a_reingeniería funcional_x000a_"/>
    <m/>
    <x v="4"/>
    <x v="56"/>
    <s v="CAR"/>
    <x v="0"/>
    <s v="Sabrina Chinchin"/>
    <s v="NOMINA"/>
    <x v="1"/>
    <s v="No iniciado"/>
    <m/>
    <x v="1"/>
    <m/>
    <s v="ALTA"/>
    <m/>
    <n v="8"/>
    <n v="1"/>
    <n v="1000"/>
    <m/>
    <n v="8640"/>
    <m/>
    <m/>
    <m/>
    <m/>
    <e v="#REF!"/>
    <m/>
    <m/>
    <d v="1899-12-30T00:00:00"/>
    <m/>
    <m/>
    <m/>
    <m/>
    <n v="2"/>
    <n v="0"/>
    <m/>
    <m/>
    <m/>
  </r>
  <r>
    <x v="0"/>
    <s v="PE"/>
    <x v="2"/>
    <m/>
    <s v="Interfaz de centralización de remuneraciones SAP-REX+ (nómina)"/>
    <m/>
    <m/>
    <s v="Contar con una integración entre el sistema de Nómina REX+ y SAP"/>
    <m/>
    <x v="0"/>
    <x v="0"/>
    <s v="REGIONAL"/>
    <x v="1"/>
    <s v="Davis Nuñez"/>
    <s v="CL"/>
    <x v="0"/>
    <s v="No iniciado"/>
    <s v="Q2"/>
    <x v="1"/>
    <m/>
    <s v="ALTA"/>
    <n v="0"/>
    <n v="6"/>
    <n v="3"/>
    <n v="1000"/>
    <m/>
    <n v="0"/>
    <m/>
    <m/>
    <d v="2024-04-07T00:00:00"/>
    <d v="2024-05-14T00:00:00"/>
    <n v="37"/>
    <d v="2024-05-14T00:00:00"/>
    <d v="2024-05-31T00:00:00"/>
    <n v="17"/>
    <d v="2024-05-31T00:00:00"/>
    <d v="2024-06-14T00:00:00"/>
    <m/>
    <m/>
    <n v="1.5"/>
    <n v="14"/>
    <m/>
    <m/>
    <m/>
  </r>
  <r>
    <x v="0"/>
    <m/>
    <x v="1"/>
    <m/>
    <s v="Automatización de cajas chicas - tipos de cuenta y diarios de venta"/>
    <m/>
    <m/>
    <s v="en SIR con inclusión de listado de conceptos para:_x000a_CCH locales,_x000a_CCH administrativas"/>
    <m/>
    <x v="4"/>
    <x v="33"/>
    <s v="CAR"/>
    <x v="0"/>
    <s v="Diego Díaz"/>
    <s v="CONTABILIDAD"/>
    <x v="1"/>
    <s v="No iniciado"/>
    <s v="MEDIA"/>
    <x v="1"/>
    <m/>
    <s v="BAJA"/>
    <m/>
    <n v="2"/>
    <n v="2"/>
    <n v="400"/>
    <m/>
    <n v="2240"/>
    <m/>
    <m/>
    <d v="2024-06-17T00:00:00"/>
    <d v="2024-06-28T00:00:00"/>
    <e v="#REF!"/>
    <d v="2024-07-02T00:00:00"/>
    <d v="2024-09-09T00:00:00"/>
    <d v="2896-03-26T00:00:00"/>
    <m/>
    <m/>
    <m/>
    <m/>
    <n v="0.5"/>
    <n v="0"/>
    <m/>
    <m/>
    <m/>
  </r>
  <r>
    <x v="0"/>
    <m/>
    <x v="1"/>
    <m/>
    <s v="Reporte de Compras consolidado"/>
    <m/>
    <m/>
    <s v="Reporte consolidado de compras, filtro por proveedor"/>
    <m/>
    <x v="4"/>
    <x v="33"/>
    <s v="CAR"/>
    <x v="0"/>
    <s v="Veronica Suntaxi"/>
    <s v="CONTABILIDAD"/>
    <x v="1"/>
    <s v="No iniciado"/>
    <s v="ALTA"/>
    <x v="2"/>
    <m/>
    <s v="BAJA"/>
    <m/>
    <n v="2"/>
    <n v="2"/>
    <n v="400"/>
    <m/>
    <n v="2240"/>
    <m/>
    <m/>
    <d v="2024-03-25T00:00:00"/>
    <d v="2024-04-05T00:00:00"/>
    <d v="2024-04-09T00:00:00"/>
    <d v="2024-04-06T00:00:00"/>
    <d v="2024-04-02T00:00:00"/>
    <d v="2894-02-16T00:00:00"/>
    <m/>
    <m/>
    <m/>
    <m/>
    <n v="0.5"/>
    <n v="0"/>
    <m/>
    <m/>
    <m/>
  </r>
  <r>
    <x v="0"/>
    <m/>
    <x v="2"/>
    <m/>
    <s v="Liberacion de Facturas Bloqueadas MRBR - FBL1H-SAP"/>
    <m/>
    <m/>
    <s v="Desbloqueo Automatico, INTERCOMPANY. Particion de lotes, al calcular gasto fabril da una diferencia de 1 o 2 ctvos. LA MIRO tiene una tolerancia de l5%, contabiliza pero da un bloque automático,LEs toca desbloquear todos los dias y tesoreira no puede ejeuctar los pagos"/>
    <m/>
    <x v="4"/>
    <x v="24"/>
    <s v="PLANTA"/>
    <x v="0"/>
    <s v="Diego Díaz "/>
    <s v="CONTABILIDAD"/>
    <x v="1"/>
    <s v="No iniciado"/>
    <s v="Q2"/>
    <x v="2"/>
    <m/>
    <s v="MEDIA"/>
    <n v="1"/>
    <n v="2"/>
    <n v="1"/>
    <n v="1100"/>
    <m/>
    <n v="2200"/>
    <m/>
    <m/>
    <m/>
    <m/>
    <n v="0"/>
    <m/>
    <m/>
    <n v="0"/>
    <m/>
    <m/>
    <m/>
    <m/>
    <n v="0.5"/>
    <n v="0"/>
    <m/>
    <m/>
    <m/>
  </r>
  <r>
    <x v="0"/>
    <m/>
    <x v="0"/>
    <s v="API Inyección v3"/>
    <s v="Recepción de Descuentos - Offering/Agregadores Trade"/>
    <s v="MXP LEGACY_x000a_TRADE"/>
    <m/>
    <m/>
    <s v="ALTA"/>
    <x v="1"/>
    <x v="1"/>
    <s v="DSI"/>
    <x v="0"/>
    <s v="Mychael Castro"/>
    <s v="DSI"/>
    <x v="0"/>
    <s v="En curso"/>
    <m/>
    <x v="0"/>
    <s v="p11"/>
    <s v="ALTA"/>
    <n v="1"/>
    <n v="3"/>
    <n v="1"/>
    <n v="550"/>
    <m/>
    <n v="2290"/>
    <m/>
    <m/>
    <d v="2024-02-05T00:00:00"/>
    <d v="2024-02-05T00:00:00"/>
    <n v="0"/>
    <d v="2024-02-05T00:00:00"/>
    <d v="2024-02-19T00:00:00"/>
    <n v="362630"/>
    <d v="2024-02-19T00:00:00"/>
    <d v="2024-02-26T00:00:00"/>
    <d v="2024-04-01T00:00:00"/>
    <d v="2024-04-22T00:00:00"/>
    <n v="0.75"/>
    <n v="7"/>
    <s v="PROYECTO REGIONAL"/>
    <m/>
    <m/>
  </r>
  <r>
    <x v="0"/>
    <m/>
    <x v="0"/>
    <s v="API Inyección v3"/>
    <s v="Recepción de Descuentos - Offering/Agregadores Trade"/>
    <s v="MXP LEGACY_x000a_TRADE"/>
    <m/>
    <m/>
    <s v="ALTA"/>
    <x v="1"/>
    <x v="1"/>
    <s v="DSI"/>
    <x v="4"/>
    <s v="Mychael Castro"/>
    <s v="DSI"/>
    <x v="0"/>
    <s v="No iniciado"/>
    <m/>
    <x v="0"/>
    <s v="p11"/>
    <s v="ALTA"/>
    <n v="1"/>
    <n v="3"/>
    <n v="1"/>
    <n v="550"/>
    <m/>
    <n v="2290"/>
    <m/>
    <m/>
    <d v="2024-03-04T00:00:00"/>
    <d v="2024-03-04T00:00:00"/>
    <n v="0"/>
    <d v="2024-03-04T00:00:00"/>
    <d v="2024-03-18T00:00:00"/>
    <n v="362854"/>
    <d v="2024-03-18T00:00:00"/>
    <d v="2024-03-25T00:00:00"/>
    <d v="2024-04-01T00:00:00"/>
    <d v="2024-04-22T00:00:00"/>
    <n v="0.75"/>
    <n v="7"/>
    <s v="PROYECTO REGIONAL"/>
    <m/>
    <s v="x"/>
  </r>
  <r>
    <x v="0"/>
    <m/>
    <x v="0"/>
    <s v="API Inyección v3"/>
    <s v="Recepción de Descuentos - Offering/Agregadores Trade"/>
    <s v="MXP LEGACY_x000a_TRADE"/>
    <m/>
    <m/>
    <s v="ALTA"/>
    <x v="1"/>
    <x v="1"/>
    <s v="DSI"/>
    <x v="2"/>
    <s v="Mychael Castro"/>
    <s v="DSI"/>
    <x v="0"/>
    <s v="No iniciado"/>
    <m/>
    <x v="0"/>
    <s v="p11"/>
    <s v="ALTA"/>
    <n v="1"/>
    <n v="3"/>
    <n v="1"/>
    <n v="550"/>
    <m/>
    <n v="2290"/>
    <m/>
    <m/>
    <d v="2024-03-18T00:00:00"/>
    <d v="2024-03-18T00:00:00"/>
    <n v="0"/>
    <d v="2024-03-18T00:00:00"/>
    <d v="2024-03-25T00:00:00"/>
    <n v="362959"/>
    <d v="2024-03-25T00:00:00"/>
    <d v="2024-04-01T00:00:00"/>
    <d v="2024-05-01T00:00:00"/>
    <d v="2024-05-22T00:00:00"/>
    <n v="0.75"/>
    <n v="7"/>
    <s v="PROYECTO REGIONAL"/>
    <m/>
    <m/>
  </r>
  <r>
    <x v="0"/>
    <m/>
    <x v="2"/>
    <m/>
    <s v="RollOut Chile - Logistica"/>
    <m/>
    <m/>
    <s v="Implementar SAP Logistica Chile"/>
    <m/>
    <x v="0"/>
    <x v="0"/>
    <s v="REGIONAL"/>
    <x v="1"/>
    <s v="Martin Iparraguirre"/>
    <s v="CL"/>
    <x v="0"/>
    <s v="No iniciado"/>
    <s v="Q4"/>
    <x v="3"/>
    <m/>
    <s v="ALTA"/>
    <n v="1"/>
    <m/>
    <m/>
    <m/>
    <m/>
    <n v="0"/>
    <m/>
    <m/>
    <d v="2024-09-07T00:00:00"/>
    <d v="2025-02-28T00:00:00"/>
    <n v="174"/>
    <d v="2025-03-01T00:00:00"/>
    <d v="2025-03-31T00:00:00"/>
    <n v="30"/>
    <d v="2025-03-01T00:00:00"/>
    <d v="2025-03-31T00:00:00"/>
    <m/>
    <m/>
    <n v="0"/>
    <n v="30"/>
    <m/>
    <m/>
    <m/>
  </r>
  <r>
    <x v="0"/>
    <m/>
    <x v="3"/>
    <m/>
    <s v="Remediación MaxPoint"/>
    <m/>
    <m/>
    <s v="Correcciones y mejoras de estabilización del proceso de facturación counter y delivery."/>
    <m/>
    <x v="0"/>
    <x v="3"/>
    <s v="DSI"/>
    <x v="1"/>
    <s v="Vanessa Soria"/>
    <s v="CL"/>
    <x v="0"/>
    <s v="En curso"/>
    <m/>
    <x v="0"/>
    <m/>
    <s v="ALTA"/>
    <n v="1"/>
    <n v="3"/>
    <n v="13"/>
    <n v="625"/>
    <m/>
    <n v="24375"/>
    <m/>
    <m/>
    <d v="2024-01-01T00:00:00"/>
    <d v="2024-03-22T00:00:00"/>
    <e v="#REF!"/>
    <d v="2024-03-25T00:00:00"/>
    <d v="2024-03-29T00:00:00"/>
    <d v="2893-11-20T00:00:00"/>
    <d v="2024-04-01T00:00:00"/>
    <d v="2024-04-12T00:00:00"/>
    <m/>
    <m/>
    <n v="0.75"/>
    <n v="11"/>
    <m/>
    <m/>
    <m/>
  </r>
  <r>
    <x v="1"/>
    <m/>
    <x v="3"/>
    <m/>
    <s v="Nueva Versión Turnero v.3"/>
    <m/>
    <m/>
    <s v="Compromiso Matriz Regional  (Chile Argentina)"/>
    <m/>
    <x v="1"/>
    <x v="1"/>
    <s v="REGIONAL"/>
    <x v="1"/>
    <s v="Davis Nuñez / Adrian Gadja"/>
    <s v="CL"/>
    <x v="0"/>
    <s v="En curso"/>
    <m/>
    <x v="0"/>
    <s v="programadores en Angular"/>
    <s v="MEDIA"/>
    <n v="1"/>
    <n v="3"/>
    <n v="1"/>
    <n v="625"/>
    <m/>
    <n v="1875"/>
    <m/>
    <m/>
    <d v="2024-02-05T00:00:00"/>
    <d v="2024-02-23T00:00:00"/>
    <e v="#REF!"/>
    <d v="2024-02-26T00:00:00"/>
    <d v="2024-03-01T00:00:00"/>
    <d v="2893-04-10T00:00:00"/>
    <d v="2024-03-04T00:00:00"/>
    <d v="2024-03-08T00:00:00"/>
    <m/>
    <m/>
    <n v="0.75"/>
    <n v="4"/>
    <s v="PROYECTO REGIONAL"/>
    <m/>
    <m/>
  </r>
  <r>
    <x v="0"/>
    <m/>
    <x v="3"/>
    <m/>
    <s v="Maxpoint Delivery CW"/>
    <m/>
    <m/>
    <s v="Terminar implementación y corrección de bug"/>
    <m/>
    <x v="0"/>
    <x v="3"/>
    <s v="DSI"/>
    <x v="1"/>
    <s v="Davis Nuñez"/>
    <s v="CL"/>
    <x v="0"/>
    <s v="En curso"/>
    <m/>
    <x v="0"/>
    <s v="Dependencia estabilización en KFC"/>
    <s v="ALTA"/>
    <n v="1"/>
    <n v="1"/>
    <n v="2"/>
    <n v="625"/>
    <m/>
    <n v="1250"/>
    <m/>
    <m/>
    <d v="2024-03-04T00:00:00"/>
    <d v="2024-03-08T00:00:00"/>
    <e v="#REF!"/>
    <d v="2024-03-11T00:00:00"/>
    <d v="2024-03-15T00:00:00"/>
    <d v="2893-07-31T00:00:00"/>
    <d v="2024-03-18T00:00:00"/>
    <d v="2024-03-22T00:00:00"/>
    <m/>
    <m/>
    <n v="0.25"/>
    <n v="4"/>
    <m/>
    <m/>
    <m/>
  </r>
  <r>
    <x v="0"/>
    <m/>
    <x v="3"/>
    <m/>
    <s v="Propinas desde el pinpad"/>
    <m/>
    <m/>
    <s v="Nuevo Requerimiento (Ya levantado a Juan Daniel, documentación adjunta)"/>
    <m/>
    <x v="0"/>
    <x v="0"/>
    <s v="REGIONAL"/>
    <x v="1"/>
    <s v="Davis Nuñez"/>
    <s v="CL"/>
    <x v="0"/>
    <s v="En curso"/>
    <m/>
    <x v="0"/>
    <s v="Ambientes de desarrollo, y pinpad de test."/>
    <s v="MEDIA"/>
    <n v="1"/>
    <n v="3"/>
    <n v="1"/>
    <n v="625"/>
    <m/>
    <n v="1875"/>
    <m/>
    <m/>
    <d v="2024-03-04T00:00:00"/>
    <d v="2024-03-15T00:00:00"/>
    <e v="#REF!"/>
    <d v="2024-03-18T00:00:00"/>
    <d v="2024-03-22T00:00:00"/>
    <d v="2893-09-25T00:00:00"/>
    <d v="2024-03-25T00:00:00"/>
    <d v="2024-03-29T00:00:00"/>
    <m/>
    <m/>
    <n v="0.75"/>
    <n v="4"/>
    <m/>
    <m/>
    <m/>
  </r>
  <r>
    <x v="0"/>
    <m/>
    <x v="3"/>
    <m/>
    <s v="Maxpoint Delivery WD"/>
    <m/>
    <m/>
    <s v="Terminar implementación y corrección de bug"/>
    <m/>
    <x v="0"/>
    <x v="0"/>
    <s v="REGIONAL"/>
    <x v="1"/>
    <s v="Davis Nuñez"/>
    <s v="CL"/>
    <x v="0"/>
    <s v="En curso"/>
    <m/>
    <x v="0"/>
    <s v="Dependencia estabilización en KFC"/>
    <s v="ALTA"/>
    <n v="1"/>
    <n v="1"/>
    <n v="2"/>
    <n v="625"/>
    <m/>
    <n v="1250"/>
    <m/>
    <m/>
    <d v="2024-03-18T00:00:00"/>
    <d v="2024-03-22T00:00:00"/>
    <e v="#REF!"/>
    <d v="2024-03-25T00:00:00"/>
    <d v="2024-03-29T00:00:00"/>
    <d v="2893-11-20T00:00:00"/>
    <d v="2024-04-01T00:00:00"/>
    <d v="2024-04-05T00:00:00"/>
    <m/>
    <m/>
    <n v="0.25"/>
    <n v="4"/>
    <m/>
    <m/>
    <m/>
  </r>
  <r>
    <x v="0"/>
    <m/>
    <x v="1"/>
    <m/>
    <s v="MCO-1. Activación Modulo Aceite quemado "/>
    <m/>
    <m/>
    <s v="Activación Modulo Aceite quemado"/>
    <m/>
    <x v="1"/>
    <x v="3"/>
    <s v="REGIONAL"/>
    <x v="1"/>
    <s v="William Villegas"/>
    <m/>
    <x v="3"/>
    <s v="No iniciado"/>
    <m/>
    <x v="4"/>
    <m/>
    <m/>
    <m/>
    <m/>
    <m/>
    <m/>
    <m/>
    <n v="640"/>
    <m/>
    <m/>
    <m/>
    <m/>
    <e v="#REF!"/>
    <m/>
    <m/>
    <d v="1899-12-30T00:00:00"/>
    <m/>
    <m/>
    <m/>
    <m/>
    <n v="0"/>
    <n v="0"/>
    <m/>
    <m/>
    <m/>
  </r>
  <r>
    <x v="2"/>
    <m/>
    <x v="7"/>
    <m/>
    <s v="MCO-1. Activación Modulo Aceite quemado "/>
    <m/>
    <m/>
    <m/>
    <m/>
    <x v="4"/>
    <x v="8"/>
    <m/>
    <x v="0"/>
    <m/>
    <m/>
    <x v="3"/>
    <m/>
    <m/>
    <x v="4"/>
    <m/>
    <m/>
    <m/>
    <m/>
    <m/>
    <m/>
    <m/>
    <n v="640"/>
    <m/>
    <m/>
    <m/>
    <m/>
    <e v="#REF!"/>
    <m/>
    <m/>
    <d v="1899-12-30T00:00:00"/>
    <m/>
    <m/>
    <m/>
    <m/>
    <n v="0"/>
    <n v="0"/>
    <m/>
    <m/>
    <m/>
  </r>
  <r>
    <x v="0"/>
    <m/>
    <x v="1"/>
    <m/>
    <s v="MCO-2. Horarios Mayores Contables"/>
    <m/>
    <m/>
    <m/>
    <m/>
    <x v="1"/>
    <x v="3"/>
    <s v="REGIONAL"/>
    <x v="1"/>
    <m/>
    <m/>
    <x v="3"/>
    <s v="En curso"/>
    <m/>
    <x v="4"/>
    <m/>
    <m/>
    <m/>
    <m/>
    <m/>
    <m/>
    <m/>
    <n v="640"/>
    <m/>
    <m/>
    <m/>
    <m/>
    <e v="#REF!"/>
    <m/>
    <m/>
    <d v="1899-12-30T00:00:00"/>
    <m/>
    <m/>
    <m/>
    <m/>
    <n v="0"/>
    <n v="0"/>
    <m/>
    <m/>
    <m/>
  </r>
  <r>
    <x v="2"/>
    <m/>
    <x v="7"/>
    <m/>
    <s v="MCO-3. Compras Bloqueo de Proveedor INT"/>
    <m/>
    <m/>
    <m/>
    <m/>
    <x v="4"/>
    <x v="8"/>
    <m/>
    <x v="0"/>
    <m/>
    <m/>
    <x v="3"/>
    <m/>
    <m/>
    <x v="4"/>
    <m/>
    <m/>
    <m/>
    <m/>
    <m/>
    <m/>
    <m/>
    <n v="640"/>
    <m/>
    <m/>
    <m/>
    <m/>
    <e v="#REF!"/>
    <m/>
    <m/>
    <d v="1899-12-30T00:00:00"/>
    <m/>
    <m/>
    <m/>
    <m/>
    <n v="0"/>
    <n v="0"/>
    <m/>
    <m/>
    <m/>
  </r>
  <r>
    <x v="0"/>
    <m/>
    <x v="1"/>
    <m/>
    <s v="Migración del Sistema SIR a última versión"/>
    <m/>
    <m/>
    <m/>
    <m/>
    <x v="1"/>
    <x v="0"/>
    <s v="REGIONAL"/>
    <x v="1"/>
    <m/>
    <m/>
    <x v="3"/>
    <s v="En curso"/>
    <m/>
    <x v="4"/>
    <m/>
    <m/>
    <m/>
    <m/>
    <m/>
    <m/>
    <m/>
    <n v="640"/>
    <m/>
    <m/>
    <m/>
    <m/>
    <e v="#REF!"/>
    <m/>
    <m/>
    <d v="1899-12-30T00:00:00"/>
    <m/>
    <m/>
    <m/>
    <m/>
    <n v="0"/>
    <n v="0"/>
    <m/>
    <m/>
    <m/>
  </r>
  <r>
    <x v="2"/>
    <m/>
    <x v="7"/>
    <m/>
    <s v="MCO-2. Horarios Mayores Contables"/>
    <m/>
    <m/>
    <m/>
    <m/>
    <x v="4"/>
    <x v="8"/>
    <m/>
    <x v="0"/>
    <m/>
    <m/>
    <x v="3"/>
    <m/>
    <m/>
    <x v="4"/>
    <m/>
    <m/>
    <m/>
    <m/>
    <m/>
    <m/>
    <m/>
    <n v="640"/>
    <m/>
    <m/>
    <m/>
    <m/>
    <e v="#REF!"/>
    <m/>
    <m/>
    <d v="1899-12-30T00:00:00"/>
    <m/>
    <m/>
    <m/>
    <m/>
    <n v="0"/>
    <n v="0"/>
    <m/>
    <m/>
    <m/>
  </r>
  <r>
    <x v="0"/>
    <m/>
    <x v="1"/>
    <m/>
    <s v="Cupones de Cortesía, Dinero y Empleados"/>
    <m/>
    <m/>
    <s v="Digitalización de cupones de cortesía, dinero y empleados desde SIR"/>
    <m/>
    <x v="1"/>
    <x v="0"/>
    <s v="Funcionalidades Locales"/>
    <x v="3"/>
    <s v="William Villegas"/>
    <s v="CO"/>
    <x v="0"/>
    <s v="En curso"/>
    <m/>
    <x v="2"/>
    <m/>
    <s v="ALTA"/>
    <m/>
    <n v="3"/>
    <n v="2"/>
    <n v="450"/>
    <m/>
    <n v="3340"/>
    <m/>
    <m/>
    <m/>
    <m/>
    <e v="#REF!"/>
    <d v="2024-03-14T00:00:00"/>
    <d v="2024-03-28T00:00:00"/>
    <d v="2893-09-03T00:00:00"/>
    <m/>
    <m/>
    <m/>
    <m/>
    <n v="0.75"/>
    <n v="0"/>
    <m/>
    <m/>
    <m/>
  </r>
  <r>
    <x v="0"/>
    <m/>
    <x v="0"/>
    <s v="API Inyección v3"/>
    <s v="Integraciones Automáticas - Canales Propios -  Web DUNA "/>
    <s v="MXP LEGACY_x000a_TRADE"/>
    <m/>
    <s v="Compromiso Matriz Regional  (Argentina)"/>
    <s v="MEDIA"/>
    <x v="0"/>
    <x v="0"/>
    <s v="DSI"/>
    <x v="2"/>
    <s v="Mychael Castro - José Fernandez"/>
    <s v="DSI"/>
    <x v="0"/>
    <s v="No iniciado"/>
    <m/>
    <x v="2"/>
    <m/>
    <s v="MEDIA"/>
    <n v="1"/>
    <n v="2"/>
    <n v="1"/>
    <n v="550"/>
    <m/>
    <n v="1740"/>
    <m/>
    <m/>
    <d v="2024-03-18T00:00:00"/>
    <d v="2024-03-18T00:00:00"/>
    <n v="0"/>
    <d v="2024-03-18T00:00:00"/>
    <d v="2024-03-25T00:00:00"/>
    <n v="362959"/>
    <d v="2024-03-25T00:00:00"/>
    <d v="2024-04-01T00:00:00"/>
    <d v="2024-05-01T00:00:00"/>
    <d v="2024-05-15T00:00:00"/>
    <n v="0.5"/>
    <n v="7"/>
    <s v="PROYECTO REGIONAL"/>
    <m/>
    <m/>
  </r>
  <r>
    <x v="0"/>
    <m/>
    <x v="0"/>
    <s v="API Inyección v3"/>
    <s v="Integraciones Automáticas- Agregadores - + TicTuk + Trade​"/>
    <s v="MXP LEGACY_x000a_TRADE"/>
    <m/>
    <s v="Compromiso Matriz Regional  (Colombia)"/>
    <s v="MEDIA"/>
    <x v="0"/>
    <x v="1"/>
    <s v="DSI"/>
    <x v="3"/>
    <s v="Mychael Castro"/>
    <s v="DSI"/>
    <x v="0"/>
    <s v="En curso"/>
    <m/>
    <x v="2"/>
    <m/>
    <s v="MEDIA"/>
    <n v="1"/>
    <n v="2"/>
    <n v="1"/>
    <n v="550"/>
    <m/>
    <n v="1740"/>
    <m/>
    <m/>
    <d v="2024-05-13T00:00:00"/>
    <d v="2024-05-13T00:00:00"/>
    <n v="0"/>
    <d v="2024-05-13T00:00:00"/>
    <d v="2024-05-20T00:00:00"/>
    <n v="363407"/>
    <d v="2024-05-20T00:00:00"/>
    <d v="2024-05-27T00:00:00"/>
    <d v="2024-05-01T00:00:00"/>
    <d v="2024-05-15T00:00:00"/>
    <n v="0.5"/>
    <n v="7"/>
    <s v="PROYECTO REGIONAL"/>
    <m/>
    <m/>
  </r>
  <r>
    <x v="0"/>
    <m/>
    <x v="3"/>
    <m/>
    <s v="Mxp - Impresión v2.1 NETCORE"/>
    <m/>
    <m/>
    <s v="de Boletas (Reducción) - Compromiso Matriz Regional  (Ecuador, Colombia, Chile y Argentina)"/>
    <m/>
    <x v="5"/>
    <x v="0"/>
    <s v="REGIONAL"/>
    <x v="1"/>
    <s v="Davis Nuñez"/>
    <s v="CL"/>
    <x v="0"/>
    <s v="En curso"/>
    <m/>
    <x v="2"/>
    <s v="Dependencia de una impresora con el modelo, confirmar el inventario"/>
    <s v="ALTA"/>
    <n v="1"/>
    <n v="1"/>
    <n v="12"/>
    <n v="625"/>
    <m/>
    <n v="7500"/>
    <m/>
    <m/>
    <d v="2024-04-01T00:00:00"/>
    <d v="2024-05-31T00:00:00"/>
    <e v="#REF!"/>
    <d v="2024-06-03T00:00:00"/>
    <d v="2024-06-07T00:00:00"/>
    <d v="2895-06-03T00:00:00"/>
    <d v="2024-06-10T00:00:00"/>
    <d v="2024-06-21T00:00:00"/>
    <m/>
    <m/>
    <n v="0.25"/>
    <n v="11"/>
    <m/>
    <m/>
    <m/>
  </r>
  <r>
    <x v="0"/>
    <m/>
    <x v="0"/>
    <s v="Menú V3"/>
    <s v="Menu V3 - Envio de Descuentos desde MXP"/>
    <s v="MXP LEGACY_x000a_TRADE"/>
    <m/>
    <s v="Compromiso Matriz Regional  (Falta Argentina - 2023)"/>
    <s v="ALTA"/>
    <x v="1"/>
    <x v="1"/>
    <s v="DSI"/>
    <x v="2"/>
    <s v="Mychael Castro"/>
    <s v="DSI"/>
    <x v="0"/>
    <s v="No iniciado"/>
    <m/>
    <x v="0"/>
    <s v="p15"/>
    <s v="ALTA"/>
    <n v="1"/>
    <n v="2"/>
    <n v="1"/>
    <n v="550"/>
    <m/>
    <n v="1740"/>
    <m/>
    <m/>
    <d v="2024-03-04T00:00:00"/>
    <d v="2024-03-11T00:00:00"/>
    <n v="7"/>
    <d v="2024-03-11T00:00:00"/>
    <d v="2024-03-18T00:00:00"/>
    <n v="362903"/>
    <d v="2024-03-18T00:00:00"/>
    <d v="2024-03-25T00:00:00"/>
    <d v="2024-04-01T00:00:00"/>
    <d v="2024-04-15T00:00:00"/>
    <n v="0.5"/>
    <n v="7"/>
    <s v="PROYECTO REGIONAL"/>
    <m/>
    <m/>
  </r>
  <r>
    <x v="0"/>
    <m/>
    <x v="0"/>
    <s v="Appedir"/>
    <s v="Smart routing (Recepcion formas de pago)"/>
    <s v="MAX LEGACY_x000a_TRADE"/>
    <m/>
    <s v="Appedir Integración Paymentez Visa y Mastercard Appedir; Kushki Diners y Discover Appedir"/>
    <s v="ALTA"/>
    <x v="4"/>
    <x v="2"/>
    <s v="CAR"/>
    <x v="0"/>
    <s v="Daniel Barreno"/>
    <s v="TRANSFORMACIÓN DIGITAL"/>
    <x v="0"/>
    <s v="No iniciado"/>
    <s v="Q1"/>
    <x v="0"/>
    <s v="p18"/>
    <s v="MEDIA"/>
    <m/>
    <n v="4"/>
    <n v="1"/>
    <n v="550"/>
    <m/>
    <n v="2200"/>
    <m/>
    <m/>
    <d v="2024-02-23T00:00:00"/>
    <d v="2024-03-01T00:00:00"/>
    <n v="7"/>
    <d v="2024-03-01T00:00:00"/>
    <d v="2024-03-08T00:00:00"/>
    <n v="362823"/>
    <d v="2024-03-08T00:00:00"/>
    <d v="2024-03-08T00:00:00"/>
    <d v="2024-05-01T00:00:00"/>
    <d v="2024-05-29T00:00:00"/>
    <n v="1"/>
    <n v="0"/>
    <s v="ECOMERCE"/>
    <m/>
    <s v="x"/>
  </r>
  <r>
    <x v="0"/>
    <m/>
    <x v="0"/>
    <s v="APP"/>
    <s v="SMS tracking pedido vía llamada"/>
    <s v="MXP LEGACY_x000a_TRADE"/>
    <m/>
    <s v="Aplica para KFC Ecuador"/>
    <s v="BAJA"/>
    <x v="0"/>
    <x v="0"/>
    <s v="OPER"/>
    <x v="0"/>
    <s v="Vladimir Salazar"/>
    <s v="OPERACIONES KFC"/>
    <x v="0"/>
    <s v="No iniciado"/>
    <m/>
    <x v="1"/>
    <s v="p57"/>
    <s v="ALTA"/>
    <m/>
    <n v="6"/>
    <n v="1"/>
    <n v="550"/>
    <m/>
    <n v="3940"/>
    <m/>
    <m/>
    <d v="2024-09-02T00:00:00"/>
    <d v="2024-09-16T00:00:00"/>
    <n v="14"/>
    <d v="2024-09-16T00:00:00"/>
    <d v="2024-09-23T00:00:00"/>
    <n v="364415"/>
    <d v="2024-09-23T00:00:00"/>
    <d v="2024-09-30T00:00:00"/>
    <d v="2024-09-01T00:00:00"/>
    <d v="2024-10-13T00:00:00"/>
    <n v="1.5"/>
    <n v="7"/>
    <m/>
    <m/>
    <m/>
  </r>
  <r>
    <x v="0"/>
    <m/>
    <x v="0"/>
    <s v="API Inyección v3"/>
    <s v="Tiempos de Cambios de estado en todos los canales Maxpoint"/>
    <s v="MXP LEGACY_x000a_TRADE"/>
    <m/>
    <s v="Tiempos de Cambios de estado en todos los canales Maxpoint - TRansformación Digital"/>
    <s v="BAJA"/>
    <x v="1"/>
    <x v="1"/>
    <s v="CAR"/>
    <x v="0"/>
    <s v="Amarilis Loor"/>
    <s v="TRANSFORMACIÓN DIGITAL"/>
    <x v="0"/>
    <s v="No iniciado"/>
    <m/>
    <x v="3"/>
    <m/>
    <m/>
    <m/>
    <n v="8"/>
    <n v="1"/>
    <n v="550"/>
    <m/>
    <n v="5040"/>
    <m/>
    <m/>
    <d v="2024-10-07T00:00:00"/>
    <d v="2024-11-11T00:00:00"/>
    <n v="35"/>
    <d v="2024-11-11T00:00:00"/>
    <d v="2024-11-25T00:00:00"/>
    <n v="364870"/>
    <d v="2024-11-25T00:00:00"/>
    <d v="2024-12-02T00:00:00"/>
    <d v="2024-10-01T00:00:00"/>
    <d v="2024-11-26T00:00:00"/>
    <n v="2"/>
    <n v="7"/>
    <s v="BI"/>
    <m/>
    <m/>
  </r>
  <r>
    <x v="0"/>
    <m/>
    <x v="0"/>
    <s v="API Inyección v3"/>
    <s v="Upsell (Analítica)"/>
    <s v="MXP LEGACY_x000a_TRADE"/>
    <m/>
    <s v="Recibir el TAG upselling dentro de inyección V3, para sistema de Analítica"/>
    <s v="ALTA"/>
    <x v="1"/>
    <x v="2"/>
    <s v="CAR"/>
    <x v="1"/>
    <s v="Daniel Barreno"/>
    <s v="TRANSFORMACIÓN DIGITAL"/>
    <x v="0"/>
    <s v="No iniciado"/>
    <s v="Q1"/>
    <x v="2"/>
    <s v="p17"/>
    <s v="MEDIA"/>
    <n v="1"/>
    <n v="3"/>
    <n v="1"/>
    <n v="550"/>
    <m/>
    <n v="2290"/>
    <m/>
    <m/>
    <d v="2024-04-22T00:00:00"/>
    <d v="2024-05-06T00:00:00"/>
    <n v="14"/>
    <d v="2024-05-06T00:00:00"/>
    <d v="2024-05-13T00:00:00"/>
    <n v="363351"/>
    <d v="2024-05-13T00:00:00"/>
    <d v="2024-05-13T00:00:00"/>
    <d v="2024-05-01T00:00:00"/>
    <d v="2024-05-22T00:00:00"/>
    <n v="0.75"/>
    <n v="0"/>
    <s v="PROYECTO REGIONAL"/>
    <m/>
    <m/>
  </r>
  <r>
    <x v="0"/>
    <m/>
    <x v="2"/>
    <m/>
    <s v="SAP Disaster Recovery"/>
    <m/>
    <m/>
    <s v="CONTAR CON UN PLAN DE RECUPERACION ANTE DESASTERES Y PLAN DE CONTINUIDAD DE NEGOCIO "/>
    <m/>
    <x v="4"/>
    <x v="40"/>
    <s v="DSI"/>
    <x v="0"/>
    <m/>
    <s v="DSI"/>
    <x v="1"/>
    <s v="En curso"/>
    <s v="Q2"/>
    <x v="1"/>
    <m/>
    <s v="ALTA"/>
    <n v="0.8"/>
    <n v="12"/>
    <n v="10"/>
    <n v="1221"/>
    <m/>
    <n v="117216"/>
    <n v="108310.40000000001"/>
    <m/>
    <d v="2024-02-21T00:00:00"/>
    <d v="2024-05-21T00:00:00"/>
    <n v="90"/>
    <d v="2024-03-21T00:00:00"/>
    <d v="2024-03-28T00:00:00"/>
    <n v="7"/>
    <d v="2024-03-21T00:00:00"/>
    <d v="2024-03-28T00:00:00"/>
    <m/>
    <m/>
    <n v="3"/>
    <n v="7"/>
    <s v="PROYECTO REGIONAL"/>
    <m/>
    <m/>
  </r>
  <r>
    <x v="0"/>
    <m/>
    <x v="2"/>
    <m/>
    <s v="SAP Disaster Recovery"/>
    <m/>
    <m/>
    <s v="CONTAR CON UN PLAN DE RECUPERACION ANTE DESASTERES Y PLAN DE CONTINUIDAD DE NEGOCIO "/>
    <m/>
    <x v="1"/>
    <x v="40"/>
    <s v="REGIONAL"/>
    <x v="3"/>
    <m/>
    <s v="CO"/>
    <x v="0"/>
    <s v="En curso"/>
    <s v="Q1"/>
    <x v="1"/>
    <m/>
    <s v="ALTA"/>
    <n v="0.15"/>
    <n v="12"/>
    <n v="10"/>
    <n v="1221"/>
    <m/>
    <n v="21978"/>
    <n v="20308.2"/>
    <m/>
    <d v="2024-02-21T00:00:00"/>
    <d v="2024-05-21T00:00:00"/>
    <n v="90"/>
    <d v="2024-03-21T00:00:00"/>
    <d v="2024-03-28T00:00:00"/>
    <n v="7"/>
    <d v="2024-03-21T00:00:00"/>
    <d v="2024-03-28T00:00:00"/>
    <m/>
    <m/>
    <n v="3"/>
    <n v="7"/>
    <s v="PROYECTO REGIONAL"/>
    <m/>
    <m/>
  </r>
  <r>
    <x v="0"/>
    <m/>
    <x v="3"/>
    <m/>
    <s v="Remedación Dynatrace"/>
    <m/>
    <m/>
    <s v="Nuevo Requerimiento de mejoras de rendimiento y seguridades."/>
    <m/>
    <x v="5"/>
    <x v="3"/>
    <s v="DSI"/>
    <x v="1"/>
    <s v="Davis Nuñez"/>
    <s v="CL"/>
    <x v="0"/>
    <s v="No iniciado"/>
    <m/>
    <x v="2"/>
    <s v="Depende del análisis ed Dytrace, para establecer el plan. Validar si es a nivel de server o caja."/>
    <s v="ALTA"/>
    <n v="1"/>
    <n v="1"/>
    <n v="10"/>
    <n v="625"/>
    <m/>
    <n v="6250"/>
    <m/>
    <m/>
    <d v="2024-04-01T00:00:00"/>
    <d v="2024-05-17T00:00:00"/>
    <e v="#REF!"/>
    <d v="2024-05-20T00:00:00"/>
    <d v="2024-05-24T00:00:00"/>
    <d v="2895-02-11T00:00:00"/>
    <d v="2024-05-27T00:00:00"/>
    <d v="2024-05-31T00:00:00"/>
    <m/>
    <m/>
    <n v="0.25"/>
    <n v="4"/>
    <m/>
    <m/>
    <m/>
  </r>
  <r>
    <x v="0"/>
    <m/>
    <x v="3"/>
    <m/>
    <s v="Cambio de datos de clientes de transacciones de días anteriores"/>
    <s v="MXP 2.0"/>
    <m/>
    <s v="Genera molestia en clientes por reportar a oficina el cambio y proceso operativo de varias personas en oficinas"/>
    <m/>
    <x v="4"/>
    <x v="15"/>
    <s v="CAR"/>
    <x v="0"/>
    <s v="Diego Díaz / Vladimir Morillo"/>
    <s v="CONTABILIDAD Y SAP"/>
    <x v="1"/>
    <s v="No iniciado"/>
    <s v="Q2"/>
    <x v="2"/>
    <s v="Definición del proceso por parte de Contabilidad y Auditoría"/>
    <s v="BAJA"/>
    <n v="1"/>
    <n v="4"/>
    <n v="1"/>
    <n v="550"/>
    <m/>
    <n v="2780"/>
    <m/>
    <m/>
    <d v="2024-04-01T00:00:00"/>
    <d v="2024-04-29T00:00:00"/>
    <d v="1900-01-27T00:00:00"/>
    <d v="2024-04-30T00:00:00"/>
    <d v="2024-05-14T00:00:00"/>
    <d v="2894-09-14T00:00:00"/>
    <d v="2024-05-15T00:00:00"/>
    <d v="2024-05-29T00:00:00"/>
    <m/>
    <m/>
    <n v="1"/>
    <n v="14"/>
    <s v="Vinculo con pedido que se contrapone de auditoría"/>
    <m/>
    <m/>
  </r>
  <r>
    <x v="0"/>
    <m/>
    <x v="3"/>
    <m/>
    <s v="Nuevo servicio de tarjetas v2.0"/>
    <s v="MXP 2.0"/>
    <m/>
    <s v="Nuevo servicio de tarjetas por api netcore"/>
    <m/>
    <x v="4"/>
    <x v="57"/>
    <s v="OPER"/>
    <x v="0"/>
    <s v="José Fernandez"/>
    <s v="OPERACIONES"/>
    <x v="1"/>
    <s v="No iniciado"/>
    <m/>
    <x v="2"/>
    <m/>
    <s v="ALTA"/>
    <n v="1"/>
    <n v="8"/>
    <n v="2"/>
    <n v="550"/>
    <m/>
    <n v="31380"/>
    <m/>
    <m/>
    <d v="2024-04-01T00:00:00"/>
    <d v="2024-05-27T00:00:00"/>
    <d v="1900-02-24T00:00:00"/>
    <d v="2024-05-28T00:00:00"/>
    <d v="2024-06-11T00:00:00"/>
    <d v="2895-04-26T00:00:00"/>
    <d v="2024-06-12T00:00:00"/>
    <d v="2024-07-10T00:00:00"/>
    <m/>
    <m/>
    <n v="2"/>
    <n v="28"/>
    <s v="Identificado Grupo de Soporte"/>
    <m/>
    <m/>
  </r>
  <r>
    <x v="0"/>
    <m/>
    <x v="3"/>
    <m/>
    <s v="Ventas de Producto por formas de pago"/>
    <m/>
    <m/>
    <s v="Nuevo Requerimiento (Ya levantado a Juan Daniel, documentación adjunta)_x000a_"/>
    <m/>
    <x v="0"/>
    <x v="1"/>
    <s v="REGIONAL"/>
    <x v="1"/>
    <s v="Davis Nuñez"/>
    <s v="CL"/>
    <x v="0"/>
    <s v="No iniciado"/>
    <m/>
    <x v="2"/>
    <s v="Ambiente de pruebas de EDENRED."/>
    <s v="MEDIA"/>
    <n v="1"/>
    <n v="3"/>
    <n v="1"/>
    <n v="625"/>
    <m/>
    <n v="1875"/>
    <m/>
    <m/>
    <d v="2024-06-03T00:00:00"/>
    <d v="2024-06-14T00:00:00"/>
    <e v="#REF!"/>
    <d v="2024-06-17T00:00:00"/>
    <d v="2024-06-21T00:00:00"/>
    <d v="2895-09-23T00:00:00"/>
    <d v="2024-06-24T00:00:00"/>
    <d v="2024-06-28T00:00:00"/>
    <m/>
    <m/>
    <n v="0.75"/>
    <n v="4"/>
    <m/>
    <m/>
    <m/>
  </r>
  <r>
    <x v="0"/>
    <m/>
    <x v="0"/>
    <s v="API Inyección v3"/>
    <s v="Upsell (Analítica)"/>
    <s v="MXP LEGACY_x000a_TRADE"/>
    <m/>
    <s v="Redcibir el TAG upselling dentro de inyección V3, para sistema de Analítica"/>
    <s v="ALTA"/>
    <x v="1"/>
    <x v="2"/>
    <s v="CAR"/>
    <x v="3"/>
    <s v="Daniel Barreno"/>
    <s v="TRANSFORMACIÓN DIGITAL"/>
    <x v="0"/>
    <s v="No iniciado"/>
    <s v="Q1"/>
    <x v="2"/>
    <s v="p17"/>
    <s v="MEDIA"/>
    <n v="1"/>
    <n v="2"/>
    <n v="1"/>
    <n v="550"/>
    <m/>
    <n v="1740"/>
    <m/>
    <m/>
    <d v="2024-03-25T00:00:00"/>
    <d v="2024-04-01T00:00:00"/>
    <n v="7"/>
    <d v="2024-04-01T00:00:00"/>
    <d v="2024-04-08T00:00:00"/>
    <n v="363071"/>
    <d v="2024-05-13T00:00:00"/>
    <d v="2024-04-08T00:00:00"/>
    <d v="2024-04-01T00:00:00"/>
    <d v="2024-04-15T00:00:00"/>
    <n v="0.5"/>
    <n v="-35"/>
    <s v="PROYECTO REGIONAL"/>
    <m/>
    <m/>
  </r>
  <r>
    <x v="2"/>
    <m/>
    <x v="7"/>
    <m/>
    <m/>
    <m/>
    <m/>
    <m/>
    <m/>
    <x v="4"/>
    <x v="8"/>
    <m/>
    <x v="6"/>
    <m/>
    <m/>
    <x v="3"/>
    <m/>
    <m/>
    <x v="4"/>
    <m/>
    <m/>
    <m/>
    <m/>
    <m/>
    <m/>
    <m/>
    <n v="640"/>
    <m/>
    <m/>
    <m/>
    <m/>
    <e v="#REF!"/>
    <m/>
    <m/>
    <d v="1899-12-30T00:00:00"/>
    <m/>
    <m/>
    <m/>
    <m/>
    <n v="0"/>
    <n v="0"/>
    <m/>
    <m/>
    <m/>
  </r>
  <r>
    <x v="0"/>
    <m/>
    <x v="1"/>
    <m/>
    <s v="Mantenimiento Colombia"/>
    <m/>
    <m/>
    <m/>
    <m/>
    <x v="1"/>
    <x v="3"/>
    <s v="REGIONAL"/>
    <x v="3"/>
    <s v="William Villegas"/>
    <s v="CO"/>
    <x v="0"/>
    <s v="En curso"/>
    <m/>
    <x v="3"/>
    <m/>
    <s v="MEDIA"/>
    <m/>
    <n v="40"/>
    <n v="1"/>
    <n v="475"/>
    <m/>
    <n v="19640"/>
    <m/>
    <m/>
    <d v="2024-03-01T00:00:00"/>
    <d v="2025-01-31T00:00:00"/>
    <e v="#REF!"/>
    <d v="2024-03-01T00:00:00"/>
    <d v="2025-01-31T00:00:00"/>
    <d v="2894-04-09T00:00:00"/>
    <m/>
    <m/>
    <m/>
    <m/>
    <n v="10"/>
    <n v="0"/>
    <m/>
    <m/>
    <m/>
  </r>
  <r>
    <x v="0"/>
    <m/>
    <x v="1"/>
    <m/>
    <s v="MCO-1. Activación Modulo Aceite quemado "/>
    <m/>
    <m/>
    <s v="Activación Modulo Aceite quemado"/>
    <m/>
    <x v="1"/>
    <x v="3"/>
    <s v="REGIONAL"/>
    <x v="3"/>
    <s v="William Villegas"/>
    <s v="CO"/>
    <x v="0"/>
    <s v="En curso"/>
    <n v="1"/>
    <x v="0"/>
    <m/>
    <s v="BAJA"/>
    <m/>
    <n v="1"/>
    <n v="1"/>
    <m/>
    <m/>
    <m/>
    <m/>
    <m/>
    <d v="2024-02-12T00:00:00"/>
    <d v="2024-02-23T00:00:00"/>
    <e v="#REF!"/>
    <d v="2024-02-27T00:00:00"/>
    <d v="2024-02-05T00:00:00"/>
    <d v="2893-03-23T00:00:00"/>
    <m/>
    <m/>
    <m/>
    <m/>
    <n v="0.25"/>
    <n v="0"/>
    <m/>
    <m/>
    <m/>
  </r>
  <r>
    <x v="0"/>
    <m/>
    <x v="4"/>
    <m/>
    <s v="Migración de Aplicativo de Reclutamiento a AKS"/>
    <m/>
    <m/>
    <s v="Coordinar en un AKS"/>
    <m/>
    <x v="0"/>
    <x v="0"/>
    <s v="DSI"/>
    <x v="4"/>
    <s v="Jhustin Vergara"/>
    <s v="VE"/>
    <x v="0"/>
    <s v="No iniciado"/>
    <m/>
    <x v="2"/>
    <m/>
    <s v="BAJA"/>
    <n v="1"/>
    <n v="2"/>
    <n v="1"/>
    <n v="550"/>
    <m/>
    <n v="1740"/>
    <m/>
    <m/>
    <d v="2024-04-01T00:00:00"/>
    <d v="2024-04-07T00:00:00"/>
    <e v="#REF!"/>
    <d v="2024-04-07T00:00:00"/>
    <d v="2024-04-10T00:00:00"/>
    <d v="2894-03-03T00:00:00"/>
    <d v="2024-04-10T00:00:00"/>
    <d v="2024-04-14T00:00:00"/>
    <m/>
    <m/>
    <n v="0.5"/>
    <n v="4"/>
    <m/>
    <m/>
    <m/>
  </r>
  <r>
    <x v="2"/>
    <m/>
    <x v="7"/>
    <m/>
    <m/>
    <m/>
    <m/>
    <m/>
    <m/>
    <x v="4"/>
    <x v="8"/>
    <m/>
    <x v="6"/>
    <m/>
    <m/>
    <x v="3"/>
    <m/>
    <m/>
    <x v="4"/>
    <m/>
    <m/>
    <m/>
    <m/>
    <m/>
    <m/>
    <m/>
    <n v="640"/>
    <m/>
    <m/>
    <m/>
    <m/>
    <e v="#REF!"/>
    <m/>
    <m/>
    <d v="1899-12-30T00:00:00"/>
    <m/>
    <m/>
    <m/>
    <m/>
    <n v="0"/>
    <n v="0"/>
    <m/>
    <m/>
    <m/>
  </r>
  <r>
    <x v="0"/>
    <m/>
    <x v="1"/>
    <m/>
    <s v="MCO-2. Horarios Mayores Contables"/>
    <m/>
    <m/>
    <m/>
    <m/>
    <x v="1"/>
    <x v="3"/>
    <s v="REGIONAL"/>
    <x v="3"/>
    <s v="William Villegas"/>
    <s v="CO"/>
    <x v="0"/>
    <s v="En curso"/>
    <m/>
    <x v="2"/>
    <m/>
    <s v="BAJA"/>
    <m/>
    <m/>
    <m/>
    <m/>
    <m/>
    <m/>
    <m/>
    <m/>
    <d v="2024-03-11T00:00:00"/>
    <m/>
    <e v="#REF!"/>
    <m/>
    <d v="2024-03-22T00:00:00"/>
    <d v="2024-03-22T00:00:00"/>
    <m/>
    <m/>
    <m/>
    <m/>
    <n v="0"/>
    <n v="0"/>
    <m/>
    <m/>
    <m/>
  </r>
  <r>
    <x v="0"/>
    <m/>
    <x v="1"/>
    <m/>
    <s v="MCO-3. Compras Bloqueo de Proveedor INT"/>
    <m/>
    <m/>
    <s v="Bloqueo del proveedor Inversiones INT para el ingreso de compras"/>
    <m/>
    <x v="0"/>
    <x v="3"/>
    <s v="REGIONAL"/>
    <x v="3"/>
    <s v="William Villegas"/>
    <s v="CO"/>
    <x v="0"/>
    <s v="No iniciado"/>
    <m/>
    <x v="0"/>
    <m/>
    <s v="BAJA"/>
    <m/>
    <m/>
    <m/>
    <m/>
    <m/>
    <m/>
    <m/>
    <m/>
    <m/>
    <m/>
    <e v="#REF!"/>
    <m/>
    <m/>
    <d v="1899-12-30T00:00:00"/>
    <m/>
    <m/>
    <m/>
    <m/>
    <n v="0"/>
    <n v="0"/>
    <m/>
    <m/>
    <m/>
  </r>
  <r>
    <x v="0"/>
    <m/>
    <x v="3"/>
    <m/>
    <s v="Mantenimiento Maxpoint"/>
    <m/>
    <m/>
    <s v="Mejoras y corrección bugs"/>
    <m/>
    <x v="0"/>
    <x v="3"/>
    <s v="DSI"/>
    <x v="2"/>
    <s v="Adrian Gadja"/>
    <s v="AR"/>
    <x v="0"/>
    <s v="En curso"/>
    <m/>
    <x v="0"/>
    <m/>
    <s v="MEDIA"/>
    <n v="1"/>
    <n v="8"/>
    <n v="3"/>
    <n v="550"/>
    <m/>
    <n v="13200"/>
    <m/>
    <m/>
    <d v="2024-01-01T00:00:00"/>
    <d v="2024-04-12T00:00:00"/>
    <e v="#REF!"/>
    <d v="2024-04-15T00:00:00"/>
    <d v="2024-04-19T00:00:00"/>
    <d v="2894-05-07T00:00:00"/>
    <d v="2024-04-22T00:00:00"/>
    <d v="2024-04-26T00:00:00"/>
    <m/>
    <m/>
    <n v="2"/>
    <n v="4"/>
    <m/>
    <m/>
    <m/>
  </r>
  <r>
    <x v="0"/>
    <m/>
    <x v="3"/>
    <m/>
    <s v="Migración de Wendys al MaxPoint Legacy"/>
    <m/>
    <m/>
    <s v="Migración de Wendys al MaxPoint Legacy"/>
    <m/>
    <x v="0"/>
    <x v="0"/>
    <s v="REGIONAL"/>
    <x v="2"/>
    <s v="Adrian Gadja"/>
    <s v="AR"/>
    <x v="0"/>
    <s v="No iniciado"/>
    <m/>
    <x v="2"/>
    <s v="Compra de nuevos POS"/>
    <s v="MEDIA"/>
    <n v="1"/>
    <n v="10"/>
    <n v="3"/>
    <n v="550"/>
    <m/>
    <n v="16500"/>
    <m/>
    <m/>
    <d v="2024-06-03T00:00:00"/>
    <d v="2024-06-28T00:00:00"/>
    <e v="#REF!"/>
    <d v="2024-07-01T00:00:00"/>
    <d v="2024-07-05T00:00:00"/>
    <d v="2896-01-13T00:00:00"/>
    <d v="2024-07-08T00:00:00"/>
    <d v="2024-07-12T00:00:00"/>
    <m/>
    <m/>
    <n v="2.5"/>
    <n v="4"/>
    <m/>
    <m/>
    <m/>
  </r>
  <r>
    <x v="0"/>
    <m/>
    <x v="3"/>
    <m/>
    <s v="Topes en Descuentos"/>
    <m/>
    <m/>
    <s v="Validación para el descuentos por colaborador, se valida con el serviciowebsir. (validar el total por mes)"/>
    <m/>
    <x v="0"/>
    <x v="1"/>
    <s v="REGIONAL"/>
    <x v="1"/>
    <s v="Davis Nuñez"/>
    <s v="CL"/>
    <x v="0"/>
    <s v="No iniciado"/>
    <m/>
    <x v="1"/>
    <s v="Dependencia campo en SIR de validación, enpoints consulta y actualización._x000a_Confirmar anulación?"/>
    <s v="MEDIA"/>
    <n v="1"/>
    <n v="3"/>
    <n v="1"/>
    <n v="625"/>
    <m/>
    <n v="1875"/>
    <m/>
    <m/>
    <d v="2024-07-01T00:00:00"/>
    <d v="2024-07-12T00:00:00"/>
    <e v="#REF!"/>
    <d v="2024-07-15T00:00:00"/>
    <d v="2024-07-19T00:00:00"/>
    <d v="2896-05-04T00:00:00"/>
    <d v="2024-07-22T00:00:00"/>
    <d v="2024-07-26T00:00:00"/>
    <m/>
    <m/>
    <n v="0.75"/>
    <n v="4"/>
    <m/>
    <m/>
    <m/>
  </r>
  <r>
    <x v="0"/>
    <m/>
    <x v="3"/>
    <m/>
    <s v="LOPDP - Automatización del proceso de revocatoria de uso de datos personales"/>
    <s v="MXP 2.0"/>
    <m/>
    <m/>
    <m/>
    <x v="4"/>
    <x v="58"/>
    <s v="CAR"/>
    <x v="0"/>
    <s v="Alex Ponce"/>
    <s v="IT"/>
    <x v="1"/>
    <s v="No iniciado"/>
    <m/>
    <x v="2"/>
    <m/>
    <s v="BAJA"/>
    <m/>
    <n v="6"/>
    <n v="1"/>
    <n v="550"/>
    <m/>
    <n v="3880"/>
    <m/>
    <m/>
    <d v="2024-04-08T00:00:00"/>
    <d v="2024-05-20T00:00:00"/>
    <e v="#REF!"/>
    <d v="2024-05-21T00:00:00"/>
    <d v="2024-06-04T00:00:00"/>
    <d v="2895-03-01T00:00:00"/>
    <d v="2024-06-05T00:00:00"/>
    <d v="2024-06-19T00:00:00"/>
    <m/>
    <m/>
    <n v="1.5"/>
    <n v="14"/>
    <m/>
    <m/>
    <m/>
  </r>
  <r>
    <x v="0"/>
    <m/>
    <x v="1"/>
    <m/>
    <s v="Incluir una alerta cuando ingresen un activo ya utilizado en una orden de trabajo"/>
    <m/>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x v="4"/>
    <x v="50"/>
    <s v="CAR"/>
    <x v="0"/>
    <s v="MIguel Lincango"/>
    <s v="MTO Restaurantes"/>
    <x v="1"/>
    <s v="En curso"/>
    <m/>
    <x v="0"/>
    <m/>
    <s v="BAJA"/>
    <m/>
    <n v="2"/>
    <n v="2"/>
    <n v="400"/>
    <m/>
    <n v="2240"/>
    <m/>
    <m/>
    <d v="2024-02-26T00:00:00"/>
    <d v="2024-03-08T00:00:00"/>
    <e v="#REF!"/>
    <d v="2024-03-12T00:00:00"/>
    <d v="2024-03-19T00:00:00"/>
    <d v="2893-08-11T00:00:00"/>
    <m/>
    <m/>
    <m/>
    <m/>
    <n v="0.5"/>
    <n v="0"/>
    <m/>
    <m/>
    <m/>
  </r>
  <r>
    <x v="0"/>
    <m/>
    <x v="1"/>
    <m/>
    <s v="Integración SIR con SAGE"/>
    <m/>
    <m/>
    <s v="Integración de modulo de compras de SIR con SAGE (ERP Europa)"/>
    <m/>
    <x v="0"/>
    <x v="59"/>
    <s v="REGIONAL"/>
    <x v="5"/>
    <s v="Jeison Caguana"/>
    <s v="ES"/>
    <x v="0"/>
    <s v="No iniciado"/>
    <m/>
    <x v="1"/>
    <m/>
    <s v="ALTA"/>
    <m/>
    <n v="7"/>
    <n v="2"/>
    <n v="450"/>
    <m/>
    <n v="6940"/>
    <m/>
    <m/>
    <d v="2024-05-15T00:00:00"/>
    <d v="2024-07-10T00:00:00"/>
    <e v="#REF!"/>
    <d v="2024-07-10T00:00:00"/>
    <d v="2024-07-24T00:00:00"/>
    <d v="2896-04-04T00:00:00"/>
    <m/>
    <m/>
    <m/>
    <m/>
    <n v="1.75"/>
    <n v="0"/>
    <m/>
    <m/>
    <m/>
  </r>
  <r>
    <x v="2"/>
    <m/>
    <x v="7"/>
    <m/>
    <s v="Interfaz SAP-SIR: Mayores Contables y Usos y Consumos"/>
    <m/>
    <m/>
    <m/>
    <m/>
    <x v="4"/>
    <x v="8"/>
    <m/>
    <x v="3"/>
    <m/>
    <m/>
    <x v="3"/>
    <m/>
    <m/>
    <x v="4"/>
    <m/>
    <m/>
    <m/>
    <m/>
    <m/>
    <m/>
    <m/>
    <n v="640"/>
    <m/>
    <m/>
    <m/>
    <m/>
    <e v="#REF!"/>
    <m/>
    <m/>
    <d v="1899-12-30T00:00:00"/>
    <m/>
    <m/>
    <m/>
    <m/>
    <n v="0"/>
    <n v="0"/>
    <m/>
    <m/>
    <m/>
  </r>
  <r>
    <x v="2"/>
    <m/>
    <x v="7"/>
    <m/>
    <s v="Interfaz SAP-SIR: Mayores Contables y Usos y Consumos"/>
    <m/>
    <m/>
    <m/>
    <m/>
    <x v="4"/>
    <x v="8"/>
    <m/>
    <x v="0"/>
    <m/>
    <m/>
    <x v="3"/>
    <m/>
    <m/>
    <x v="4"/>
    <m/>
    <m/>
    <m/>
    <m/>
    <m/>
    <m/>
    <m/>
    <n v="640"/>
    <m/>
    <m/>
    <m/>
    <m/>
    <e v="#REF!"/>
    <m/>
    <m/>
    <d v="1899-12-30T00:00:00"/>
    <m/>
    <m/>
    <m/>
    <m/>
    <n v="0"/>
    <n v="0"/>
    <m/>
    <m/>
    <m/>
  </r>
  <r>
    <x v="0"/>
    <m/>
    <x v="1"/>
    <m/>
    <s v="Mantenimiento España"/>
    <m/>
    <m/>
    <m/>
    <m/>
    <x v="0"/>
    <x v="3"/>
    <s v="REGIONAL"/>
    <x v="5"/>
    <s v="Jeison Caguana"/>
    <s v="ES"/>
    <x v="0"/>
    <s v="En curso"/>
    <m/>
    <x v="3"/>
    <m/>
    <s v="MEDIA"/>
    <m/>
    <n v="40"/>
    <n v="1"/>
    <n v="375"/>
    <m/>
    <n v="15640"/>
    <m/>
    <m/>
    <d v="2024-03-01T00:00:00"/>
    <d v="2025-01-31T00:00:00"/>
    <e v="#REF!"/>
    <d v="2024-03-01T00:00:00"/>
    <d v="2025-01-31T00:00:00"/>
    <d v="2894-04-09T00:00:00"/>
    <m/>
    <m/>
    <m/>
    <m/>
    <n v="10"/>
    <n v="0"/>
    <m/>
    <m/>
    <m/>
  </r>
  <r>
    <x v="0"/>
    <m/>
    <x v="1"/>
    <m/>
    <s v="MES-1. Bloqueo de costos proveedor"/>
    <m/>
    <m/>
    <s v="Configuración por proveedor y cuidad para el bloqueo de costo en compras"/>
    <m/>
    <x v="0"/>
    <x v="3"/>
    <s v="REGIONAL"/>
    <x v="5"/>
    <s v="Jeison Caguana"/>
    <s v="ES"/>
    <x v="0"/>
    <s v="Identificado"/>
    <m/>
    <x v="0"/>
    <m/>
    <s v="BAJA"/>
    <m/>
    <n v="1"/>
    <n v="1"/>
    <m/>
    <m/>
    <m/>
    <m/>
    <m/>
    <d v="2024-03-11T00:00:00"/>
    <d v="2024-03-22T00:00:00"/>
    <m/>
    <d v="3024-03-26T00:00:00"/>
    <d v="2024-04-02T00:00:00"/>
    <d v="9893-11-28T00:00:00"/>
    <m/>
    <m/>
    <m/>
    <m/>
    <n v="0.25"/>
    <n v="0"/>
    <m/>
    <m/>
    <m/>
  </r>
  <r>
    <x v="0"/>
    <m/>
    <x v="4"/>
    <m/>
    <s v="Sistema Aprobaciones OCs: Fase 1 "/>
    <m/>
    <m/>
    <s v="Nuevo Requerimiento"/>
    <m/>
    <x v="0"/>
    <x v="0"/>
    <s v="REGIONAL"/>
    <x v="1"/>
    <s v="Davis Nuñez"/>
    <s v="CL"/>
    <x v="0"/>
    <s v="iniciado"/>
    <s v="Q1"/>
    <x v="0"/>
    <s v="N/A"/>
    <s v="BAJA"/>
    <m/>
    <n v="10"/>
    <n v="1"/>
    <n v="550"/>
    <m/>
    <n v="5500"/>
    <m/>
    <m/>
    <d v="2024-01-14T00:00:00"/>
    <d v="2024-03-14T00:00:00"/>
    <e v="#REF!"/>
    <d v="2024-03-14T00:00:00"/>
    <d v="2024-03-28T00:00:00"/>
    <d v="2893-09-03T00:00:00"/>
    <d v="2024-03-28T00:00:00"/>
    <d v="2024-04-07T00:00:00"/>
    <m/>
    <m/>
    <n v="2.5"/>
    <n v="10"/>
    <m/>
    <m/>
    <m/>
  </r>
  <r>
    <x v="0"/>
    <m/>
    <x v="4"/>
    <m/>
    <s v="Sistema de Conciliaciones: Depósitos (SIR-Bancos Chile)"/>
    <m/>
    <m/>
    <s v="Conciliacion de depositos de Tiendas vs lo Reflejado en Bancos"/>
    <m/>
    <x v="0"/>
    <x v="0"/>
    <s v="REGIONAL"/>
    <x v="1"/>
    <s v="Davis Nuñez"/>
    <s v="CL"/>
    <x v="0"/>
    <s v="No iniciado"/>
    <s v="Q2"/>
    <x v="2"/>
    <s v="N/A"/>
    <s v="MEDIA"/>
    <m/>
    <n v="12"/>
    <n v="1"/>
    <n v="550"/>
    <m/>
    <n v="7240"/>
    <m/>
    <m/>
    <d v="2024-07-01T00:00:00"/>
    <d v="2024-08-31T00:00:00"/>
    <e v="#REF!"/>
    <d v="2024-08-31T00:00:00"/>
    <d v="2024-09-07T00:00:00"/>
    <d v="2897-05-18T00:00:00"/>
    <d v="2024-09-07T00:00:00"/>
    <d v="2024-09-14T00:00:00"/>
    <m/>
    <m/>
    <n v="3"/>
    <n v="7"/>
    <m/>
    <m/>
    <m/>
  </r>
  <r>
    <x v="0"/>
    <m/>
    <x v="4"/>
    <m/>
    <s v="Sistema de Conciliaciones: Switch Transaccional vs Venta"/>
    <m/>
    <m/>
    <s v="Transbank es el banco de Tarjetas: Hassar Intermediario de Switch Transaccional de Chile contra SIR y BI"/>
    <m/>
    <x v="0"/>
    <x v="0"/>
    <s v="REGIONAL"/>
    <x v="1"/>
    <s v="Davis Nuñez"/>
    <s v="CL"/>
    <x v="0"/>
    <s v="No iniciado"/>
    <s v="Q3"/>
    <x v="1"/>
    <s v="Sistema de Conciliaciones"/>
    <s v="ALTA"/>
    <m/>
    <n v="12"/>
    <n v="1"/>
    <n v="550"/>
    <m/>
    <n v="7240"/>
    <m/>
    <m/>
    <d v="2024-08-01T00:00:00"/>
    <d v="2024-10-14T00:00:00"/>
    <e v="#REF!"/>
    <d v="2024-10-14T00:00:00"/>
    <d v="2024-10-21T00:00:00"/>
    <d v="2898-05-05T00:00:00"/>
    <d v="2024-10-21T00:00:00"/>
    <d v="2024-11-01T00:00:00"/>
    <m/>
    <m/>
    <n v="3"/>
    <n v="11"/>
    <m/>
    <m/>
    <m/>
  </r>
  <r>
    <x v="0"/>
    <m/>
    <x v="4"/>
    <m/>
    <s v="Cajas Chicas Administrativas: Control Fondos por Rendir Chile"/>
    <m/>
    <m/>
    <s v="Cambio de Logica de Cajas Chicas, Fondos por Rendir para justificar valores en lugar de pedir reposición de Cajas Chicas"/>
    <m/>
    <x v="0"/>
    <x v="0"/>
    <s v="REGIONAL"/>
    <x v="1"/>
    <s v="Davis Nuñez"/>
    <s v="CL"/>
    <x v="0"/>
    <s v="No iniciado"/>
    <s v="Q2"/>
    <x v="2"/>
    <m/>
    <s v="BAJA"/>
    <m/>
    <n v="2"/>
    <n v="1"/>
    <n v="550"/>
    <m/>
    <n v="1740"/>
    <m/>
    <m/>
    <s v="01/0/2024"/>
    <d v="2024-11-01T00:00:00"/>
    <e v="#REF!"/>
    <d v="2024-11-01T00:00:00"/>
    <d v="2024-12-01T00:00:00"/>
    <d v="2898-10-19T00:00:00"/>
    <d v="2024-12-01T00:00:00"/>
    <d v="2024-12-07T00:00:00"/>
    <m/>
    <m/>
    <n v="0.5"/>
    <n v="6"/>
    <m/>
    <m/>
    <m/>
  </r>
  <r>
    <x v="0"/>
    <m/>
    <x v="4"/>
    <m/>
    <s v="Plataforma Elearning: Planta"/>
    <m/>
    <m/>
    <s v="herramienta que permita entrenar al personal operativo para ejecución de procesos productivos. - Relación con solicitud de capacitación otras marcas (Español)"/>
    <m/>
    <x v="4"/>
    <x v="54"/>
    <s v="PLANTA"/>
    <x v="0"/>
    <s v="Shuber Ahuirre"/>
    <s v="PLANTAS"/>
    <x v="1"/>
    <s v="No iniciado"/>
    <m/>
    <x v="3"/>
    <m/>
    <s v="ALTA"/>
    <m/>
    <n v="8"/>
    <n v="1"/>
    <n v="1000"/>
    <m/>
    <n v="8640"/>
    <n v="4000"/>
    <m/>
    <d v="2024-08-14T00:00:00"/>
    <d v="2024-09-21T00:00:00"/>
    <e v="#REF!"/>
    <d v="2024-09-21T00:00:00"/>
    <d v="2024-10-07T00:00:00"/>
    <d v="2897-11-11T00:00:00"/>
    <d v="2024-10-07T00:00:00"/>
    <d v="2024-10-21T00:00:00"/>
    <m/>
    <m/>
    <n v="2"/>
    <n v="14"/>
    <m/>
    <m/>
    <m/>
  </r>
  <r>
    <x v="0"/>
    <m/>
    <x v="0"/>
    <s v="API Inyección v3"/>
    <s v="Upsell (Analítica)"/>
    <s v="MXP LEGACY_x000a_TRADE"/>
    <m/>
    <s v="Redcibir el TAG upselling dentro de inyección V3, para sistema de Analítica"/>
    <s v="ALTA"/>
    <x v="4"/>
    <x v="2"/>
    <s v="CAR"/>
    <x v="0"/>
    <s v="Daniel Barreno"/>
    <s v="TRANSFORMACIÓN DIGITAL"/>
    <x v="0"/>
    <s v="No iniciado"/>
    <s v="Q1"/>
    <x v="2"/>
    <s v="p17"/>
    <s v="MEDIA"/>
    <n v="1"/>
    <n v="4"/>
    <n v="1"/>
    <n v="550"/>
    <m/>
    <n v="2840"/>
    <m/>
    <m/>
    <d v="2024-03-18T00:00:00"/>
    <d v="2024-03-25T00:00:00"/>
    <n v="7"/>
    <d v="2024-03-25T00:00:00"/>
    <d v="2024-04-01T00:00:00"/>
    <n v="363015"/>
    <d v="2024-04-01T00:00:00"/>
    <d v="2024-04-08T00:00:00"/>
    <d v="2024-06-01T00:00:00"/>
    <d v="2024-06-29T00:00:00"/>
    <n v="1"/>
    <n v="7"/>
    <s v="PROYECTO REGIONAL"/>
    <m/>
    <m/>
  </r>
  <r>
    <x v="0"/>
    <m/>
    <x v="4"/>
    <m/>
    <s v="Sistema de Conciliaciones: Facturas Electronica vs Venta"/>
    <m/>
    <m/>
    <s v="Consumo al Servicio de ACEPTA para Sacar las Facturas y hacer la comparación contra la data de Venta de MXP o BI Se necesita apoyo de ERP para incluir Bots y jalar la data de ACEPTA"/>
    <m/>
    <x v="0"/>
    <x v="0"/>
    <s v="REGIONAL"/>
    <x v="1"/>
    <s v="Davis Nuñez"/>
    <s v="CL"/>
    <x v="0"/>
    <s v="No iniciado"/>
    <s v="Q4"/>
    <x v="1"/>
    <s v="Sistema de Conciliaciones"/>
    <s v="MEDIA"/>
    <m/>
    <n v="12"/>
    <n v="1"/>
    <n v="550"/>
    <m/>
    <n v="7240"/>
    <m/>
    <m/>
    <d v="2024-08-01T00:00:00"/>
    <d v="2024-10-14T00:00:00"/>
    <d v="2024-10-14T00:00:00"/>
    <d v="2024-10-21T00:00:00"/>
    <d v="2024-10-21T00:00:00"/>
    <d v="2024-11-01T00:00:00"/>
    <d v="2024-10-21T00:00:00"/>
    <d v="2024-11-01T00:00:00"/>
    <m/>
    <m/>
    <n v="3"/>
    <n v="11"/>
    <m/>
    <m/>
    <m/>
  </r>
  <r>
    <x v="0"/>
    <m/>
    <x v="0"/>
    <s v="Cupones"/>
    <s v="Unificación de Cupones QR y Online"/>
    <s v="MXP LEGACY_x000a_TRADE"/>
    <m/>
    <s v="Mejorar la densidad de todos los códigos QR (cambiar)"/>
    <s v="BAJA"/>
    <x v="1"/>
    <x v="2"/>
    <s v="CAR"/>
    <x v="4"/>
    <s v="Daniel Barreno"/>
    <s v="TRANSFORMACIÓN DIGITAL"/>
    <x v="0"/>
    <s v="No iniciado"/>
    <e v="#N/A"/>
    <x v="3"/>
    <s v="p75"/>
    <s v="MEDIA"/>
    <n v="1"/>
    <n v="6"/>
    <n v="1"/>
    <n v="550"/>
    <m/>
    <n v="3940"/>
    <m/>
    <m/>
    <d v="2024-04-08T00:00:00"/>
    <d v="2024-04-15T00:00:00"/>
    <n v="7"/>
    <d v="2024-04-15T00:00:00"/>
    <d v="2024-04-22T00:00:00"/>
    <n v="363183"/>
    <d v="2024-04-22T00:00:00"/>
    <d v="2024-04-29T00:00:00"/>
    <d v="2024-05-01T00:00:00"/>
    <d v="2024-06-12T00:00:00"/>
    <n v="1.5"/>
    <n v="7"/>
    <s v="PROYECTO REGIONAL"/>
    <m/>
    <s v="x"/>
  </r>
  <r>
    <x v="0"/>
    <m/>
    <x v="4"/>
    <m/>
    <s v="Plataforma Elearning: Paises Chile"/>
    <m/>
    <m/>
    <s v="Nuevo Requerimiento - Levantar"/>
    <m/>
    <x v="0"/>
    <x v="0"/>
    <s v="REGIONAL"/>
    <x v="1"/>
    <s v="Davis Nuñez"/>
    <s v="CL"/>
    <x v="0"/>
    <s v="No iniciado"/>
    <s v="Q4"/>
    <x v="3"/>
    <s v="Proyecto Elearning"/>
    <s v="ALTA"/>
    <m/>
    <n v="8"/>
    <n v="2"/>
    <n v="550"/>
    <m/>
    <n v="8800"/>
    <n v="364"/>
    <m/>
    <d v="2024-05-20T00:00:00"/>
    <d v="2024-05-27T00:00:00"/>
    <e v="#REF!"/>
    <d v="2024-11-01T00:00:00"/>
    <d v="2024-11-30T00:00:00"/>
    <d v="2898-10-18T00:00:00"/>
    <d v="2024-11-30T00:00:00"/>
    <d v="2024-12-15T00:00:00"/>
    <m/>
    <m/>
    <n v="2"/>
    <n v="15"/>
    <m/>
    <m/>
    <m/>
  </r>
  <r>
    <x v="0"/>
    <m/>
    <x v="0"/>
    <s v="API Inyección v3"/>
    <s v="Upsell (Analítica)"/>
    <s v="MXP LEGACY_x000a_TRADE"/>
    <m/>
    <s v="Recibir el TAG upselling dentro de inyección V3, para sistema de Analítica"/>
    <s v="ALTA"/>
    <x v="1"/>
    <x v="2"/>
    <s v="CAR"/>
    <x v="2"/>
    <s v="Daniel Barreno"/>
    <s v="TRANSFORMACIÓN DIGITAL"/>
    <x v="0"/>
    <s v="No iniciado"/>
    <s v="Q1"/>
    <x v="2"/>
    <s v="p17"/>
    <s v="MEDIA"/>
    <n v="1"/>
    <n v="2"/>
    <n v="1"/>
    <n v="550"/>
    <m/>
    <n v="1740"/>
    <m/>
    <m/>
    <d v="2024-05-20T00:00:00"/>
    <d v="2024-05-27T00:00:00"/>
    <n v="7"/>
    <d v="2024-05-27T00:00:00"/>
    <d v="2024-06-03T00:00:00"/>
    <n v="363519"/>
    <d v="2024-06-03T00:00:00"/>
    <d v="2024-06-03T00:00:00"/>
    <d v="2024-05-01T00:00:00"/>
    <d v="2024-05-15T00:00:00"/>
    <n v="0.5"/>
    <n v="0"/>
    <s v="PROYECTO REGIONAL"/>
    <m/>
    <m/>
  </r>
  <r>
    <x v="1"/>
    <m/>
    <x v="3"/>
    <m/>
    <s v="LOPDP - Adaptación del proceso de motorizados a la master data de clientes"/>
    <m/>
    <m/>
    <m/>
    <m/>
    <x v="4"/>
    <x v="8"/>
    <s v="DSI"/>
    <x v="0"/>
    <m/>
    <s v="DSI"/>
    <x v="0"/>
    <m/>
    <m/>
    <x v="0"/>
    <m/>
    <s v="BAJA"/>
    <m/>
    <m/>
    <m/>
    <m/>
    <m/>
    <m/>
    <m/>
    <m/>
    <m/>
    <m/>
    <e v="#REF!"/>
    <m/>
    <m/>
    <d v="1899-12-30T00:00:00"/>
    <m/>
    <m/>
    <m/>
    <m/>
    <n v="0"/>
    <n v="0"/>
    <m/>
    <m/>
    <m/>
  </r>
  <r>
    <x v="2"/>
    <m/>
    <x v="7"/>
    <m/>
    <m/>
    <m/>
    <m/>
    <m/>
    <m/>
    <x v="4"/>
    <x v="8"/>
    <m/>
    <x v="6"/>
    <m/>
    <m/>
    <x v="3"/>
    <m/>
    <m/>
    <x v="4"/>
    <m/>
    <m/>
    <m/>
    <m/>
    <m/>
    <m/>
    <m/>
    <n v="640"/>
    <m/>
    <m/>
    <m/>
    <m/>
    <e v="#REF!"/>
    <m/>
    <m/>
    <d v="1899-12-30T00:00:00"/>
    <m/>
    <m/>
    <m/>
    <m/>
    <n v="0"/>
    <n v="0"/>
    <m/>
    <m/>
    <m/>
  </r>
  <r>
    <x v="0"/>
    <m/>
    <x v="1"/>
    <m/>
    <s v="Mantenimiento Venezuela"/>
    <m/>
    <m/>
    <m/>
    <m/>
    <x v="1"/>
    <x v="3"/>
    <s v="REGIONAL"/>
    <x v="4"/>
    <s v="Jhustin Vergara"/>
    <s v="VE"/>
    <x v="0"/>
    <s v="En curso"/>
    <m/>
    <x v="3"/>
    <m/>
    <s v="MEDIA"/>
    <m/>
    <n v="40"/>
    <n v="1"/>
    <n v="450"/>
    <m/>
    <n v="18640"/>
    <m/>
    <m/>
    <d v="2024-03-01T00:00:00"/>
    <d v="2025-01-31T00:00:00"/>
    <e v="#REF!"/>
    <d v="2024-03-01T00:00:00"/>
    <d v="2025-01-31T00:00:00"/>
    <d v="2894-04-09T00:00:00"/>
    <m/>
    <m/>
    <m/>
    <m/>
    <n v="10"/>
    <n v="0"/>
    <m/>
    <m/>
    <m/>
  </r>
  <r>
    <x v="0"/>
    <m/>
    <x v="1"/>
    <m/>
    <s v="Migración de Aplicativo Integracion KFC a SIR Integration"/>
    <m/>
    <m/>
    <s v="Revisión de Zetas Fiscales, validación de Asientos Contables de Ventas de SIR"/>
    <m/>
    <x v="0"/>
    <x v="0"/>
    <s v="REGIONAL"/>
    <x v="4"/>
    <s v="Jhustin Vergara"/>
    <s v="VE"/>
    <x v="0"/>
    <s v="No iniciado"/>
    <m/>
    <x v="2"/>
    <m/>
    <s v="ALTA"/>
    <m/>
    <n v="5"/>
    <n v="2"/>
    <n v="400"/>
    <m/>
    <n v="4640"/>
    <m/>
    <m/>
    <d v="2024-05-15T00:00:00"/>
    <d v="2024-07-10T00:00:00"/>
    <e v="#REF!"/>
    <d v="2024-07-10T00:00:00"/>
    <d v="2024-07-24T00:00:00"/>
    <d v="2896-04-04T00:00:00"/>
    <m/>
    <m/>
    <m/>
    <m/>
    <n v="1.25"/>
    <n v="0"/>
    <m/>
    <m/>
    <m/>
  </r>
  <r>
    <x v="0"/>
    <m/>
    <x v="1"/>
    <m/>
    <s v="MVE-1. Homologación Reporte Inventario"/>
    <m/>
    <m/>
    <s v="Homologar con Ecuador la columna de diferencia en el registro de inventario de SIR (revisar si va directo a soporte)"/>
    <m/>
    <x v="0"/>
    <x v="3"/>
    <s v="REGIONAL"/>
    <x v="4"/>
    <s v="Jhustin Vergara"/>
    <s v="VE"/>
    <x v="0"/>
    <s v="No iniciado"/>
    <m/>
    <x v="2"/>
    <m/>
    <s v="BAJA"/>
    <m/>
    <n v="2"/>
    <n v="1"/>
    <m/>
    <m/>
    <m/>
    <m/>
    <m/>
    <d v="2024-03-25T00:00:00"/>
    <d v="2024-04-05T00:00:00"/>
    <e v="#REF!"/>
    <d v="2024-04-09T00:00:00"/>
    <d v="2024-04-16T00:00:00"/>
    <d v="2894-03-23T00:00:00"/>
    <m/>
    <m/>
    <m/>
    <m/>
    <n v="0.5"/>
    <n v="0"/>
    <m/>
    <m/>
    <m/>
  </r>
  <r>
    <x v="1"/>
    <m/>
    <x v="1"/>
    <m/>
    <s v="Separación del diario de ventas (interfaz locales SIR a SAP)"/>
    <m/>
    <m/>
    <m/>
    <m/>
    <x v="4"/>
    <x v="44"/>
    <s v="CAR"/>
    <x v="0"/>
    <s v="Diego Díaz"/>
    <s v="CONTABILIDAD"/>
    <x v="0"/>
    <s v="Pruebas"/>
    <m/>
    <x v="0"/>
    <m/>
    <s v="ALTA"/>
    <m/>
    <n v="1"/>
    <n v="4"/>
    <n v="550"/>
    <m/>
    <n v="2200"/>
    <m/>
    <m/>
    <d v="2024-01-15T00:00:00"/>
    <d v="2024-01-26T00:00:00"/>
    <e v="#REF!"/>
    <d v="2024-03-01T00:00:00"/>
    <d v="2024-03-08T00:00:00"/>
    <d v="2893-05-15T00:00:00"/>
    <m/>
    <m/>
    <m/>
    <m/>
    <n v="0.25"/>
    <n v="0"/>
    <m/>
    <m/>
    <m/>
  </r>
  <r>
    <x v="1"/>
    <m/>
    <x v="3"/>
    <m/>
    <s v="LOPDP - Adaptación del proceso de cupones app a la master data de clientes"/>
    <m/>
    <m/>
    <m/>
    <m/>
    <x v="4"/>
    <x v="8"/>
    <s v="DSI"/>
    <x v="0"/>
    <m/>
    <s v="DSI"/>
    <x v="0"/>
    <m/>
    <m/>
    <x v="0"/>
    <m/>
    <s v="BAJA"/>
    <m/>
    <m/>
    <m/>
    <m/>
    <m/>
    <m/>
    <m/>
    <m/>
    <m/>
    <m/>
    <e v="#REF!"/>
    <m/>
    <m/>
    <d v="1899-12-30T00:00:00"/>
    <m/>
    <m/>
    <m/>
    <m/>
    <n v="0"/>
    <n v="0"/>
    <m/>
    <m/>
    <m/>
  </r>
  <r>
    <x v="0"/>
    <m/>
    <x v="2"/>
    <m/>
    <s v="Creación Empresas: FAMILY OFFICE"/>
    <m/>
    <m/>
    <s v="Creación de 72 empresas de Servicios en SAP"/>
    <m/>
    <x v="4"/>
    <x v="60"/>
    <s v="CAR"/>
    <x v="0"/>
    <s v="Amparo Aleman"/>
    <s v="TESORERÍA"/>
    <x v="1"/>
    <s v="No iniciado"/>
    <s v="Q2"/>
    <x v="2"/>
    <m/>
    <s v="ALTA"/>
    <n v="1"/>
    <n v="1"/>
    <n v="1"/>
    <n v="19305"/>
    <n v="12600"/>
    <n v="31905"/>
    <n v="12600"/>
    <m/>
    <d v="2024-03-07T00:00:00"/>
    <d v="2024-06-07T00:00:00"/>
    <n v="92"/>
    <d v="2024-03-28T00:00:00"/>
    <d v="2024-06-28T00:00:00"/>
    <n v="92"/>
    <d v="2024-04-07T00:00:00"/>
    <d v="2024-06-28T00:00:00"/>
    <m/>
    <m/>
    <n v="0.25"/>
    <n v="82"/>
    <m/>
    <m/>
    <m/>
  </r>
  <r>
    <x v="1"/>
    <m/>
    <x v="1"/>
    <m/>
    <s v="Carga de Compras Automaticas de acuerdo a Cronograma"/>
    <m/>
    <m/>
    <s v="Carga Automatica de Compras a SIR (Estaba listo pendiente salir a Producción)"/>
    <m/>
    <x v="4"/>
    <x v="33"/>
    <s v="CAR"/>
    <x v="0"/>
    <s v="Diego Díaz / Vladimir Morillo"/>
    <s v="CONTABILIDAD"/>
    <x v="0"/>
    <s v="Pruebas"/>
    <m/>
    <x v="2"/>
    <m/>
    <s v="BAJA"/>
    <m/>
    <n v="2"/>
    <n v="1"/>
    <n v="400"/>
    <m/>
    <n v="1440"/>
    <m/>
    <m/>
    <m/>
    <m/>
    <e v="#REF!"/>
    <d v="2024-03-15T00:00:00"/>
    <d v="2024-04-15T00:00:00"/>
    <d v="2893-09-28T00:00:00"/>
    <m/>
    <m/>
    <m/>
    <m/>
    <n v="0.5"/>
    <n v="0"/>
    <m/>
    <m/>
    <m/>
  </r>
  <r>
    <x v="0"/>
    <m/>
    <x v="2"/>
    <m/>
    <s v="Vaciado de materiales en Centro de Transito - SAP"/>
    <m/>
    <m/>
    <s v="Consumo sea totalmente Automatico, hay un job que corre en automático, todos los dias 1 pax, baja disponible e49,e41, e20, e51, zmmtansito trx._x000a_se quedan a dirio 1500 , y en zcosumo quedan 30. migo manual realizan cada responsable, en e20 pide lote y eso demora"/>
    <m/>
    <x v="4"/>
    <x v="24"/>
    <s v="PLANTA"/>
    <x v="0"/>
    <s v="Diego Díaz "/>
    <s v="CONTABILIDAD"/>
    <x v="1"/>
    <s v="No iniciado"/>
    <s v="Q2"/>
    <x v="2"/>
    <m/>
    <s v="MEDIA"/>
    <n v="1"/>
    <n v="1"/>
    <n v="1"/>
    <n v="1100"/>
    <m/>
    <n v="1100"/>
    <m/>
    <m/>
    <m/>
    <m/>
    <n v="0"/>
    <m/>
    <m/>
    <n v="0"/>
    <m/>
    <m/>
    <m/>
    <m/>
    <n v="0.25"/>
    <n v="0"/>
    <m/>
    <m/>
    <m/>
  </r>
  <r>
    <x v="0"/>
    <m/>
    <x v="1"/>
    <m/>
    <s v="Devoluciones - Agregar observaciones planta"/>
    <m/>
    <m/>
    <m/>
    <m/>
    <x v="4"/>
    <x v="3"/>
    <s v="DSI"/>
    <x v="0"/>
    <s v="Mauricio Andrade"/>
    <s v="DSI"/>
    <x v="1"/>
    <s v="No iniciado"/>
    <m/>
    <x v="2"/>
    <m/>
    <s v="BAJA"/>
    <m/>
    <n v="2"/>
    <n v="1"/>
    <n v="400"/>
    <m/>
    <n v="1440"/>
    <m/>
    <m/>
    <d v="2024-04-15T00:00:00"/>
    <d v="2024-04-26T00:00:00"/>
    <e v="#REF!"/>
    <d v="2024-04-30T00:00:00"/>
    <d v="2024-05-07T00:00:00"/>
    <d v="2894-09-07T00:00:00"/>
    <m/>
    <m/>
    <m/>
    <m/>
    <n v="0.5"/>
    <n v="0"/>
    <m/>
    <m/>
    <m/>
  </r>
  <r>
    <x v="0"/>
    <m/>
    <x v="1"/>
    <m/>
    <s v="Mantenimiento"/>
    <m/>
    <m/>
    <m/>
    <m/>
    <x v="4"/>
    <x v="3"/>
    <s v="DSI"/>
    <x v="0"/>
    <m/>
    <s v="DSI"/>
    <x v="0"/>
    <m/>
    <m/>
    <x v="3"/>
    <m/>
    <m/>
    <m/>
    <n v="40"/>
    <n v="1"/>
    <n v="190"/>
    <m/>
    <n v="8240"/>
    <m/>
    <m/>
    <d v="2024-03-01T00:00:00"/>
    <d v="2024-12-31T00:00:00"/>
    <e v="#REF!"/>
    <m/>
    <m/>
    <d v="1899-12-30T00:00:00"/>
    <m/>
    <m/>
    <m/>
    <m/>
    <n v="10"/>
    <n v="0"/>
    <m/>
    <m/>
    <m/>
  </r>
  <r>
    <x v="0"/>
    <m/>
    <x v="1"/>
    <m/>
    <s v="Contabilizar las ordentes de trabajo por activo q ingresan y ponerlas como reprocesos"/>
    <m/>
    <m/>
    <s v="El reproceso se da porque el tecnico va mas de dos veces a realizar un mismo trabajo en el mismo equipo, generando gastos inecesarios o paros prolongados de el equipo."/>
    <m/>
    <x v="4"/>
    <x v="50"/>
    <s v="CAR"/>
    <x v="0"/>
    <s v="MIguel Lincango"/>
    <s v="MTO Restaurantes"/>
    <x v="1"/>
    <s v="En curso"/>
    <m/>
    <x v="0"/>
    <m/>
    <s v="BAJA"/>
    <m/>
    <n v="2"/>
    <n v="2"/>
    <n v="400"/>
    <m/>
    <n v="2240"/>
    <m/>
    <m/>
    <d v="2024-03-11T00:00:00"/>
    <d v="2024-03-23T00:00:00"/>
    <e v="#REF!"/>
    <d v="2024-03-26T00:00:00"/>
    <d v="2024-04-02T00:00:00"/>
    <d v="2893-12-01T00:00:00"/>
    <m/>
    <m/>
    <m/>
    <m/>
    <n v="0.5"/>
    <n v="0"/>
    <m/>
    <m/>
    <m/>
  </r>
  <r>
    <x v="0"/>
    <m/>
    <x v="4"/>
    <m/>
    <s v="DGEN: Cargas masivas de documentos tributarios a SAP (boletas de honorarios, facturas de arriendo y servicios básicos)"/>
    <m/>
    <m/>
    <s v="Contabilización de Documentos que no pasan por ACEPTA"/>
    <m/>
    <x v="0"/>
    <x v="0"/>
    <s v="REGIONAL"/>
    <x v="1"/>
    <s v="Davis Nuñez"/>
    <s v="CL"/>
    <x v="0"/>
    <s v="No iniciado"/>
    <s v="Q4"/>
    <x v="3"/>
    <m/>
    <s v="ALTA"/>
    <m/>
    <n v="12"/>
    <n v="2"/>
    <n v="550"/>
    <m/>
    <n v="13840"/>
    <m/>
    <m/>
    <d v="2024-09-01T00:00:00"/>
    <d v="2024-11-14T00:00:00"/>
    <e v="#REF!"/>
    <d v="2024-11-14T00:00:00"/>
    <d v="2024-11-21T00:00:00"/>
    <d v="2899-01-08T00:00:00"/>
    <d v="2024-11-21T00:00:00"/>
    <s v="01/12/12024"/>
    <m/>
    <m/>
    <n v="3"/>
    <e v="#VALUE!"/>
    <m/>
    <m/>
    <m/>
  </r>
  <r>
    <x v="0"/>
    <m/>
    <x v="4"/>
    <m/>
    <s v="Integración Herramientas SatCon: Otros Negocios"/>
    <m/>
    <m/>
    <m/>
    <m/>
    <x v="0"/>
    <x v="61"/>
    <s v="CAR"/>
    <x v="0"/>
    <s v="Narciza Espin"/>
    <s v="OTROS NEGOCIOS"/>
    <x v="1"/>
    <s v="No iniciado"/>
    <s v="Q1"/>
    <x v="2"/>
    <m/>
    <s v="MEDIA"/>
    <m/>
    <n v="4"/>
    <n v="1"/>
    <n v="600"/>
    <m/>
    <n v="2400"/>
    <m/>
    <m/>
    <d v="2024-03-01T00:00:00"/>
    <d v="2024-04-01T00:00:00"/>
    <e v="#REF!"/>
    <d v="2024-04-01T00:00:00"/>
    <d v="2024-04-14T00:00:00"/>
    <d v="2894-01-24T00:00:00"/>
    <d v="2024-04-14T00:00:00"/>
    <d v="2024-05-01T00:00:00"/>
    <m/>
    <m/>
    <n v="1"/>
    <n v="17"/>
    <m/>
    <m/>
    <m/>
  </r>
  <r>
    <x v="0"/>
    <m/>
    <x v="3"/>
    <m/>
    <s v="Multimoneda en Maxpoint"/>
    <m/>
    <m/>
    <s v="Pantalla de cobro para facilitar el cobro en varias monedas (Actualmente la conversión se realiza de manera manual por fuera del sistema) - Efectivo - Trazabilidad de retiros por cada moneda."/>
    <m/>
    <x v="0"/>
    <x v="0"/>
    <s v="REGIONAL"/>
    <x v="4"/>
    <s v="Jhustin Vergara"/>
    <s v="VE"/>
    <x v="0"/>
    <s v="No iniciado"/>
    <m/>
    <x v="0"/>
    <m/>
    <s v="ALTA"/>
    <n v="1"/>
    <n v="4"/>
    <n v="3"/>
    <n v="550"/>
    <m/>
    <n v="6600"/>
    <m/>
    <m/>
    <d v="2024-03-04T00:00:00"/>
    <d v="2024-03-22T00:00:00"/>
    <e v="#REF!"/>
    <d v="2024-03-25T00:00:00"/>
    <d v="2024-03-29T00:00:00"/>
    <n v="363012"/>
    <d v="2024-04-01T00:00:00"/>
    <d v="2024-04-03T00:00:00"/>
    <m/>
    <m/>
    <n v="1"/>
    <n v="2"/>
    <m/>
    <m/>
    <m/>
  </r>
  <r>
    <x v="0"/>
    <m/>
    <x v="0"/>
    <s v="Multinube"/>
    <s v="Multinube para pedidos de domicilio"/>
    <m/>
    <m/>
    <s v="Implmentación de redundancia en servicio de nube de Google"/>
    <s v="BAJA"/>
    <x v="0"/>
    <x v="0"/>
    <s v="DSI"/>
    <x v="3"/>
    <s v="William Villegas"/>
    <s v="DSI"/>
    <x v="0"/>
    <s v="No iniciado"/>
    <m/>
    <x v="0"/>
    <s v="p31"/>
    <s v="MEDIA"/>
    <m/>
    <n v="2"/>
    <n v="1"/>
    <n v="550"/>
    <m/>
    <n v="1740"/>
    <m/>
    <m/>
    <d v="2024-03-04T00:00:00"/>
    <d v="2024-03-11T00:00:00"/>
    <n v="7"/>
    <d v="2024-03-11T00:00:00"/>
    <d v="2024-03-18T00:00:00"/>
    <n v="362903"/>
    <d v="2024-03-18T00:00:00"/>
    <d v="2024-03-18T00:00:00"/>
    <d v="2024-06-01T00:00:00"/>
    <d v="2024-06-15T00:00:00"/>
    <n v="0.5"/>
    <n v="0"/>
    <m/>
    <m/>
    <m/>
  </r>
  <r>
    <x v="0"/>
    <m/>
    <x v="3"/>
    <m/>
    <s v="Master Data de Clientes para MaxPoint y Kiosko"/>
    <m/>
    <m/>
    <s v="Base central de clientes para el uso en canales de MaxPoint y Kioskos."/>
    <m/>
    <x v="0"/>
    <x v="1"/>
    <s v="REGIONAL"/>
    <x v="4"/>
    <s v="Jhustin Vergara"/>
    <s v="VE"/>
    <x v="0"/>
    <s v="No iniciado"/>
    <m/>
    <x v="2"/>
    <s v="Validar con BigData para la integración de la master data de clientes."/>
    <s v="MEDIA"/>
    <n v="1"/>
    <n v="6"/>
    <n v="1"/>
    <n v="550"/>
    <m/>
    <n v="3300"/>
    <m/>
    <m/>
    <d v="2024-04-01T00:00:00"/>
    <d v="2024-04-26T00:00:00"/>
    <e v="#REF!"/>
    <d v="2024-04-29T00:00:00"/>
    <d v="2024-05-03T00:00:00"/>
    <d v="2894-08-27T00:00:00"/>
    <d v="2024-05-06T00:00:00"/>
    <d v="2024-05-08T00:00:00"/>
    <m/>
    <m/>
    <n v="1.5"/>
    <n v="2"/>
    <m/>
    <m/>
    <m/>
  </r>
  <r>
    <x v="0"/>
    <m/>
    <x v="3"/>
    <m/>
    <s v="KDS DragonTail Salon - Kiosko - Pickup"/>
    <m/>
    <m/>
    <m/>
    <m/>
    <x v="0"/>
    <x v="1"/>
    <s v="REGIONAL"/>
    <x v="4"/>
    <s v="Jhustin Vergara"/>
    <s v="VE"/>
    <x v="0"/>
    <s v="En curso"/>
    <m/>
    <x v="2"/>
    <s v="Realizar un piloto para adaptar a la operación al KDS"/>
    <s v="ALTA"/>
    <n v="1"/>
    <n v="8"/>
    <n v="1"/>
    <n v="550"/>
    <m/>
    <n v="4400"/>
    <m/>
    <m/>
    <d v="2024-05-06T00:00:00"/>
    <d v="2024-06-14T00:00:00"/>
    <e v="#REF!"/>
    <d v="2024-06-17T00:00:00"/>
    <d v="2024-06-21T00:00:00"/>
    <d v="2895-09-23T00:00:00"/>
    <d v="2024-06-24T00:00:00"/>
    <d v="2024-06-26T00:00:00"/>
    <m/>
    <m/>
    <n v="2"/>
    <n v="2"/>
    <m/>
    <m/>
    <m/>
  </r>
  <r>
    <x v="0"/>
    <m/>
    <x v="3"/>
    <m/>
    <s v="Mantenimiento MaxPoint"/>
    <m/>
    <m/>
    <s v="Mantenimiento y remediaciones en MaxPoint"/>
    <m/>
    <x v="0"/>
    <x v="3"/>
    <s v="DSI"/>
    <x v="3"/>
    <s v="William Villegas"/>
    <s v="CO"/>
    <x v="0"/>
    <s v="En curso"/>
    <m/>
    <x v="0"/>
    <m/>
    <s v="ALTA"/>
    <n v="1"/>
    <n v="8"/>
    <n v="3"/>
    <n v="625"/>
    <m/>
    <n v="15000"/>
    <m/>
    <m/>
    <d v="2024-01-01T00:00:00"/>
    <d v="2024-02-15T00:00:00"/>
    <e v="#REF!"/>
    <d v="2024-02-04T00:00:00"/>
    <d v="2024-02-09T00:00:00"/>
    <d v="2892-10-17T00:00:00"/>
    <d v="2024-02-11T00:00:00"/>
    <d v="2024-02-15T00:00:00"/>
    <m/>
    <m/>
    <n v="2"/>
    <n v="4"/>
    <m/>
    <m/>
    <m/>
  </r>
  <r>
    <x v="0"/>
    <m/>
    <x v="3"/>
    <m/>
    <s v="Integración de cupones empresariales"/>
    <s v="MXP 2.0"/>
    <m/>
    <s v="Se debe integrar a la versión de Ecuador la funcionalidad de cupones digitales desde la versión de Colombia_x000a_Compromiso Matriz Regional  (Ecuador)"/>
    <m/>
    <x v="4"/>
    <x v="41"/>
    <s v="OPER"/>
    <x v="0"/>
    <m/>
    <s v="OPERACIONES"/>
    <x v="1"/>
    <s v="No iniciado"/>
    <m/>
    <x v="1"/>
    <s v="A pesar de ser un requerimiento del 2023 y asociado a la matriz regional sin embargo, ya no existe fondos en este proyecto razón por la cual se debe incluir en la matriz de operaciones ?"/>
    <m/>
    <m/>
    <n v="8"/>
    <n v="1"/>
    <n v="550"/>
    <m/>
    <n v="4980"/>
    <m/>
    <m/>
    <d v="2024-08-05T00:00:00"/>
    <d v="2024-09-09T00:00:00"/>
    <d v="2024-08-06T00:00:00"/>
    <d v="2024-09-10T00:00:00"/>
    <d v="2024-09-24T00:00:00"/>
    <d v="2024-09-04T00:00:00"/>
    <d v="2024-09-25T00:00:00"/>
    <d v="2024-10-09T00:00:00"/>
    <m/>
    <m/>
    <n v="2"/>
    <n v="14"/>
    <m/>
    <m/>
    <m/>
  </r>
  <r>
    <x v="0"/>
    <m/>
    <x v="3"/>
    <m/>
    <s v="Mejora de UX del Turnero para estandarización regional"/>
    <s v="MXP 2.0"/>
    <m/>
    <s v="Mejoras en turnero_x000a_Uso en modo vertical_x000a_Turnero en pantalla completa_x000a_"/>
    <m/>
    <x v="4"/>
    <x v="43"/>
    <s v="OPER"/>
    <x v="0"/>
    <s v="Francisco López"/>
    <s v="OPERACIONES"/>
    <x v="1"/>
    <s v="No iniciado"/>
    <m/>
    <x v="2"/>
    <m/>
    <s v="MEDIA"/>
    <m/>
    <n v="6"/>
    <n v="1"/>
    <n v="550"/>
    <m/>
    <n v="3880"/>
    <m/>
    <m/>
    <d v="2024-06-03T00:00:00"/>
    <d v="2024-07-15T00:00:00"/>
    <e v="#REF!"/>
    <d v="2024-07-16T00:00:00"/>
    <d v="2024-07-30T00:00:00"/>
    <m/>
    <d v="2024-07-31T00:00:00"/>
    <d v="2024-08-14T00:00:00"/>
    <m/>
    <m/>
    <n v="1.5"/>
    <n v="14"/>
    <m/>
    <m/>
    <m/>
  </r>
  <r>
    <x v="0"/>
    <m/>
    <x v="3"/>
    <m/>
    <s v="Mejoras POS MaxPoint España"/>
    <m/>
    <m/>
    <s v="Lunch y mermas en MaxPoint / Nuevos reportes App MaxPoint"/>
    <m/>
    <x v="0"/>
    <x v="8"/>
    <s v="REGIONAL"/>
    <x v="5"/>
    <s v="Jeison Caguana"/>
    <s v="ES"/>
    <x v="0"/>
    <s v="No iniciado"/>
    <m/>
    <x v="1"/>
    <m/>
    <s v="BAJA"/>
    <n v="1"/>
    <n v="1"/>
    <n v="6"/>
    <n v="625"/>
    <m/>
    <n v="3750"/>
    <m/>
    <m/>
    <d v="2024-07-01T00:00:00"/>
    <d v="2024-08-02T00:00:00"/>
    <e v="#REF!"/>
    <d v="2024-08-04T00:00:00"/>
    <d v="2024-08-09T00:00:00"/>
    <d v="2896-10-12T00:00:00"/>
    <d v="2024-08-11T00:00:00"/>
    <d v="2024-08-13T00:00:00"/>
    <m/>
    <m/>
    <n v="0.25"/>
    <n v="2"/>
    <m/>
    <m/>
    <m/>
  </r>
  <r>
    <x v="0"/>
    <m/>
    <x v="3"/>
    <m/>
    <s v="Mejoras MaxPoint Azure ( integración de países)"/>
    <m/>
    <m/>
    <s v="Corrección de bugs pantalla de estaciones, botones, preguntas sugeridas, descuentos, y pantalla de replica."/>
    <m/>
    <x v="0"/>
    <x v="8"/>
    <s v="REGIONAL"/>
    <x v="5"/>
    <s v="Jeison Caguana"/>
    <s v="ES"/>
    <x v="0"/>
    <s v="No iniciado"/>
    <m/>
    <x v="1"/>
    <m/>
    <s v="BAJA"/>
    <n v="1"/>
    <n v="1"/>
    <n v="4"/>
    <n v="625"/>
    <m/>
    <n v="2500"/>
    <m/>
    <m/>
    <d v="2024-08-18T00:00:00"/>
    <d v="2024-09-13T00:00:00"/>
    <e v="#REF!"/>
    <d v="2024-09-16T00:00:00"/>
    <d v="2024-09-20T00:00:00"/>
    <d v="2897-09-20T00:00:00"/>
    <d v="2024-09-23T00:00:00"/>
    <d v="2024-09-25T00:00:00"/>
    <m/>
    <m/>
    <n v="0.25"/>
    <n v="2"/>
    <m/>
    <m/>
    <m/>
  </r>
  <r>
    <x v="0"/>
    <m/>
    <x v="0"/>
    <s v="DragonTail"/>
    <s v="Mxp Delivery - Dragon Tail (Envío de TrackingID)"/>
    <s v="MXP LEGACY_x000a_MXP 2.0_x000a_TRADE"/>
    <m/>
    <s v="Envío del  trackingID hacia TRADE para que se muestre el mapa de seguimiento de dragonTail desde la App"/>
    <s v="ALTA"/>
    <x v="0"/>
    <x v="0"/>
    <s v="DSI"/>
    <x v="3"/>
    <s v="Mychael Castro - José Fernandez"/>
    <s v="DSI"/>
    <x v="0"/>
    <s v="En curso"/>
    <m/>
    <x v="0"/>
    <s v="p8"/>
    <s v="ALTA"/>
    <n v="1"/>
    <n v="6"/>
    <n v="1"/>
    <n v="550"/>
    <m/>
    <n v="3940"/>
    <m/>
    <m/>
    <d v="2024-02-05T00:00:00"/>
    <d v="2024-03-04T00:00:00"/>
    <n v="28"/>
    <d v="2024-03-11T00:00:00"/>
    <d v="2024-03-11T00:00:00"/>
    <n v="362896"/>
    <d v="2024-03-18T00:00:00"/>
    <d v="2024-04-01T00:00:00"/>
    <d v="2024-04-01T00:00:00"/>
    <d v="2024-05-13T00:00:00"/>
    <n v="1.5"/>
    <n v="14"/>
    <s v="PROYECTO REGIONAL"/>
    <m/>
    <m/>
  </r>
  <r>
    <x v="0"/>
    <m/>
    <x v="3"/>
    <m/>
    <s v="Remedación Dynatrace"/>
    <m/>
    <m/>
    <s v="Implementación de Dynatrace, analisis  de resultados y ejecución del plan de acción."/>
    <m/>
    <x v="1"/>
    <x v="3"/>
    <s v="DSI"/>
    <x v="4"/>
    <s v="Jhustin Vergara"/>
    <s v="VE"/>
    <x v="0"/>
    <s v="No iniciado"/>
    <m/>
    <x v="1"/>
    <m/>
    <s v="ALTA"/>
    <n v="1"/>
    <n v="8"/>
    <n v="1"/>
    <n v="550"/>
    <m/>
    <n v="4400"/>
    <m/>
    <m/>
    <d v="2024-07-01T00:00:00"/>
    <d v="2024-08-16T00:00:00"/>
    <e v="#REF!"/>
    <d v="2024-08-19T00:00:00"/>
    <d v="2024-08-23T00:00:00"/>
    <d v="2897-02-08T00:00:00"/>
    <d v="2024-08-26T00:00:00"/>
    <d v="2024-08-28T00:00:00"/>
    <m/>
    <m/>
    <n v="2"/>
    <n v="2"/>
    <m/>
    <m/>
    <m/>
  </r>
  <r>
    <x v="0"/>
    <m/>
    <x v="0"/>
    <s v="API Inyección v3"/>
    <s v="Upsell (Analítica)"/>
    <s v="MXP LEGACY_x000a_TRADE"/>
    <m/>
    <s v="Redcibir el TAG upselling dentro de inyección V3, para sistema de Analítica"/>
    <s v="ALTA"/>
    <x v="1"/>
    <x v="2"/>
    <s v="CAR"/>
    <x v="4"/>
    <s v="Daniel Barreno"/>
    <s v="TRANSFORMACIÓN DIGITAL"/>
    <x v="0"/>
    <s v="No iniciado"/>
    <s v="Q1"/>
    <x v="2"/>
    <s v="p17"/>
    <s v="MEDIA"/>
    <n v="1"/>
    <n v="2"/>
    <n v="1"/>
    <n v="550"/>
    <m/>
    <n v="1740"/>
    <m/>
    <m/>
    <d v="2024-05-06T00:00:00"/>
    <d v="2024-05-20T00:00:00"/>
    <n v="14"/>
    <d v="2024-05-20T00:00:00"/>
    <d v="2024-05-27T00:00:00"/>
    <n v="363463"/>
    <d v="2024-05-27T00:00:00"/>
    <d v="2024-05-27T00:00:00"/>
    <d v="2024-06-01T00:00:00"/>
    <d v="2024-06-15T00:00:00"/>
    <n v="0.5"/>
    <n v="0"/>
    <s v="PROYECTO REGIONAL"/>
    <m/>
    <m/>
  </r>
  <r>
    <x v="0"/>
    <m/>
    <x v="0"/>
    <s v="DragonTail"/>
    <s v="Mxp Delivery - Dragon Tail (Seguimiento)"/>
    <m/>
    <m/>
    <s v="Compromiso Matriz Regional  (Venezuela, Ecuador, Chile, Colombia y Argentina)_x000a_Implementación de KDS en el counter con dragontale para todos los pedido"/>
    <s v="ALTA"/>
    <x v="0"/>
    <x v="0"/>
    <s v="DSI"/>
    <x v="2"/>
    <s v="Mychael Castro - José Fernandez"/>
    <s v="DSI"/>
    <x v="0"/>
    <s v="Cancelado"/>
    <m/>
    <x v="0"/>
    <s v="p8"/>
    <s v="ALTA"/>
    <n v="1"/>
    <n v="6"/>
    <n v="1"/>
    <n v="550"/>
    <m/>
    <n v="0"/>
    <m/>
    <m/>
    <d v="2024-02-19T00:00:00"/>
    <d v="2024-03-18T00:00:00"/>
    <n v="28"/>
    <d v="2024-03-18T00:00:00"/>
    <d v="2024-03-25T00:00:00"/>
    <n v="362959"/>
    <d v="2024-03-25T00:00:00"/>
    <d v="2024-04-01T00:00:00"/>
    <s v="NA"/>
    <e v="#VALUE!"/>
    <n v="1.5"/>
    <n v="7"/>
    <s v="PROYECTO REGIONAL"/>
    <m/>
    <m/>
  </r>
  <r>
    <x v="0"/>
    <m/>
    <x v="0"/>
    <s v="Kioscos"/>
    <s v="QR Champions Kiosco Tarjetas de Crédito (Adicional)"/>
    <s v="MXP LEGACY_x000a_TRADE"/>
    <m/>
    <m/>
    <m/>
    <x v="4"/>
    <x v="8"/>
    <m/>
    <x v="0"/>
    <m/>
    <s v="Mercadeo"/>
    <x v="3"/>
    <s v="En curso"/>
    <m/>
    <x v="0"/>
    <m/>
    <s v="BAJA"/>
    <n v="1"/>
    <n v="4"/>
    <n v="1"/>
    <n v="550"/>
    <m/>
    <n v="2840"/>
    <m/>
    <m/>
    <d v="2024-03-21T00:00:00"/>
    <m/>
    <e v="#REF!"/>
    <m/>
    <m/>
    <d v="1899-12-30T00:00:00"/>
    <m/>
    <d v="2024-04-12T00:00:00"/>
    <d v="2024-03-21T00:00:00"/>
    <d v="2024-04-18T00:00:00"/>
    <n v="1"/>
    <n v="45394"/>
    <s v="PROYECTO LOCAL"/>
    <m/>
    <m/>
  </r>
  <r>
    <x v="0"/>
    <m/>
    <x v="3"/>
    <m/>
    <s v="Nuevos Reportes Maxpoint"/>
    <m/>
    <m/>
    <s v="Reportes a pedido de auditoría"/>
    <m/>
    <x v="0"/>
    <x v="0"/>
    <s v="REGIONAL"/>
    <x v="3"/>
    <s v="William Villegas"/>
    <s v="CO"/>
    <x v="0"/>
    <s v="No iniciado"/>
    <m/>
    <x v="2"/>
    <m/>
    <s v="BAJA"/>
    <n v="1"/>
    <n v="4"/>
    <n v="2"/>
    <n v="625"/>
    <m/>
    <n v="5000"/>
    <m/>
    <m/>
    <d v="2024-04-01T00:00:00"/>
    <d v="2024-04-12T00:00:00"/>
    <e v="#REF!"/>
    <d v="2024-04-15T00:00:00"/>
    <d v="2024-04-19T00:00:00"/>
    <d v="2894-05-07T00:00:00"/>
    <d v="2024-04-22T00:00:00"/>
    <d v="2024-04-26T00:00:00"/>
    <m/>
    <m/>
    <d v="1899-12-31T00:00:00"/>
    <n v="4"/>
    <m/>
    <m/>
    <m/>
  </r>
  <r>
    <x v="0"/>
    <m/>
    <x v="4"/>
    <m/>
    <s v="Payrol: Integración Venezuela"/>
    <m/>
    <m/>
    <s v="Implementación de Payrol e Integraciones, Se puso un macro pero este proyecto maneja los costos de Dennis y Sabri"/>
    <m/>
    <x v="0"/>
    <x v="0"/>
    <s v="DSI"/>
    <x v="4"/>
    <s v="Jhustin Vergara"/>
    <s v="VE"/>
    <x v="0"/>
    <s v="iniciado"/>
    <m/>
    <x v="2"/>
    <m/>
    <s v="ALTA"/>
    <n v="0"/>
    <n v="32"/>
    <n v="2"/>
    <n v="700"/>
    <m/>
    <n v="0"/>
    <m/>
    <m/>
    <d v="2024-04-01T00:00:00"/>
    <d v="2024-12-14T00:00:00"/>
    <e v="#REF!"/>
    <d v="2024-12-14T00:00:00"/>
    <d v="2024-12-21T00:00:00"/>
    <n v="365127"/>
    <d v="2024-12-21T00:00:00"/>
    <d v="2024-12-28T00:00:00"/>
    <m/>
    <m/>
    <d v="1900-01-07T00:00:00"/>
    <n v="7"/>
    <s v="Cancelado el 40%"/>
    <m/>
    <m/>
  </r>
  <r>
    <x v="0"/>
    <m/>
    <x v="4"/>
    <m/>
    <s v="Plataforma Elearning: Paises Venezuela"/>
    <m/>
    <m/>
    <s v="Fase de despliegue a Paises para E-Learning"/>
    <m/>
    <x v="0"/>
    <x v="0"/>
    <s v="DSI"/>
    <x v="4"/>
    <s v="Jhustin Vergara"/>
    <s v="VE"/>
    <x v="0"/>
    <s v="No iniciado"/>
    <m/>
    <x v="3"/>
    <m/>
    <s v="ALTA"/>
    <n v="1"/>
    <n v="6"/>
    <n v="1"/>
    <n v="550"/>
    <m/>
    <n v="3940"/>
    <n v="364"/>
    <m/>
    <d v="2024-10-01T00:00:00"/>
    <d v="2025-11-01T00:00:00"/>
    <e v="#REF!"/>
    <d v="2024-11-01T00:00:00"/>
    <d v="2024-11-07T00:00:00"/>
    <d v="2898-09-25T00:00:00"/>
    <d v="2024-11-07T00:00:00"/>
    <d v="2024-11-07T00:00:00"/>
    <m/>
    <m/>
    <d v="1899-12-31T12:00:00"/>
    <n v="0"/>
    <m/>
    <m/>
    <m/>
  </r>
  <r>
    <x v="1"/>
    <m/>
    <x v="3"/>
    <m/>
    <s v="Retiro de motorizados"/>
    <m/>
    <m/>
    <s v="Retiros motorizados"/>
    <m/>
    <x v="0"/>
    <x v="0"/>
    <s v="REGIONAL"/>
    <x v="2"/>
    <s v="Adrian Gadja"/>
    <s v="AR"/>
    <x v="0"/>
    <s v="No iniciado"/>
    <m/>
    <x v="1"/>
    <m/>
    <s v="MEDIA"/>
    <n v="1"/>
    <n v="4"/>
    <n v="1"/>
    <n v="550"/>
    <m/>
    <n v="2200"/>
    <m/>
    <m/>
    <d v="2024-08-05T00:00:00"/>
    <d v="2024-08-16T00:00:00"/>
    <e v="#REF!"/>
    <d v="2024-08-19T00:00:00"/>
    <d v="2024-08-23T00:00:00"/>
    <d v="2897-02-08T00:00:00"/>
    <d v="2024-08-26T00:00:00"/>
    <d v="2024-08-30T00:00:00"/>
    <m/>
    <m/>
    <d v="1899-12-31T00:00:00"/>
    <n v="4"/>
    <m/>
    <m/>
    <m/>
  </r>
  <r>
    <x v="0"/>
    <m/>
    <x v="3"/>
    <m/>
    <s v="Retiros Motorizados Multimoneda"/>
    <m/>
    <m/>
    <s v="control de retiros solicitados con distintas formas de pago desde delivery."/>
    <m/>
    <x v="0"/>
    <x v="0"/>
    <s v="REGIONAL"/>
    <x v="4"/>
    <s v="Jhustin Vergara"/>
    <s v="VE"/>
    <x v="0"/>
    <s v="No iniciado"/>
    <m/>
    <x v="2"/>
    <s v="Se ejecutaría si el retiro de motorizados regional no cumple con la operación multimoneda de Venezuela"/>
    <s v="MEDIA"/>
    <n v="1"/>
    <n v="4"/>
    <n v="2"/>
    <n v="550"/>
    <m/>
    <n v="4400"/>
    <m/>
    <m/>
    <m/>
    <m/>
    <e v="#REF!"/>
    <d v="2024-05-06T00:00:00"/>
    <d v="2024-05-24T00:00:00"/>
    <n v="363362"/>
    <d v="2024-05-27T00:00:00"/>
    <d v="2024-05-29T00:00:00"/>
    <m/>
    <m/>
    <d v="1899-12-31T00:00:00"/>
    <n v="2"/>
    <m/>
    <m/>
    <m/>
  </r>
  <r>
    <x v="0"/>
    <m/>
    <x v="2"/>
    <m/>
    <s v="RollOut Venezuela"/>
    <m/>
    <m/>
    <s v="Implementar SAP en Venezuela"/>
    <m/>
    <x v="0"/>
    <x v="0"/>
    <s v="REGIONAL"/>
    <x v="4"/>
    <s v="Antonio Sampayo"/>
    <s v="VE"/>
    <x v="0"/>
    <s v="No iniciado"/>
    <s v="Q2"/>
    <x v="2"/>
    <m/>
    <s v="ALTA"/>
    <n v="1"/>
    <m/>
    <m/>
    <m/>
    <m/>
    <n v="0"/>
    <m/>
    <m/>
    <d v="2024-03-07T00:00:00"/>
    <d v="2024-06-28T00:00:00"/>
    <n v="113"/>
    <d v="2024-07-01T00:00:00"/>
    <d v="2024-07-31T00:00:00"/>
    <n v="30"/>
    <d v="2024-07-01T00:00:00"/>
    <d v="2024-07-31T00:00:00"/>
    <m/>
    <m/>
    <d v="1899-12-30T00:00:00"/>
    <n v="30"/>
    <m/>
    <m/>
    <m/>
  </r>
  <r>
    <x v="0"/>
    <m/>
    <x v="3"/>
    <m/>
    <s v="Venta IRSA"/>
    <m/>
    <m/>
    <s v="Venta IRSA"/>
    <m/>
    <x v="0"/>
    <x v="0"/>
    <s v="REGIONAL"/>
    <x v="2"/>
    <s v="Adrian Gadja"/>
    <s v="AR"/>
    <x v="0"/>
    <s v="En curso"/>
    <m/>
    <x v="0"/>
    <m/>
    <s v="MEDIA"/>
    <n v="1"/>
    <n v="5"/>
    <n v="1"/>
    <n v="550"/>
    <m/>
    <n v="2750"/>
    <m/>
    <m/>
    <d v="2024-03-04T00:00:00"/>
    <d v="2024-05-10T00:00:00"/>
    <e v="#REF!"/>
    <d v="2024-05-13T00:00:00"/>
    <d v="2024-05-17T00:00:00"/>
    <d v="2894-12-17T00:00:00"/>
    <d v="2024-05-20T00:00:00"/>
    <d v="2024-05-24T00:00:00"/>
    <m/>
    <m/>
    <d v="1899-12-31T06:00:00"/>
    <n v="4"/>
    <m/>
    <m/>
    <m/>
  </r>
  <r>
    <x v="3"/>
    <m/>
    <x v="3"/>
    <m/>
    <s v="Remedación Dynatrace"/>
    <m/>
    <m/>
    <s v="Implementación de Dynatrace, analisis  de resultados y ejecución del plan de acción."/>
    <m/>
    <x v="1"/>
    <x v="3"/>
    <s v="DSI"/>
    <x v="2"/>
    <s v="Adrian Gadja"/>
    <s v="AR"/>
    <x v="0"/>
    <s v="No iniciado"/>
    <m/>
    <x v="1"/>
    <m/>
    <s v="ALTA"/>
    <n v="1"/>
    <n v="8"/>
    <n v="1"/>
    <n v="550"/>
    <m/>
    <n v="4400"/>
    <m/>
    <m/>
    <d v="2024-06-03T00:00:00"/>
    <d v="2024-07-26T00:00:00"/>
    <e v="#REF!"/>
    <d v="2024-07-29T00:00:00"/>
    <d v="2024-08-02T00:00:00"/>
    <d v="2896-08-24T00:00:00"/>
    <d v="2024-08-05T00:00:00"/>
    <d v="2024-08-09T00:00:00"/>
    <m/>
    <m/>
    <d v="1900-01-01T00:00:00"/>
    <n v="4"/>
    <m/>
    <m/>
    <m/>
  </r>
  <r>
    <x v="0"/>
    <m/>
    <x v="2"/>
    <m/>
    <s v="Revision / Cierre de Pedidos Abiertos VA05-SAP"/>
    <m/>
    <m/>
    <s v="Cierre Automatico de ordenes de venta no tratadas en 48 horas _x000a_Se crean pedidos y no se tratan toca obtener un reporte y eliminar los mismos_x000a_JOB automatico"/>
    <m/>
    <x v="4"/>
    <x v="24"/>
    <s v="PLANTA"/>
    <x v="0"/>
    <s v="Diego Díaz "/>
    <s v="CONTABILIDAD"/>
    <x v="1"/>
    <s v="No iniciado"/>
    <s v="Q2"/>
    <x v="2"/>
    <m/>
    <s v="MEDIA"/>
    <n v="1"/>
    <n v="1"/>
    <n v="1"/>
    <n v="1100"/>
    <m/>
    <n v="1100"/>
    <m/>
    <m/>
    <m/>
    <m/>
    <n v="0"/>
    <m/>
    <m/>
    <n v="0"/>
    <m/>
    <m/>
    <m/>
    <m/>
    <d v="1899-12-30T06:00:00"/>
    <n v="0"/>
    <m/>
    <m/>
    <m/>
  </r>
  <r>
    <x v="0"/>
    <m/>
    <x v="1"/>
    <m/>
    <s v="Incluir los tipos de diarios para los reportes de Ventas no exportadas"/>
    <m/>
    <m/>
    <m/>
    <m/>
    <x v="4"/>
    <x v="33"/>
    <s v="CAR"/>
    <x v="0"/>
    <s v="Veronica Suntaxi"/>
    <s v="CONTABILIDAD"/>
    <x v="1"/>
    <s v="No iniciado"/>
    <s v="ALTA"/>
    <x v="0"/>
    <m/>
    <s v="BAJA"/>
    <m/>
    <n v="1"/>
    <n v="1"/>
    <n v="400"/>
    <m/>
    <n v="600"/>
    <m/>
    <m/>
    <d v="2024-02-26T00:00:00"/>
    <d v="2024-03-08T00:00:00"/>
    <e v="#REF!"/>
    <d v="2024-03-12T00:00:00"/>
    <d v="2024-03-19T00:00:00"/>
    <d v="2893-08-11T00:00:00"/>
    <m/>
    <m/>
    <m/>
    <m/>
    <d v="1899-12-30T06:00:00"/>
    <n v="0"/>
    <m/>
    <m/>
    <m/>
  </r>
  <r>
    <x v="1"/>
    <m/>
    <x v="2"/>
    <m/>
    <s v="Pasar mayor contable de SAP a SIR e incluir respaldos digitales"/>
    <m/>
    <m/>
    <m/>
    <m/>
    <x v="4"/>
    <x v="62"/>
    <s v="CAR"/>
    <x v="0"/>
    <s v="Diego Díaz"/>
    <s v="CONTABILIDAD"/>
    <x v="0"/>
    <s v="En curso"/>
    <s v="Q2"/>
    <x v="2"/>
    <m/>
    <s v="ALTA"/>
    <n v="1"/>
    <m/>
    <m/>
    <m/>
    <m/>
    <n v="0"/>
    <m/>
    <m/>
    <m/>
    <m/>
    <n v="0"/>
    <m/>
    <m/>
    <n v="0"/>
    <m/>
    <m/>
    <m/>
    <m/>
    <d v="1899-12-30T00:00:00"/>
    <n v="0"/>
    <m/>
    <m/>
    <m/>
  </r>
  <r>
    <x v="3"/>
    <m/>
    <x v="2"/>
    <m/>
    <s v="Migración Plataforma B2b a Genexus"/>
    <m/>
    <m/>
    <s v="Migrar plataforma B2B a Genexus"/>
    <m/>
    <x v="4"/>
    <x v="9"/>
    <s v="CAR"/>
    <x v="0"/>
    <m/>
    <s v="DSI"/>
    <x v="0"/>
    <m/>
    <s v="Q3"/>
    <x v="1"/>
    <m/>
    <s v="MEDIA"/>
    <n v="0.8"/>
    <n v="4"/>
    <n v="1"/>
    <n v="1600"/>
    <m/>
    <n v="7340"/>
    <m/>
    <m/>
    <m/>
    <m/>
    <n v="0"/>
    <m/>
    <m/>
    <d v="1899-12-30T00:00:00"/>
    <m/>
    <m/>
    <m/>
    <m/>
    <n v="1"/>
    <n v="0"/>
    <m/>
    <m/>
    <m/>
  </r>
  <r>
    <x v="3"/>
    <m/>
    <x v="2"/>
    <m/>
    <s v="Migración Plataforma B2b a Genexus"/>
    <m/>
    <s v="Migrar plataforma B2B a Genexus"/>
    <s v="Migrar plataforma B2B a Genexus"/>
    <m/>
    <x v="0"/>
    <x v="9"/>
    <s v="DSI"/>
    <x v="3"/>
    <m/>
    <s v="CO"/>
    <x v="0"/>
    <m/>
    <s v="Q2"/>
    <x v="1"/>
    <m/>
    <s v="MEDIA"/>
    <n v="0.15"/>
    <n v="4"/>
    <n v="1"/>
    <n v="1600"/>
    <m/>
    <n v="960"/>
    <m/>
    <m/>
    <m/>
    <m/>
    <m/>
    <m/>
    <m/>
    <m/>
    <m/>
    <m/>
    <m/>
    <m/>
    <n v="1"/>
    <m/>
    <m/>
    <m/>
    <m/>
  </r>
  <r>
    <x v="3"/>
    <m/>
    <x v="2"/>
    <m/>
    <s v="Migración Plataforma B2b a Genexus"/>
    <m/>
    <s v="Migrar plataforma B2B a Genexus"/>
    <s v="Migrar plataforma B2B a Genexus"/>
    <m/>
    <x v="0"/>
    <x v="9"/>
    <s v="DSI"/>
    <x v="1"/>
    <m/>
    <s v="CL"/>
    <x v="0"/>
    <m/>
    <s v="Q2"/>
    <x v="1"/>
    <m/>
    <s v="MEDIA"/>
    <n v="0.05"/>
    <n v="4"/>
    <n v="1"/>
    <n v="1600"/>
    <m/>
    <n v="320"/>
    <m/>
    <m/>
    <m/>
    <m/>
    <m/>
    <m/>
    <m/>
    <m/>
    <m/>
    <m/>
    <m/>
    <m/>
    <n v="1"/>
    <m/>
    <m/>
    <m/>
    <m/>
  </r>
  <r>
    <x v="3"/>
    <m/>
    <x v="3"/>
    <m/>
    <s v="Integración API CORE Formas PAGO en Kioskos"/>
    <m/>
    <m/>
    <s v="Integración API CORE Formas PAGO en Kioskos"/>
    <m/>
    <x v="0"/>
    <x v="0"/>
    <s v="REGIONAL"/>
    <x v="1"/>
    <s v="Davis"/>
    <s v="CL"/>
    <x v="0"/>
    <s v="En curso"/>
    <m/>
    <x v="0"/>
    <s v="Gestión de ambientes de pruebas"/>
    <s v="ALTA"/>
    <n v="1"/>
    <n v="3"/>
    <n v="2"/>
    <n v="625"/>
    <m/>
    <n v="3750"/>
    <m/>
    <m/>
    <d v="2024-03-04T00:00:00"/>
    <d v="2024-03-15T00:00:00"/>
    <e v="#REF!"/>
    <d v="2024-03-18T00:00:00"/>
    <d v="2024-03-22T00:00:00"/>
    <d v="2893-09-25T00:00:00"/>
    <d v="2024-03-25T00:00:00"/>
    <d v="2024-03-29T00:00:00"/>
    <m/>
    <m/>
    <d v="1899-12-30T18:00:00"/>
    <n v="4"/>
    <m/>
    <m/>
    <m/>
  </r>
  <r>
    <x v="3"/>
    <m/>
    <x v="2"/>
    <m/>
    <s v="Optimizacion Procesos RPA"/>
    <m/>
    <m/>
    <s v="Mejorar, Optimizar los tableros existentes de RPA"/>
    <m/>
    <x v="4"/>
    <x v="63"/>
    <s v="CAR"/>
    <x v="0"/>
    <s v="Amparo Aleman"/>
    <s v="Tesorería"/>
    <x v="1"/>
    <m/>
    <s v="Q3"/>
    <x v="1"/>
    <m/>
    <s v="MEDIA"/>
    <n v="1"/>
    <n v="24"/>
    <n v="1"/>
    <n v="150"/>
    <m/>
    <n v="3600"/>
    <m/>
    <m/>
    <d v="2024-04-01T00:00:00"/>
    <d v="2024-10-31T00:00:00"/>
    <n v="213"/>
    <m/>
    <m/>
    <d v="1899-12-30T00:00:00"/>
    <m/>
    <m/>
    <m/>
    <m/>
    <n v="6"/>
    <n v="0"/>
    <m/>
    <m/>
    <m/>
  </r>
  <r>
    <x v="0"/>
    <m/>
    <x v="3"/>
    <m/>
    <s v="Notificación de pedido listo hacia los agregadores"/>
    <s v="CANALES DIGITALES"/>
    <m/>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x v="4"/>
    <x v="43"/>
    <s v="OPER"/>
    <x v="0"/>
    <s v="Sebastián Jara"/>
    <s v="OPERACIONES"/>
    <x v="1"/>
    <s v="No iniciado"/>
    <m/>
    <x v="1"/>
    <m/>
    <s v="BAJA"/>
    <n v="1"/>
    <n v="4"/>
    <n v="2"/>
    <n v="550"/>
    <m/>
    <n v="4980"/>
    <m/>
    <m/>
    <d v="2024-08-19T00:00:00"/>
    <d v="2024-09-23T00:00:00"/>
    <e v="#REF!"/>
    <d v="2024-09-24T00:00:00"/>
    <d v="2024-10-08T00:00:00"/>
    <d v="2897-12-03T00:00:00"/>
    <d v="2024-10-09T00:00:00"/>
    <d v="2024-10-23T00:00:00"/>
    <m/>
    <m/>
    <d v="1899-12-31T00:00:00"/>
    <n v="14"/>
    <m/>
    <m/>
    <m/>
  </r>
  <r>
    <x v="0"/>
    <m/>
    <x v="4"/>
    <m/>
    <s v="Gestión de Contratos de Arriendos"/>
    <m/>
    <m/>
    <s v="Alertas"/>
    <m/>
    <x v="4"/>
    <x v="61"/>
    <s v="CAR"/>
    <x v="0"/>
    <s v="Narciza Espin"/>
    <s v="OTROS NEGOCIOS"/>
    <x v="1"/>
    <s v="No iniciado"/>
    <s v="Q1"/>
    <x v="2"/>
    <m/>
    <s v="MEDIA"/>
    <m/>
    <n v="8"/>
    <n v="1"/>
    <n v="550"/>
    <m/>
    <n v="8400"/>
    <m/>
    <m/>
    <d v="2024-03-01T00:00:00"/>
    <d v="2024-04-01T00:00:00"/>
    <e v="#REF!"/>
    <d v="2024-04-01T00:00:00"/>
    <d v="2024-04-14T00:00:00"/>
    <d v="2894-01-24T00:00:00"/>
    <d v="2024-04-14T00:00:00"/>
    <d v="2024-05-01T00:00:00"/>
    <m/>
    <m/>
    <d v="1900-01-01T00:00:00"/>
    <n v="17"/>
    <m/>
    <m/>
    <m/>
  </r>
  <r>
    <x v="0"/>
    <m/>
    <x v="2"/>
    <m/>
    <s v="Cotejamiento de Listado de Suministros de Servicios Básicos vs Debitos Bancarios"/>
    <m/>
    <m/>
    <m/>
    <m/>
    <x v="4"/>
    <x v="8"/>
    <s v="CAR"/>
    <x v="0"/>
    <s v="Diego Díaz"/>
    <s v="CONTABILIDAD Y SAP"/>
    <x v="2"/>
    <m/>
    <m/>
    <x v="4"/>
    <m/>
    <m/>
    <m/>
    <m/>
    <m/>
    <m/>
    <m/>
    <n v="6400"/>
    <m/>
    <m/>
    <m/>
    <m/>
    <e v="#REF!"/>
    <m/>
    <m/>
    <d v="1899-12-30T00:00:00"/>
    <m/>
    <m/>
    <m/>
    <m/>
    <n v="0"/>
    <n v="0"/>
    <m/>
    <m/>
    <m/>
  </r>
  <r>
    <x v="0"/>
    <m/>
    <x v="2"/>
    <m/>
    <s v="Seguimiento Gestion de Cartera / Gestion de Cobro -SAP"/>
    <m/>
    <m/>
    <m/>
    <m/>
    <x v="4"/>
    <x v="8"/>
    <s v="CAR"/>
    <x v="0"/>
    <s v="Diego Díaz"/>
    <s v="CONTABILIDAD Y SAP"/>
    <x v="2"/>
    <m/>
    <m/>
    <x v="4"/>
    <m/>
    <m/>
    <m/>
    <m/>
    <m/>
    <m/>
    <m/>
    <n v="3300"/>
    <m/>
    <m/>
    <m/>
    <m/>
    <e v="#REF!"/>
    <m/>
    <m/>
    <d v="1899-12-30T00:00:00"/>
    <m/>
    <m/>
    <m/>
    <m/>
    <n v="0"/>
    <n v="0"/>
    <m/>
    <m/>
    <m/>
  </r>
  <r>
    <x v="0"/>
    <m/>
    <x v="2"/>
    <m/>
    <s v="Recepción de Pollos por Lotes"/>
    <m/>
    <m/>
    <m/>
    <m/>
    <x v="4"/>
    <x v="8"/>
    <s v="CAR"/>
    <x v="0"/>
    <s v="Diego Díaz"/>
    <s v="CONTABILIDAD Y SAP"/>
    <x v="2"/>
    <m/>
    <m/>
    <x v="4"/>
    <m/>
    <m/>
    <m/>
    <m/>
    <m/>
    <m/>
    <m/>
    <n v="21300"/>
    <m/>
    <m/>
    <m/>
    <m/>
    <e v="#REF!"/>
    <m/>
    <m/>
    <d v="1899-12-30T00:00:00"/>
    <m/>
    <m/>
    <m/>
    <m/>
    <n v="0"/>
    <n v="0"/>
    <m/>
    <m/>
    <m/>
  </r>
  <r>
    <x v="3"/>
    <m/>
    <x v="3"/>
    <m/>
    <s v="Estabilización proceso de fidelizacion juan valdez"/>
    <m/>
    <m/>
    <m/>
    <m/>
    <x v="4"/>
    <x v="43"/>
    <s v="OPER"/>
    <x v="0"/>
    <s v="Renato Loayza"/>
    <s v="OPERACIONES"/>
    <x v="1"/>
    <s v="No iniciado"/>
    <m/>
    <x v="1"/>
    <m/>
    <s v="BAJA"/>
    <n v="1"/>
    <n v="4"/>
    <n v="1"/>
    <n v="550"/>
    <m/>
    <n v="2780"/>
    <m/>
    <m/>
    <d v="2024-07-01T00:00:00"/>
    <d v="2024-07-29T00:00:00"/>
    <d v="2024-09-26T00:00:00"/>
    <d v="2024-07-30T00:00:00"/>
    <d v="2024-08-13T00:00:00"/>
    <d v="2024-10-25T00:00:00"/>
    <d v="2024-08-14T00:00:00"/>
    <d v="2024-08-28T00:00:00"/>
    <m/>
    <m/>
    <d v="1899-12-31T00:00:00"/>
    <n v="14"/>
    <m/>
    <m/>
    <m/>
  </r>
  <r>
    <x v="3"/>
    <m/>
    <x v="3"/>
    <m/>
    <s v="Integración con maxpoint v2 para modulo de productos"/>
    <s v="MXP 2.0 _x000a_CANALES DIGITALES"/>
    <m/>
    <m/>
    <m/>
    <x v="4"/>
    <x v="64"/>
    <s v="DSI"/>
    <x v="0"/>
    <s v="Juan Estevez"/>
    <s v="DSI"/>
    <x v="1"/>
    <s v="No iniciado"/>
    <m/>
    <x v="2"/>
    <m/>
    <m/>
    <m/>
    <n v="12"/>
    <n v="3"/>
    <n v="550"/>
    <m/>
    <n v="20380"/>
    <m/>
    <m/>
    <d v="2024-04-01T00:00:00"/>
    <d v="2024-06-24T00:00:00"/>
    <d v="2024-05-24T00:00:00"/>
    <d v="2024-06-25T00:00:00"/>
    <d v="2024-07-09T00:00:00"/>
    <d v="2024-06-22T00:00:00"/>
    <d v="2024-07-10T00:00:00"/>
    <d v="2024-07-17T00:00:00"/>
    <m/>
    <m/>
    <d v="1900-01-02T00:00:00"/>
    <n v="7"/>
    <m/>
    <m/>
    <m/>
  </r>
  <r>
    <x v="0"/>
    <m/>
    <x v="3"/>
    <m/>
    <s v="Upgrade de versión a .net 8 del aplicativo de impresión"/>
    <m/>
    <m/>
    <m/>
    <m/>
    <x v="4"/>
    <x v="64"/>
    <s v="DSI"/>
    <x v="0"/>
    <s v="José Fernández"/>
    <s v="DSI"/>
    <x v="1"/>
    <s v="No iniciado"/>
    <m/>
    <x v="2"/>
    <m/>
    <s v="ALTA"/>
    <m/>
    <n v="4"/>
    <n v="1"/>
    <n v="550"/>
    <m/>
    <n v="2780"/>
    <m/>
    <m/>
    <d v="2024-04-01T00:00:00"/>
    <d v="2024-04-29T00:00:00"/>
    <e v="#REF!"/>
    <d v="2024-04-30T00:00:00"/>
    <d v="2024-05-14T00:00:00"/>
    <d v="2894-09-14T00:00:00"/>
    <d v="2024-05-15T00:00:00"/>
    <d v="2024-05-29T00:00:00"/>
    <m/>
    <m/>
    <d v="1899-12-31T00:00:00"/>
    <n v="1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3">
  <r>
    <x v="0"/>
    <x v="0"/>
    <m/>
    <x v="0"/>
    <m/>
    <s v="Ver Anexo A2_x000a_ La digitación es muy lenta  para digital posible problema de de red"/>
    <m/>
    <x v="0"/>
    <s v="Celula Operaciones Maxpoint 2024"/>
    <x v="0"/>
    <x v="0"/>
    <x v="0"/>
    <x v="0"/>
    <x v="0"/>
    <x v="0"/>
    <n v="4"/>
    <x v="0"/>
    <m/>
    <x v="0"/>
    <n v="1"/>
    <n v="0"/>
    <n v="0"/>
    <n v="550"/>
    <m/>
    <n v="0"/>
    <m/>
    <m/>
    <d v="2024-08-12T00:00:00"/>
    <d v="2024-08-26T00:00:00"/>
    <e v="#REF!"/>
    <d v="2024-08-27T00:00:00"/>
    <d v="2024-09-10T00:00:00"/>
    <d v="2897-04-23T00:00:00"/>
    <d v="2024-09-11T00:00:00"/>
    <d v="2024-09-25T00:00:00"/>
    <m/>
    <m/>
    <n v="0"/>
    <n v="14"/>
    <s v="Célula Operaciones_x000a_Es un requerimiento de configuraciones_x000a_Proceso ya realizado en el 2023"/>
    <m/>
    <m/>
  </r>
  <r>
    <x v="1"/>
    <x v="1"/>
    <m/>
    <x v="1"/>
    <m/>
    <s v="Ver Anexo A4"/>
    <m/>
    <x v="0"/>
    <s v="Célula de Operaciones SIR 2023"/>
    <x v="0"/>
    <x v="0"/>
    <x v="1"/>
    <x v="0"/>
    <x v="1"/>
    <x v="1"/>
    <n v="1"/>
    <x v="1"/>
    <m/>
    <x v="1"/>
    <m/>
    <n v="4"/>
    <n v="1"/>
    <n v="400"/>
    <m/>
    <n v="2240"/>
    <m/>
    <m/>
    <d v="2024-02-19T00:00:00"/>
    <d v="2024-03-15T00:00:00"/>
    <e v="#REF!"/>
    <d v="2024-03-19T00:00:00"/>
    <d v="2024-03-26T00:00:00"/>
    <d v="2893-10-06T00:00:00"/>
    <m/>
    <m/>
    <m/>
    <m/>
    <n v="1"/>
    <n v="0"/>
    <s v="Célula Operaciones"/>
    <m/>
    <m/>
  </r>
  <r>
    <x v="0"/>
    <x v="0"/>
    <m/>
    <x v="2"/>
    <m/>
    <s v="Ver Anexo A2"/>
    <m/>
    <x v="0"/>
    <s v="Celula Operaciones Maxpoint 2024"/>
    <x v="0"/>
    <x v="0"/>
    <x v="0"/>
    <x v="0"/>
    <x v="0"/>
    <x v="0"/>
    <n v="3"/>
    <x v="0"/>
    <s v="Se necesita mayor contexto del cliente"/>
    <x v="0"/>
    <n v="1"/>
    <n v="0"/>
    <n v="0"/>
    <n v="550"/>
    <m/>
    <n v="0"/>
    <m/>
    <m/>
    <d v="2024-09-11T00:00:00"/>
    <d v="2024-10-02T00:00:00"/>
    <e v="#REF!"/>
    <d v="2024-10-03T00:00:00"/>
    <d v="2024-10-17T00:00:00"/>
    <d v="2898-02-13T00:00:00"/>
    <d v="2024-10-18T00:00:00"/>
    <d v="2024-11-01T00:00:00"/>
    <m/>
    <m/>
    <n v="0"/>
    <n v="14"/>
    <s v="Célula Operaciones_x000a_Es un requerimiento de configuraciones"/>
    <m/>
    <m/>
  </r>
  <r>
    <x v="0"/>
    <x v="1"/>
    <m/>
    <x v="3"/>
    <m/>
    <m/>
    <m/>
    <x v="0"/>
    <s v="Mantenimiento"/>
    <x v="1"/>
    <x v="0"/>
    <x v="2"/>
    <x v="1"/>
    <x v="1"/>
    <x v="0"/>
    <m/>
    <x v="0"/>
    <m/>
    <x v="0"/>
    <m/>
    <n v="2"/>
    <n v="2"/>
    <n v="400"/>
    <m/>
    <n v="2240"/>
    <m/>
    <m/>
    <d v="2024-09-02T00:00:00"/>
    <d v="2024-09-17T00:00:00"/>
    <e v="#REF!"/>
    <d v="2024-09-24T00:00:00"/>
    <d v="2024-09-30T00:00:00"/>
    <d v="2897-11-25T00:00:00"/>
    <m/>
    <m/>
    <m/>
    <m/>
    <n v="0.5"/>
    <n v="0"/>
    <m/>
    <m/>
    <m/>
  </r>
  <r>
    <x v="0"/>
    <x v="1"/>
    <m/>
    <x v="4"/>
    <m/>
    <m/>
    <m/>
    <x v="0"/>
    <s v="Mantenimiento"/>
    <x v="1"/>
    <x v="0"/>
    <x v="2"/>
    <x v="1"/>
    <x v="1"/>
    <x v="0"/>
    <m/>
    <x v="2"/>
    <m/>
    <x v="0"/>
    <m/>
    <n v="2"/>
    <n v="2"/>
    <n v="400"/>
    <m/>
    <n v="2240"/>
    <m/>
    <m/>
    <d v="2024-05-13T00:00:00"/>
    <d v="2024-05-17T00:00:00"/>
    <e v="#REF!"/>
    <d v="2024-05-21T00:00:00"/>
    <d v="2024-05-28T00:00:00"/>
    <d v="2895-02-22T00:00:00"/>
    <m/>
    <m/>
    <m/>
    <m/>
    <n v="0.5"/>
    <n v="0"/>
    <m/>
    <m/>
    <m/>
  </r>
  <r>
    <x v="0"/>
    <x v="1"/>
    <m/>
    <x v="5"/>
    <m/>
    <m/>
    <m/>
    <x v="1"/>
    <s v="Mantenimiento"/>
    <x v="1"/>
    <x v="0"/>
    <x v="2"/>
    <x v="1"/>
    <x v="1"/>
    <x v="0"/>
    <m/>
    <x v="3"/>
    <m/>
    <x v="0"/>
    <m/>
    <n v="2"/>
    <n v="2"/>
    <n v="400"/>
    <m/>
    <n v="2240"/>
    <m/>
    <m/>
    <d v="2024-10-14T00:00:00"/>
    <d v="2024-10-25T00:00:00"/>
    <e v="#REF!"/>
    <d v="2024-10-29T00:00:00"/>
    <d v="2024-11-05T00:00:00"/>
    <d v="2898-09-02T00:00:00"/>
    <m/>
    <m/>
    <m/>
    <m/>
    <n v="0.5"/>
    <n v="0"/>
    <m/>
    <m/>
    <m/>
  </r>
  <r>
    <x v="0"/>
    <x v="1"/>
    <m/>
    <x v="6"/>
    <m/>
    <s v="validación campo swt"/>
    <m/>
    <x v="0"/>
    <s v="Mantenimiento"/>
    <x v="1"/>
    <x v="0"/>
    <x v="2"/>
    <x v="1"/>
    <x v="1"/>
    <x v="0"/>
    <m/>
    <x v="0"/>
    <m/>
    <x v="0"/>
    <m/>
    <n v="3"/>
    <n v="2"/>
    <n v="400"/>
    <m/>
    <n v="3040"/>
    <m/>
    <m/>
    <d v="2024-09-23T00:00:00"/>
    <d v="2024-10-04T00:00:00"/>
    <e v="#REF!"/>
    <d v="2024-10-08T00:00:00"/>
    <d v="2024-10-15T00:00:00"/>
    <d v="2898-03-18T00:00:00"/>
    <m/>
    <m/>
    <m/>
    <m/>
    <n v="0.75"/>
    <n v="0"/>
    <m/>
    <m/>
    <m/>
  </r>
  <r>
    <x v="0"/>
    <x v="0"/>
    <m/>
    <x v="7"/>
    <s v="MXP 2.0"/>
    <s v="Ver Anexo A2"/>
    <m/>
    <x v="0"/>
    <s v="Celula Operaciones Maxpoint 2024"/>
    <x v="0"/>
    <x v="0"/>
    <x v="0"/>
    <x v="0"/>
    <x v="2"/>
    <x v="0"/>
    <n v="3"/>
    <x v="2"/>
    <m/>
    <x v="0"/>
    <n v="1"/>
    <n v="2"/>
    <n v="1"/>
    <n v="550"/>
    <m/>
    <n v="1680"/>
    <m/>
    <m/>
    <d v="2024-05-20T00:00:00"/>
    <d v="2024-06-03T00:00:00"/>
    <d v="2024-06-04T00:00:00"/>
    <d v="2024-06-18T00:00:00"/>
    <d v="2024-06-19T00:00:00"/>
    <d v="2024-07-03T00:00:00"/>
    <d v="2024-06-01T00:00:00"/>
    <d v="2024-06-15T00:00:00"/>
    <m/>
    <m/>
    <n v="0.5"/>
    <n v="14"/>
    <s v="Célula Operaciones"/>
    <m/>
    <m/>
  </r>
  <r>
    <x v="0"/>
    <x v="1"/>
    <m/>
    <x v="8"/>
    <m/>
    <s v="Agrupar en una sola forma de pago por tarjeta_x000a_- Interfaz de venta_x000a_- Interfaz de sir y guardar información"/>
    <m/>
    <x v="0"/>
    <s v="Mejoras Auditoría"/>
    <x v="2"/>
    <x v="0"/>
    <x v="3"/>
    <x v="2"/>
    <x v="2"/>
    <x v="0"/>
    <s v="Q1"/>
    <x v="2"/>
    <s v="Ejecución del proyecto de conciliador de tarjetas que está a cargo de Canales Digitales"/>
    <x v="2"/>
    <m/>
    <n v="3"/>
    <n v="2"/>
    <n v="550"/>
    <m/>
    <n v="3300"/>
    <m/>
    <m/>
    <d v="2024-04-22T00:00:00"/>
    <d v="2024-05-10T00:00:00"/>
    <e v="#REF!"/>
    <d v="2024-05-14T00:00:00"/>
    <d v="2024-05-21T00:00:00"/>
    <d v="2894-12-28T00:00:00"/>
    <m/>
    <m/>
    <m/>
    <m/>
    <n v="0.75"/>
    <n v="0"/>
    <m/>
    <m/>
    <m/>
  </r>
  <r>
    <x v="0"/>
    <x v="1"/>
    <m/>
    <x v="9"/>
    <m/>
    <s v="Revisar con los pedidos ingresados con planta y operaciones (Socializar desarrollo SIR)"/>
    <m/>
    <x v="0"/>
    <s v="Célula de Operaciones SIR 2024"/>
    <x v="0"/>
    <x v="0"/>
    <x v="4"/>
    <x v="3"/>
    <x v="3"/>
    <x v="2"/>
    <n v="1"/>
    <x v="0"/>
    <m/>
    <x v="0"/>
    <m/>
    <m/>
    <m/>
    <m/>
    <m/>
    <m/>
    <m/>
    <m/>
    <m/>
    <m/>
    <e v="#REF!"/>
    <m/>
    <m/>
    <d v="1899-12-30T00:00:00"/>
    <m/>
    <m/>
    <m/>
    <m/>
    <n v="0"/>
    <n v="0"/>
    <m/>
    <m/>
    <m/>
  </r>
  <r>
    <x v="0"/>
    <x v="2"/>
    <s v="Fidelización"/>
    <x v="10"/>
    <s v="MXP LEGACY_x000a_MXP 2.0"/>
    <s v="Añadir campos al envio de fidelizacion. Añadir un campo adicional dentro del request de fidelización sobre MaxPoint"/>
    <s v="MEDIA"/>
    <x v="2"/>
    <s v="Funcionalidades Locales"/>
    <x v="2"/>
    <x v="0"/>
    <x v="5"/>
    <x v="4"/>
    <x v="1"/>
    <x v="0"/>
    <m/>
    <x v="1"/>
    <m/>
    <x v="0"/>
    <m/>
    <n v="3"/>
    <n v="2"/>
    <n v="550"/>
    <m/>
    <n v="3300"/>
    <m/>
    <m/>
    <d v="2024-03-04T00:00:00"/>
    <d v="2024-03-11T00:00:00"/>
    <n v="7"/>
    <d v="2024-03-11T00:00:00"/>
    <d v="2024-03-18T00:00:00"/>
    <n v="362903"/>
    <d v="2024-03-18T00:00:00"/>
    <d v="2024-03-25T00:00:00"/>
    <d v="2024-06-17T00:00:00"/>
    <d v="2024-07-08T00:00:00"/>
    <n v="0.75"/>
    <n v="7"/>
    <m/>
    <m/>
    <m/>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1"/>
    <x v="6"/>
    <x v="1"/>
    <x v="0"/>
    <x v="0"/>
    <m/>
    <x v="1"/>
    <m/>
    <x v="1"/>
    <n v="1"/>
    <n v="4"/>
    <n v="1"/>
    <n v="550"/>
    <m/>
    <n v="2840"/>
    <m/>
    <m/>
    <d v="2024-03-04T00:00:00"/>
    <d v="2024-04-01T00:00:00"/>
    <n v="28"/>
    <d v="2024-04-01T00:00:00"/>
    <d v="2024-04-08T00:00:00"/>
    <n v="363071"/>
    <d v="2024-04-08T00:00:00"/>
    <d v="2024-04-15T00:00:00"/>
    <d v="2024-04-01T00:00:00"/>
    <d v="2024-04-29T00:00:00"/>
    <n v="1"/>
    <n v="7"/>
    <m/>
    <m/>
    <s v="x"/>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2"/>
    <x v="6"/>
    <x v="1"/>
    <x v="0"/>
    <x v="0"/>
    <m/>
    <x v="2"/>
    <m/>
    <x v="1"/>
    <n v="1"/>
    <n v="4"/>
    <n v="1"/>
    <n v="550"/>
    <m/>
    <n v="2840"/>
    <m/>
    <m/>
    <d v="2024-03-25T00:00:00"/>
    <d v="2024-04-08T00:00:00"/>
    <n v="14"/>
    <d v="2024-04-08T00:00:00"/>
    <d v="2024-04-15T00:00:00"/>
    <n v="363127"/>
    <d v="2024-04-15T00:00:00"/>
    <d v="2024-04-22T00:00:00"/>
    <d v="2024-06-01T00:00:00"/>
    <d v="2024-06-29T00:00:00"/>
    <n v="1"/>
    <n v="7"/>
    <m/>
    <m/>
    <s v="x"/>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0"/>
    <x v="6"/>
    <x v="1"/>
    <x v="1"/>
    <x v="0"/>
    <s v="Q1"/>
    <x v="1"/>
    <m/>
    <x v="1"/>
    <n v="1"/>
    <n v="6"/>
    <n v="1"/>
    <n v="550"/>
    <m/>
    <n v="3940"/>
    <m/>
    <m/>
    <d v="2024-03-04T00:00:00"/>
    <d v="2024-03-18T00:00:00"/>
    <n v="14"/>
    <d v="2024-03-18T00:00:00"/>
    <d v="2024-03-25T00:00:00"/>
    <n v="362959"/>
    <d v="2024-03-25T00:00:00"/>
    <d v="2024-04-08T00:00:00"/>
    <d v="2024-04-01T00:00:00"/>
    <d v="2024-05-13T00:00:00"/>
    <n v="1.5"/>
    <n v="14"/>
    <s v="PROYECTO REGIONAL"/>
    <m/>
    <s v="x"/>
  </r>
  <r>
    <x v="0"/>
    <x v="3"/>
    <m/>
    <x v="12"/>
    <m/>
    <s v="Asesoramiento a Equipo interno de Desarrollo Venezuela"/>
    <m/>
    <x v="2"/>
    <s v="Funcionalidades Locales"/>
    <x v="1"/>
    <x v="1"/>
    <x v="7"/>
    <x v="5"/>
    <x v="1"/>
    <x v="0"/>
    <m/>
    <x v="0"/>
    <m/>
    <x v="1"/>
    <n v="1"/>
    <n v="2"/>
    <n v="1"/>
    <n v="0"/>
    <m/>
    <n v="0"/>
    <m/>
    <m/>
    <d v="2024-04-14T00:00:00"/>
    <d v="2024-04-21T00:00:00"/>
    <e v="#REF!"/>
    <d v="2024-04-21T00:00:00"/>
    <d v="2024-04-24T00:00:00"/>
    <d v="2894-06-23T00:00:00"/>
    <d v="2024-04-24T00:00:00"/>
    <d v="2024-04-28T00:00:00"/>
    <m/>
    <m/>
    <n v="0.5"/>
    <n v="4"/>
    <m/>
    <m/>
    <m/>
  </r>
  <r>
    <x v="0"/>
    <x v="3"/>
    <m/>
    <x v="13"/>
    <m/>
    <s v="Toma de indicadores de diversas fuentas (Reportes manuales y automáticos) de consumo de energía, gestión de desechos, reciclaje de aceite, consumo de paper, reciclaje."/>
    <m/>
    <x v="0"/>
    <m/>
    <x v="2"/>
    <x v="0"/>
    <x v="8"/>
    <x v="6"/>
    <x v="0"/>
    <x v="0"/>
    <m/>
    <x v="3"/>
    <m/>
    <x v="1"/>
    <m/>
    <n v="8"/>
    <n v="1"/>
    <n v="550"/>
    <m/>
    <n v="5040"/>
    <m/>
    <m/>
    <m/>
    <m/>
    <e v="#REF!"/>
    <m/>
    <m/>
    <d v="1899-12-30T00:00:00"/>
    <m/>
    <m/>
    <m/>
    <m/>
    <n v="2"/>
    <n v="0"/>
    <m/>
    <m/>
    <m/>
  </r>
  <r>
    <x v="0"/>
    <x v="3"/>
    <m/>
    <x v="14"/>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x v="0"/>
    <s v="Mejoras App Gestiona"/>
    <x v="2"/>
    <x v="0"/>
    <x v="9"/>
    <x v="6"/>
    <x v="2"/>
    <x v="0"/>
    <s v="Q2"/>
    <x v="2"/>
    <s v="N/A"/>
    <x v="1"/>
    <m/>
    <n v="10"/>
    <n v="2"/>
    <n v="420"/>
    <m/>
    <n v="8400"/>
    <m/>
    <m/>
    <d v="2024-04-01T00:00:00"/>
    <d v="2024-06-15T00:00:00"/>
    <e v="#REF!"/>
    <d v="2024-06-15T00:00:00"/>
    <d v="2024-06-30T00:00:00"/>
    <d v="2895-09-18T00:00:00"/>
    <d v="2024-06-30T00:00:00"/>
    <d v="2023-07-07T00:00:00"/>
    <m/>
    <m/>
    <n v="2.5"/>
    <n v="-359"/>
    <m/>
    <s v="VERO RAMOS"/>
    <m/>
  </r>
  <r>
    <x v="0"/>
    <x v="3"/>
    <m/>
    <x v="15"/>
    <m/>
    <s v="Pendiente de Levantamiento, nuevos features y posible Rework de la aplicación de Trade"/>
    <m/>
    <x v="0"/>
    <s v="Mejoras App Somos"/>
    <x v="2"/>
    <x v="0"/>
    <x v="8"/>
    <x v="6"/>
    <x v="0"/>
    <x v="0"/>
    <s v="Q3"/>
    <x v="3"/>
    <s v="N/A"/>
    <x v="2"/>
    <m/>
    <n v="12"/>
    <n v="2"/>
    <n v="550"/>
    <m/>
    <n v="13840"/>
    <m/>
    <m/>
    <d v="2024-08-01T00:00:00"/>
    <d v="2024-10-01T00:00:00"/>
    <e v="#REF!"/>
    <d v="2024-10-01T00:00:00"/>
    <d v="2024-10-07T00:00:00"/>
    <d v="2898-01-20T00:00:00"/>
    <d v="2023-10-14T00:00:00"/>
    <d v="2023-10-21T00:00:00"/>
    <m/>
    <m/>
    <n v="3"/>
    <n v="7"/>
    <m/>
    <s v="Validar con Javier Cruz costos de mantemiento actual / Daniel Barreno "/>
    <m/>
  </r>
  <r>
    <x v="0"/>
    <x v="2"/>
    <s v="Appedir"/>
    <x v="16"/>
    <s v="MXP LEGACY_x000a_TRADE"/>
    <s v="Si hay en un mismo centro comercial 2, 3 o 4 marcas del grupo a traves de la Appedir se pueda hacer compras multiples. "/>
    <s v="BAJA"/>
    <x v="2"/>
    <s v="Proyectos TD 2024"/>
    <x v="2"/>
    <x v="0"/>
    <x v="10"/>
    <x v="4"/>
    <x v="1"/>
    <x v="0"/>
    <s v="Q4"/>
    <x v="3"/>
    <s v="p71"/>
    <x v="2"/>
    <m/>
    <n v="10"/>
    <n v="2"/>
    <n v="550"/>
    <m/>
    <n v="11640"/>
    <m/>
    <m/>
    <d v="2024-10-07T00:00:00"/>
    <d v="2024-11-18T00:00:00"/>
    <n v="42"/>
    <d v="2024-11-18T00:00:00"/>
    <d v="2024-12-02T00:00:00"/>
    <n v="364926"/>
    <d v="2024-12-02T00:00:00"/>
    <d v="2024-12-16T00:00:00"/>
    <d v="2024-10-01T00:00:00"/>
    <d v="2024-12-10T00:00:00"/>
    <n v="2.5"/>
    <n v="14"/>
    <s v="ECOMERCE"/>
    <m/>
    <s v="x"/>
  </r>
  <r>
    <x v="0"/>
    <x v="4"/>
    <m/>
    <x v="17"/>
    <m/>
    <s v="Revisar con Amarilis"/>
    <m/>
    <x v="2"/>
    <s v="Funcionalidades Locales"/>
    <x v="3"/>
    <x v="1"/>
    <x v="7"/>
    <x v="7"/>
    <x v="2"/>
    <x v="0"/>
    <m/>
    <x v="0"/>
    <m/>
    <x v="1"/>
    <n v="1"/>
    <m/>
    <m/>
    <m/>
    <m/>
    <n v="640"/>
    <m/>
    <m/>
    <m/>
    <m/>
    <e v="#REF!"/>
    <m/>
    <m/>
    <d v="1899-12-30T00:00:00"/>
    <m/>
    <m/>
    <m/>
    <m/>
    <n v="0"/>
    <n v="0"/>
    <m/>
    <m/>
    <m/>
  </r>
  <r>
    <x v="0"/>
    <x v="2"/>
    <s v="Appedir"/>
    <x v="18"/>
    <s v="MXP LEGACY_x000a_TRADE"/>
    <s v="Al finalizar una orden empiezan a llegar los cambios de estado seguidos, y no en el momento adecuado cuando el pedido esta en proceso. Revisar solución con DragonTail"/>
    <s v="MEDIA"/>
    <x v="2"/>
    <s v="Proyectos TD 2024"/>
    <x v="2"/>
    <x v="0"/>
    <x v="10"/>
    <x v="4"/>
    <x v="1"/>
    <x v="0"/>
    <s v="Q1"/>
    <x v="2"/>
    <s v="p28"/>
    <x v="1"/>
    <m/>
    <n v="5"/>
    <n v="1"/>
    <n v="550"/>
    <m/>
    <n v="3390"/>
    <m/>
    <m/>
    <d v="2024-05-13T00:00:00"/>
    <d v="2024-06-03T00:00:00"/>
    <n v="21"/>
    <d v="2024-06-03T00:00:00"/>
    <d v="2024-06-10T00:00:00"/>
    <n v="363575"/>
    <d v="2024-06-10T00:00:00"/>
    <d v="2024-06-17T00:00:00"/>
    <d v="2024-05-01T00:00:00"/>
    <d v="2024-06-05T00:00:00"/>
    <n v="1.25"/>
    <n v="7"/>
    <s v="ECOMERCE"/>
    <m/>
    <s v="x"/>
  </r>
  <r>
    <x v="0"/>
    <x v="0"/>
    <m/>
    <x v="19"/>
    <m/>
    <s v="reporte detallado que muestre los retiros y arqueos realizados por los locales, Billete, cantidad y valor "/>
    <m/>
    <x v="2"/>
    <s v="Funcionalidades Locales"/>
    <x v="3"/>
    <x v="3"/>
    <x v="11"/>
    <x v="8"/>
    <x v="1"/>
    <x v="0"/>
    <m/>
    <x v="2"/>
    <m/>
    <x v="1"/>
    <n v="1"/>
    <n v="4"/>
    <n v="1"/>
    <n v="625"/>
    <m/>
    <n v="2500"/>
    <m/>
    <m/>
    <d v="2024-05-06T00:00:00"/>
    <d v="2024-05-17T00:00:00"/>
    <e v="#REF!"/>
    <d v="2024-05-20T00:00:00"/>
    <d v="2024-05-24T00:00:00"/>
    <d v="2895-02-11T00:00:00"/>
    <d v="2024-05-27T00:00:00"/>
    <d v="2024-05-31T00:00:00"/>
    <m/>
    <m/>
    <n v="1"/>
    <n v="4"/>
    <m/>
    <m/>
    <m/>
  </r>
  <r>
    <x v="0"/>
    <x v="5"/>
    <m/>
    <x v="20"/>
    <m/>
    <s v="Compensacion Automatica de Facturas con Notas de credito Cliente, se ejecuta un bot en Clt y PROV, proceso semanal, 5 pax "/>
    <m/>
    <x v="0"/>
    <s v="Optimización Procesos Plantas"/>
    <x v="4"/>
    <x v="0"/>
    <x v="12"/>
    <x v="9"/>
    <x v="2"/>
    <x v="0"/>
    <s v="Q2"/>
    <x v="2"/>
    <m/>
    <x v="1"/>
    <n v="1"/>
    <n v="3"/>
    <n v="1"/>
    <n v="1100"/>
    <m/>
    <n v="3300"/>
    <m/>
    <m/>
    <d v="2024-02-26T00:00:00"/>
    <d v="2024-03-25T00:00:00"/>
    <n v="28"/>
    <d v="2024-03-25T00:00:00"/>
    <d v="2024-04-01T00:00:00"/>
    <n v="7"/>
    <m/>
    <m/>
    <m/>
    <m/>
    <n v="0.75"/>
    <n v="0"/>
    <m/>
    <m/>
    <m/>
  </r>
  <r>
    <x v="0"/>
    <x v="1"/>
    <m/>
    <x v="21"/>
    <m/>
    <s v="Evaluar, creación de pantalla, o login contra payroll"/>
    <m/>
    <x v="0"/>
    <s v="Mantenimiento"/>
    <x v="1"/>
    <x v="0"/>
    <x v="2"/>
    <x v="1"/>
    <x v="1"/>
    <x v="0"/>
    <m/>
    <x v="3"/>
    <m/>
    <x v="1"/>
    <m/>
    <n v="3"/>
    <n v="2"/>
    <n v="400"/>
    <m/>
    <n v="3040"/>
    <m/>
    <m/>
    <d v="2024-10-14T00:00:00"/>
    <d v="2024-11-01T00:00:00"/>
    <e v="#REF!"/>
    <d v="2024-11-05T00:00:00"/>
    <d v="2024-11-12T00:00:00"/>
    <d v="2898-10-28T00:00:00"/>
    <m/>
    <m/>
    <m/>
    <m/>
    <n v="0.75"/>
    <n v="0"/>
    <m/>
    <m/>
    <m/>
  </r>
  <r>
    <x v="0"/>
    <x v="1"/>
    <m/>
    <x v="22"/>
    <m/>
    <s v="en SIR con inclusión de listado de conceptos para:_x000a_CCH locales,_x000a_CCH administrativas"/>
    <m/>
    <x v="0"/>
    <s v="Mejoras Contabilidad"/>
    <x v="2"/>
    <x v="0"/>
    <x v="13"/>
    <x v="9"/>
    <x v="2"/>
    <x v="0"/>
    <s v="MEDIA"/>
    <x v="0"/>
    <m/>
    <x v="0"/>
    <m/>
    <n v="2"/>
    <n v="2"/>
    <n v="400"/>
    <m/>
    <n v="2240"/>
    <m/>
    <m/>
    <d v="2024-06-17T00:00:00"/>
    <d v="2024-06-28T00:00:00"/>
    <e v="#REF!"/>
    <d v="2024-07-02T00:00:00"/>
    <d v="2024-09-09T00:00:00"/>
    <d v="2896-03-26T00:00:00"/>
    <m/>
    <m/>
    <m/>
    <m/>
    <n v="0.5"/>
    <n v="0"/>
    <m/>
    <m/>
    <m/>
  </r>
  <r>
    <x v="1"/>
    <x v="1"/>
    <m/>
    <x v="23"/>
    <m/>
    <s v="Ver Anexo A4"/>
    <m/>
    <x v="0"/>
    <s v="Célula de Operaciones SIR 2023"/>
    <x v="0"/>
    <x v="0"/>
    <x v="1"/>
    <x v="0"/>
    <x v="1"/>
    <x v="1"/>
    <n v="2"/>
    <x v="1"/>
    <m/>
    <x v="2"/>
    <m/>
    <n v="5"/>
    <n v="2"/>
    <n v="450"/>
    <m/>
    <n v="5140"/>
    <m/>
    <m/>
    <d v="2023-11-01T00:00:00"/>
    <d v="2023-12-15T00:00:00"/>
    <e v="#REF!"/>
    <d v="2024-03-19T00:00:00"/>
    <d v="2024-03-26T00:00:00"/>
    <d v="2893-10-06T00:00:00"/>
    <m/>
    <m/>
    <m/>
    <m/>
    <n v="1.25"/>
    <n v="0"/>
    <s v="Célula Operaciones"/>
    <m/>
    <m/>
  </r>
  <r>
    <x v="0"/>
    <x v="0"/>
    <m/>
    <x v="24"/>
    <m/>
    <s v="Reconocer la placa del cliente para mediante api obtener datos del mismo y referencia de ultimos consumos realizados (permite modificar el speach comercial en la atención)"/>
    <m/>
    <x v="2"/>
    <s v="Funcionalidades Locales"/>
    <x v="3"/>
    <x v="1"/>
    <x v="14"/>
    <x v="5"/>
    <x v="1"/>
    <x v="0"/>
    <m/>
    <x v="0"/>
    <s v="Fidelización del cliente en MXP.  API de placas. División en 2 fases."/>
    <x v="2"/>
    <n v="1"/>
    <n v="8"/>
    <n v="3"/>
    <n v="550"/>
    <m/>
    <n v="13200"/>
    <m/>
    <m/>
    <d v="2024-07-01T00:00:00"/>
    <d v="2024-08-23T00:00:00"/>
    <e v="#REF!"/>
    <d v="2024-08-26T00:00:00"/>
    <d v="2024-08-30T00:00:00"/>
    <n v="364244"/>
    <d v="2024-09-02T00:00:00"/>
    <d v="2024-09-04T00:00:00"/>
    <m/>
    <m/>
    <n v="2"/>
    <n v="2"/>
    <m/>
    <m/>
    <m/>
  </r>
  <r>
    <x v="0"/>
    <x v="1"/>
    <m/>
    <x v="25"/>
    <m/>
    <m/>
    <m/>
    <x v="0"/>
    <s v="Mantenimiento"/>
    <x v="1"/>
    <x v="0"/>
    <x v="2"/>
    <x v="1"/>
    <x v="1"/>
    <x v="0"/>
    <m/>
    <x v="0"/>
    <m/>
    <x v="0"/>
    <m/>
    <n v="1"/>
    <n v="1"/>
    <n v="400"/>
    <m/>
    <n v="1390"/>
    <m/>
    <m/>
    <d v="2024-07-08T00:00:00"/>
    <d v="2024-07-12T00:00:00"/>
    <e v="#REF!"/>
    <d v="2024-07-16T00:00:00"/>
    <d v="2024-07-23T00:00:00"/>
    <d v="2896-05-15T00:00:00"/>
    <m/>
    <m/>
    <m/>
    <m/>
    <n v="0.25"/>
    <n v="0"/>
    <m/>
    <m/>
    <m/>
  </r>
  <r>
    <x v="0"/>
    <x v="1"/>
    <m/>
    <x v="26"/>
    <m/>
    <s v="Revisión y mejora de procesos de pedidos"/>
    <m/>
    <x v="0"/>
    <s v="Mantenimiento"/>
    <x v="1"/>
    <x v="0"/>
    <x v="2"/>
    <x v="1"/>
    <x v="1"/>
    <x v="3"/>
    <m/>
    <x v="1"/>
    <m/>
    <x v="0"/>
    <m/>
    <n v="2"/>
    <n v="1"/>
    <n v="400"/>
    <m/>
    <n v="1440"/>
    <m/>
    <m/>
    <d v="2024-03-04T00:00:00"/>
    <d v="2024-03-21T00:00:00"/>
    <e v="#REF!"/>
    <d v="2024-03-26T00:00:00"/>
    <d v="2024-03-19T00:00:00"/>
    <d v="2893-11-17T00:00:00"/>
    <m/>
    <m/>
    <m/>
    <m/>
    <n v="0.5"/>
    <n v="0"/>
    <m/>
    <m/>
    <m/>
  </r>
  <r>
    <x v="0"/>
    <x v="0"/>
    <m/>
    <x v="27"/>
    <s v="MXP 2.0"/>
    <s v="Automatizar las campañas solidarias en MAX POINT Y SIR que realiza EL GRUPO KFC "/>
    <m/>
    <x v="0"/>
    <s v="Mejoras Maxpoint Auditoría 2024"/>
    <x v="2"/>
    <x v="0"/>
    <x v="3"/>
    <x v="2"/>
    <x v="2"/>
    <x v="0"/>
    <n v="2"/>
    <x v="2"/>
    <s v="Se debe también hacer un cambio en SIR"/>
    <x v="0"/>
    <n v="1"/>
    <n v="3"/>
    <n v="1"/>
    <n v="550"/>
    <m/>
    <n v="2230"/>
    <m/>
    <m/>
    <d v="2024-04-30T00:00:00"/>
    <d v="2024-05-21T00:00:00"/>
    <d v="1900-01-20T00:00:00"/>
    <d v="2024-05-22T00:00:00"/>
    <d v="2024-06-05T00:00:00"/>
    <d v="2895-03-09T00:00:00"/>
    <d v="2024-06-06T00:00:00"/>
    <d v="2024-06-20T00:00:00"/>
    <m/>
    <m/>
    <n v="0.75"/>
    <n v="14"/>
    <m/>
    <m/>
    <m/>
  </r>
  <r>
    <x v="1"/>
    <x v="5"/>
    <m/>
    <x v="28"/>
    <m/>
    <s v="Validar con Mario estado del proyecto."/>
    <m/>
    <x v="0"/>
    <s v="Mejoras B2B - Finanzas"/>
    <x v="2"/>
    <x v="0"/>
    <x v="15"/>
    <x v="10"/>
    <x v="1"/>
    <x v="4"/>
    <s v="Q2"/>
    <x v="2"/>
    <m/>
    <x v="1"/>
    <n v="1"/>
    <m/>
    <m/>
    <m/>
    <m/>
    <n v="0"/>
    <m/>
    <m/>
    <d v="2024-02-21T00:00:00"/>
    <d v="2024-04-21T00:00:00"/>
    <n v="60"/>
    <d v="2024-04-21T00:00:00"/>
    <d v="2024-05-07T00:00:00"/>
    <n v="16"/>
    <d v="2024-05-07T00:00:00"/>
    <d v="2024-05-14T00:00:00"/>
    <m/>
    <m/>
    <n v="0"/>
    <n v="7"/>
    <m/>
    <m/>
    <m/>
  </r>
  <r>
    <x v="0"/>
    <x v="3"/>
    <m/>
    <x v="29"/>
    <m/>
    <s v="Nuevo desarrollo que permite empatar gastos de Facturas declaradas vs documentos que llegan a Carga Masiva"/>
    <m/>
    <x v="0"/>
    <s v="Administración Caja Chica"/>
    <x v="2"/>
    <x v="0"/>
    <x v="16"/>
    <x v="11"/>
    <x v="2"/>
    <x v="0"/>
    <m/>
    <x v="2"/>
    <m/>
    <x v="1"/>
    <m/>
    <n v="6"/>
    <n v="1"/>
    <n v="550"/>
    <m/>
    <n v="3900"/>
    <m/>
    <m/>
    <m/>
    <m/>
    <e v="#REF!"/>
    <m/>
    <m/>
    <d v="1899-12-30T00:00:00"/>
    <m/>
    <m/>
    <m/>
    <m/>
    <n v="1.5"/>
    <n v="0"/>
    <m/>
    <m/>
    <m/>
  </r>
  <r>
    <x v="0"/>
    <x v="3"/>
    <m/>
    <x v="30"/>
    <m/>
    <s v="Cambio de Logica de Cajas Chicas, Fondos por Rendir para justificar valores en lugar de pedir reposición de Cajas Chicas"/>
    <m/>
    <x v="2"/>
    <s v="Funcionalidades Locales"/>
    <x v="3"/>
    <x v="4"/>
    <x v="17"/>
    <x v="12"/>
    <x v="1"/>
    <x v="0"/>
    <s v="Q2"/>
    <x v="2"/>
    <m/>
    <x v="0"/>
    <m/>
    <n v="2"/>
    <n v="1"/>
    <n v="550"/>
    <m/>
    <n v="1740"/>
    <m/>
    <m/>
    <s v="01/0/2024"/>
    <d v="2024-11-01T00:00:00"/>
    <e v="#REF!"/>
    <d v="2024-11-01T00:00:00"/>
    <d v="2024-12-01T00:00:00"/>
    <d v="2898-10-19T00:00:00"/>
    <d v="2024-12-01T00:00:00"/>
    <d v="2024-12-07T00:00:00"/>
    <m/>
    <m/>
    <n v="0.5"/>
    <n v="6"/>
    <m/>
    <m/>
    <m/>
  </r>
  <r>
    <x v="1"/>
    <x v="1"/>
    <m/>
    <x v="31"/>
    <m/>
    <s v="Ver Anexo A4"/>
    <m/>
    <x v="0"/>
    <s v="Otros - Presupuesto 2023"/>
    <x v="0"/>
    <x v="0"/>
    <x v="1"/>
    <x v="0"/>
    <x v="1"/>
    <x v="1"/>
    <n v="12"/>
    <x v="1"/>
    <m/>
    <x v="0"/>
    <m/>
    <n v="2"/>
    <n v="2"/>
    <n v="400"/>
    <m/>
    <n v="2240"/>
    <m/>
    <m/>
    <d v="2024-01-15T00:00:00"/>
    <d v="2024-01-26T00:00:00"/>
    <e v="#REF!"/>
    <d v="2024-03-05T00:00:00"/>
    <d v="2024-03-12T00:00:00"/>
    <d v="2893-06-16T00:00:00"/>
    <m/>
    <m/>
    <m/>
    <m/>
    <n v="0.5"/>
    <n v="0"/>
    <s v="Presupuesto 2023"/>
    <m/>
    <m/>
  </r>
  <r>
    <x v="0"/>
    <x v="0"/>
    <m/>
    <x v="32"/>
    <s v="MXP 2.0"/>
    <s v="Genera molestia en clientes por reportar a oficina el cambio y proceso operativo de varias personas en oficinas"/>
    <m/>
    <x v="0"/>
    <s v="Notas de Crédito"/>
    <x v="2"/>
    <x v="0"/>
    <x v="16"/>
    <x v="11"/>
    <x v="2"/>
    <x v="0"/>
    <s v="Q2"/>
    <x v="2"/>
    <s v="Definición del proceso por parte de Contabilidad y Auditoría"/>
    <x v="0"/>
    <n v="1"/>
    <n v="4"/>
    <n v="1"/>
    <n v="550"/>
    <m/>
    <n v="2780"/>
    <m/>
    <m/>
    <d v="2024-04-01T00:00:00"/>
    <d v="2024-04-29T00:00:00"/>
    <d v="1900-01-27T00:00:00"/>
    <d v="2024-04-30T00:00:00"/>
    <d v="2024-05-14T00:00:00"/>
    <d v="2894-09-14T00:00:00"/>
    <d v="2024-05-15T00:00:00"/>
    <d v="2024-05-29T00:00:00"/>
    <m/>
    <m/>
    <n v="1"/>
    <n v="14"/>
    <s v="Vinculo con pedido que se contrapone de auditoría"/>
    <m/>
    <m/>
  </r>
  <r>
    <x v="0"/>
    <x v="1"/>
    <m/>
    <x v="33"/>
    <m/>
    <s v="Ver Anexo A4"/>
    <m/>
    <x v="0"/>
    <s v="Célula de Operaciones SIR 2024"/>
    <x v="0"/>
    <x v="0"/>
    <x v="1"/>
    <x v="0"/>
    <x v="2"/>
    <x v="0"/>
    <n v="20"/>
    <x v="3"/>
    <m/>
    <x v="0"/>
    <m/>
    <n v="6"/>
    <n v="2"/>
    <n v="450"/>
    <m/>
    <n v="6040"/>
    <m/>
    <m/>
    <d v="2024-11-11T00:00:00"/>
    <d v="2024-12-20T00:00:00"/>
    <e v="#REF!"/>
    <d v="2025-01-07T00:00:00"/>
    <d v="2025-01-10T00:00:00"/>
    <d v="2900-03-12T00:00:00"/>
    <m/>
    <m/>
    <m/>
    <m/>
    <n v="1.5"/>
    <n v="0"/>
    <s v="Célula Operaciones"/>
    <m/>
    <m/>
  </r>
  <r>
    <x v="1"/>
    <x v="1"/>
    <m/>
    <x v="34"/>
    <m/>
    <s v="Ver Anexo A4"/>
    <m/>
    <x v="0"/>
    <s v="Otros - Presupuesto 2023"/>
    <x v="2"/>
    <x v="0"/>
    <x v="3"/>
    <x v="2"/>
    <x v="1"/>
    <x v="0"/>
    <m/>
    <x v="2"/>
    <m/>
    <x v="0"/>
    <m/>
    <n v="2"/>
    <n v="2"/>
    <n v="400"/>
    <m/>
    <m/>
    <m/>
    <m/>
    <d v="2024-03-25T00:00:00"/>
    <d v="2024-04-05T00:00:00"/>
    <e v="#REF!"/>
    <d v="2024-04-07T00:00:00"/>
    <d v="2024-04-16T00:00:00"/>
    <d v="2894-03-09T00:00:00"/>
    <m/>
    <m/>
    <m/>
    <m/>
    <n v="0.5"/>
    <n v="0"/>
    <s v="Célula Operaciones"/>
    <m/>
    <m/>
  </r>
  <r>
    <x v="1"/>
    <x v="1"/>
    <m/>
    <x v="35"/>
    <m/>
    <s v="Carga Automatica de Compras a SIR (Estaba listo pendiente salir a Producción)"/>
    <m/>
    <x v="0"/>
    <s v="Mejoras Contabilidad"/>
    <x v="2"/>
    <x v="0"/>
    <x v="16"/>
    <x v="9"/>
    <x v="1"/>
    <x v="1"/>
    <m/>
    <x v="2"/>
    <m/>
    <x v="0"/>
    <m/>
    <n v="2"/>
    <n v="1"/>
    <n v="400"/>
    <m/>
    <n v="1440"/>
    <m/>
    <m/>
    <m/>
    <m/>
    <e v="#REF!"/>
    <d v="2024-03-15T00:00:00"/>
    <d v="2024-04-15T00:00:00"/>
    <d v="2893-09-28T00:00:00"/>
    <m/>
    <m/>
    <m/>
    <m/>
    <n v="0.5"/>
    <n v="0"/>
    <m/>
    <m/>
    <m/>
  </r>
  <r>
    <x v="0"/>
    <x v="3"/>
    <m/>
    <x v="36"/>
    <m/>
    <s v="Dependencia de SAP Venezuela"/>
    <m/>
    <x v="2"/>
    <s v="Funcionalidades Locales"/>
    <x v="1"/>
    <x v="1"/>
    <x v="7"/>
    <x v="5"/>
    <x v="1"/>
    <x v="0"/>
    <m/>
    <x v="2"/>
    <m/>
    <x v="1"/>
    <n v="0"/>
    <n v="8"/>
    <n v="1"/>
    <n v="550"/>
    <m/>
    <n v="0"/>
    <m/>
    <m/>
    <d v="2024-04-01T00:00:00"/>
    <d v="2024-05-14T00:00:00"/>
    <e v="#REF!"/>
    <d v="2024-05-14T00:00:00"/>
    <d v="2024-05-21T00:00:00"/>
    <d v="2894-12-28T00:00:00"/>
    <d v="2024-06-21T00:00:00"/>
    <d v="2024-06-28T00:00:00"/>
    <m/>
    <m/>
    <n v="2"/>
    <n v="7"/>
    <s v="Presupuesto de proyecto SAP"/>
    <m/>
    <m/>
  </r>
  <r>
    <x v="1"/>
    <x v="0"/>
    <m/>
    <x v="37"/>
    <m/>
    <s v="A cargo de Javier Sánchez, se tiene un avance del 70%. Se ofreció entregar para  el 2 de enero."/>
    <m/>
    <x v="2"/>
    <s v="Operaciones Aeropuerto 2024"/>
    <x v="0"/>
    <x v="0"/>
    <x v="18"/>
    <x v="13"/>
    <x v="0"/>
    <x v="4"/>
    <n v="4"/>
    <x v="1"/>
    <s v="Veronica Jácome indica que este proceso se encuentra suspendido por temas legales."/>
    <x v="0"/>
    <n v="1"/>
    <n v="0"/>
    <n v="0"/>
    <n v="550"/>
    <m/>
    <n v="580"/>
    <m/>
    <m/>
    <d v="2024-02-26T00:00:00"/>
    <d v="2024-03-01T00:00:00"/>
    <d v="1900-01-03T00:00:00"/>
    <d v="2024-03-11T00:00:00"/>
    <d v="2024-03-22T00:00:00"/>
    <d v="2893-08-07T00:00:00"/>
    <d v="2024-03-25T00:00:00"/>
    <d v="2024-04-05T00:00:00"/>
    <m/>
    <m/>
    <n v="0"/>
    <n v="11"/>
    <s v="Eliminar"/>
    <m/>
    <m/>
  </r>
  <r>
    <x v="0"/>
    <x v="2"/>
    <s v="Fidelización"/>
    <x v="38"/>
    <s v="MXP LEGACY_x000a_MXP 2.0_x000a_TRADE"/>
    <s v="Recepción de órdenes con descuentos y lealtad ***_x000a_Validar si BIG DATA se pega a CHEETAH. El POS va a tener afectación."/>
    <s v="ALTA"/>
    <x v="4"/>
    <s v="Proyectos TD 2024"/>
    <x v="2"/>
    <x v="0"/>
    <x v="10"/>
    <x v="4"/>
    <x v="1"/>
    <x v="0"/>
    <s v="Q1"/>
    <x v="1"/>
    <s v="p29"/>
    <x v="1"/>
    <m/>
    <n v="6"/>
    <n v="1"/>
    <n v="550"/>
    <m/>
    <n v="3940"/>
    <m/>
    <m/>
    <d v="2024-05-13T00:00:00"/>
    <d v="2024-05-27T00:00:00"/>
    <n v="14"/>
    <d v="2024-05-27T00:00:00"/>
    <d v="2024-06-10T00:00:00"/>
    <n v="363526"/>
    <d v="2024-06-10T00:00:00"/>
    <d v="2024-06-17T00:00:00"/>
    <d v="2024-05-01T00:00:00"/>
    <d v="2024-06-12T00:00:00"/>
    <n v="1.5"/>
    <n v="7"/>
    <s v="ECOMERCE"/>
    <m/>
    <s v="x"/>
  </r>
  <r>
    <x v="0"/>
    <x v="1"/>
    <m/>
    <x v="39"/>
    <m/>
    <s v="Ver Anexo A4"/>
    <m/>
    <x v="0"/>
    <s v="Célula de Operaciones SIR 2024"/>
    <x v="0"/>
    <x v="0"/>
    <x v="1"/>
    <x v="0"/>
    <x v="2"/>
    <x v="0"/>
    <n v="26"/>
    <x v="3"/>
    <m/>
    <x v="1"/>
    <m/>
    <n v="4"/>
    <n v="2"/>
    <n v="400"/>
    <m/>
    <n v="3840"/>
    <m/>
    <m/>
    <d v="2024-11-18T00:00:00"/>
    <d v="2024-12-13T00:00:00"/>
    <e v="#REF!"/>
    <d v="2024-12-17T00:00:00"/>
    <d v="2024-12-23T00:00:00"/>
    <d v="2899-09-28T00:00:00"/>
    <m/>
    <m/>
    <m/>
    <m/>
    <n v="1"/>
    <n v="0"/>
    <s v="Célula Operaciones"/>
    <m/>
    <m/>
  </r>
  <r>
    <x v="0"/>
    <x v="5"/>
    <m/>
    <x v="40"/>
    <m/>
    <s v="Automatización para la clasificación y transferencia de Inventarios para pedidos de Servicios Internos_x000a_Se está asumiendo IVA de Autoconsumo si no se hace este movimiento le cuesta al año $3000"/>
    <m/>
    <x v="0"/>
    <s v="Traspaso de Sistemas Internos a SAP para analizar"/>
    <x v="4"/>
    <x v="0"/>
    <x v="12"/>
    <x v="11"/>
    <x v="0"/>
    <x v="0"/>
    <m/>
    <x v="3"/>
    <m/>
    <x v="2"/>
    <n v="1"/>
    <n v="8"/>
    <n v="1"/>
    <n v="550"/>
    <m/>
    <n v="4400"/>
    <m/>
    <m/>
    <m/>
    <m/>
    <n v="0"/>
    <m/>
    <m/>
    <n v="0"/>
    <m/>
    <m/>
    <m/>
    <m/>
    <n v="2"/>
    <n v="0"/>
    <m/>
    <m/>
    <m/>
  </r>
  <r>
    <x v="0"/>
    <x v="1"/>
    <m/>
    <x v="41"/>
    <m/>
    <s v="Ver Anexo A4"/>
    <m/>
    <x v="0"/>
    <s v="Célula de Operaciones SIR 2024"/>
    <x v="0"/>
    <x v="0"/>
    <x v="1"/>
    <x v="0"/>
    <x v="2"/>
    <x v="0"/>
    <n v="17"/>
    <x v="0"/>
    <m/>
    <x v="0"/>
    <m/>
    <n v="3"/>
    <n v="2"/>
    <n v="400"/>
    <m/>
    <n v="3040"/>
    <m/>
    <m/>
    <d v="2024-07-01T00:00:00"/>
    <d v="2024-07-20T00:00:00"/>
    <e v="#REF!"/>
    <d v="2024-04-23T00:00:00"/>
    <d v="2024-07-30T00:00:00"/>
    <d v="2894-10-12T00:00:00"/>
    <m/>
    <m/>
    <m/>
    <m/>
    <n v="0.75"/>
    <n v="0"/>
    <s v="Célula Operaciones"/>
    <m/>
    <m/>
  </r>
  <r>
    <x v="0"/>
    <x v="1"/>
    <m/>
    <x v="42"/>
    <m/>
    <m/>
    <m/>
    <x v="0"/>
    <s v="Mantenimiento"/>
    <x v="1"/>
    <x v="0"/>
    <x v="2"/>
    <x v="1"/>
    <x v="1"/>
    <x v="0"/>
    <m/>
    <x v="1"/>
    <m/>
    <x v="0"/>
    <m/>
    <n v="2"/>
    <n v="2"/>
    <n v="400"/>
    <m/>
    <n v="2240"/>
    <m/>
    <m/>
    <d v="2024-02-26T00:00:00"/>
    <d v="2024-03-08T00:00:00"/>
    <e v="#REF!"/>
    <d v="2024-03-12T00:00:00"/>
    <d v="2024-03-19T00:00:00"/>
    <d v="2893-08-11T00:00:00"/>
    <m/>
    <m/>
    <m/>
    <m/>
    <n v="0.5"/>
    <n v="0"/>
    <m/>
    <m/>
    <m/>
  </r>
  <r>
    <x v="0"/>
    <x v="2"/>
    <s v="Conciliaciones Tarjetas"/>
    <x v="43"/>
    <s v="MXP LEGACY_x000a_MXP 2.0_x000a_TRADE"/>
    <s v="Max Point enviar transacciones POS a conciliador"/>
    <s v="ALTA"/>
    <x v="0"/>
    <s v="Proyectos TD 2024"/>
    <x v="2"/>
    <x v="0"/>
    <x v="13"/>
    <x v="11"/>
    <x v="1"/>
    <x v="0"/>
    <m/>
    <x v="2"/>
    <m/>
    <x v="1"/>
    <m/>
    <n v="8"/>
    <n v="1"/>
    <n v="550"/>
    <m/>
    <n v="5040"/>
    <m/>
    <m/>
    <d v="2024-03-18T00:00:00"/>
    <d v="2024-03-18T00:00:00"/>
    <n v="0"/>
    <d v="2024-03-18T00:00:00"/>
    <d v="2024-04-01T00:00:00"/>
    <n v="362966"/>
    <d v="2024-04-01T00:00:00"/>
    <d v="2024-04-15T00:00:00"/>
    <m/>
    <d v="1900-02-24T00:00:00"/>
    <n v="2"/>
    <n v="14"/>
    <m/>
    <m/>
    <s v="x"/>
  </r>
  <r>
    <x v="0"/>
    <x v="5"/>
    <m/>
    <x v="44"/>
    <m/>
    <s v="Confirmación por correo de pago efectuado a proveedores- B2B"/>
    <m/>
    <x v="0"/>
    <s v="Mejoras B2B - Tesorería"/>
    <x v="2"/>
    <x v="0"/>
    <x v="19"/>
    <x v="14"/>
    <x v="2"/>
    <x v="0"/>
    <s v="Q2"/>
    <x v="2"/>
    <m/>
    <x v="1"/>
    <n v="1"/>
    <n v="2"/>
    <n v="1"/>
    <n v="1100"/>
    <m/>
    <n v="2200"/>
    <m/>
    <m/>
    <d v="2024-04-07T00:00:00"/>
    <d v="2024-05-07T00:00:00"/>
    <n v="30"/>
    <d v="2024-04-28T00:00:00"/>
    <d v="2024-05-07T00:00:00"/>
    <n v="9"/>
    <d v="2024-05-07T00:00:00"/>
    <d v="2024-05-14T00:00:00"/>
    <m/>
    <m/>
    <n v="0.5"/>
    <n v="7"/>
    <m/>
    <m/>
    <m/>
  </r>
  <r>
    <x v="0"/>
    <x v="2"/>
    <s v="Cupones"/>
    <x v="45"/>
    <s v="MXP LEGACY_x000a_TRADE"/>
    <s v="Sustitución de cupones manuales"/>
    <s v="MEDIA"/>
    <x v="2"/>
    <s v="Funcionalidades Locales"/>
    <x v="2"/>
    <x v="0"/>
    <x v="20"/>
    <x v="15"/>
    <x v="1"/>
    <x v="0"/>
    <n v="3"/>
    <x v="0"/>
    <s v="p56"/>
    <x v="1"/>
    <m/>
    <n v="10"/>
    <n v="1"/>
    <n v="550"/>
    <m/>
    <n v="6140"/>
    <m/>
    <m/>
    <d v="2024-07-22T00:00:00"/>
    <d v="2024-09-16T00:00:00"/>
    <n v="56"/>
    <d v="2024-09-16T00:00:00"/>
    <d v="2024-09-23T00:00:00"/>
    <n v="364415"/>
    <d v="2024-09-23T00:00:00"/>
    <d v="2024-09-30T00:00:00"/>
    <d v="2024-07-01T00:00:00"/>
    <d v="2024-09-09T00:00:00"/>
    <n v="2.5"/>
    <n v="7"/>
    <s v="Consultar si los cupones Digitales de Colombia se adaptan a esta solicitud."/>
    <m/>
    <s v="x"/>
  </r>
  <r>
    <x v="0"/>
    <x v="1"/>
    <m/>
    <x v="46"/>
    <m/>
    <s v="El reproceso se da porque el tecnico va mas de dos veces a realizar un mismo trabajo en el mismo equipo, generando gastos inecesarios o paros prolongados de el equipo."/>
    <m/>
    <x v="0"/>
    <s v="Mantenimiento Restaurantes"/>
    <x v="2"/>
    <x v="0"/>
    <x v="21"/>
    <x v="16"/>
    <x v="2"/>
    <x v="1"/>
    <m/>
    <x v="1"/>
    <m/>
    <x v="0"/>
    <m/>
    <n v="2"/>
    <n v="2"/>
    <n v="400"/>
    <m/>
    <n v="2240"/>
    <m/>
    <m/>
    <d v="2024-03-11T00:00:00"/>
    <d v="2024-03-23T00:00:00"/>
    <e v="#REF!"/>
    <d v="2024-03-26T00:00:00"/>
    <d v="2024-04-02T00:00:00"/>
    <d v="2893-12-01T00:00:00"/>
    <m/>
    <m/>
    <m/>
    <m/>
    <n v="0.5"/>
    <n v="0"/>
    <m/>
    <m/>
    <m/>
  </r>
  <r>
    <x v="0"/>
    <x v="0"/>
    <m/>
    <x v="47"/>
    <s v="MXP 2.0"/>
    <s v="MAX POINT, debería solicitar automáticamente en un periodo CAMBIO DE CLAVES DE USUARIOS"/>
    <m/>
    <x v="0"/>
    <s v="Mejoras Maxpoint Auditoría 2024"/>
    <x v="2"/>
    <x v="0"/>
    <x v="3"/>
    <x v="2"/>
    <x v="2"/>
    <x v="0"/>
    <n v="3"/>
    <x v="2"/>
    <m/>
    <x v="0"/>
    <n v="1"/>
    <n v="1"/>
    <n v="4"/>
    <n v="550"/>
    <m/>
    <n v="2780"/>
    <m/>
    <m/>
    <d v="2024-05-27T00:00:00"/>
    <d v="2024-06-24T00:00:00"/>
    <d v="1900-01-27T00:00:00"/>
    <d v="2024-06-25T00:00:00"/>
    <d v="2024-07-09T00:00:00"/>
    <d v="2895-12-06T00:00:00"/>
    <d v="2024-07-10T00:00:00"/>
    <d v="2024-07-24T00:00:00"/>
    <m/>
    <m/>
    <n v="0.25"/>
    <n v="14"/>
    <m/>
    <m/>
    <m/>
  </r>
  <r>
    <x v="0"/>
    <x v="1"/>
    <m/>
    <x v="48"/>
    <m/>
    <s v="Una vez cerrados el inventario Diario, no permita ingresar ningún movimiento de días anteriores . "/>
    <m/>
    <x v="0"/>
    <s v="Mejoras Auditoría"/>
    <x v="2"/>
    <x v="0"/>
    <x v="3"/>
    <x v="2"/>
    <x v="2"/>
    <x v="0"/>
    <n v="1"/>
    <x v="2"/>
    <m/>
    <x v="2"/>
    <m/>
    <n v="4"/>
    <n v="2"/>
    <n v="400"/>
    <m/>
    <n v="3840"/>
    <m/>
    <m/>
    <d v="2024-04-01T00:00:00"/>
    <d v="2024-04-19T00:00:00"/>
    <e v="#REF!"/>
    <d v="2024-04-23T00:00:00"/>
    <d v="2024-04-29T00:00:00"/>
    <d v="2894-07-12T00:00:00"/>
    <m/>
    <d v="2024-04-30T00:00:00"/>
    <m/>
    <m/>
    <n v="1"/>
    <n v="45412"/>
    <m/>
    <m/>
    <m/>
  </r>
  <r>
    <x v="0"/>
    <x v="2"/>
    <s v="Motorizado Delivery"/>
    <x v="49"/>
    <s v="MXP LEGACY"/>
    <s v="Compromiso Matriz Regional  (Argentina, Ecuador, Colombia, Venezuela)"/>
    <s v="ALTA"/>
    <x v="3"/>
    <s v="Funcionalidades Regionales"/>
    <x v="1"/>
    <x v="0"/>
    <x v="6"/>
    <x v="1"/>
    <x v="1"/>
    <x v="4"/>
    <m/>
    <x v="1"/>
    <s v="p14"/>
    <x v="2"/>
    <n v="1"/>
    <n v="6"/>
    <n v="1"/>
    <n v="550"/>
    <m/>
    <n v="3940"/>
    <m/>
    <m/>
    <d v="2024-03-04T00:00:00"/>
    <d v="2024-04-01T00:00:00"/>
    <n v="28"/>
    <d v="2024-04-01T00:00:00"/>
    <d v="2024-04-08T00:00:00"/>
    <n v="363071"/>
    <d v="2024-04-08T00:00:00"/>
    <d v="2024-04-15T00:00:00"/>
    <d v="2024-04-01T00:00:00"/>
    <d v="2024-05-13T00:00:00"/>
    <n v="1.5"/>
    <n v="7"/>
    <s v="PROYECTO REGIONAL"/>
    <m/>
    <m/>
  </r>
  <r>
    <x v="0"/>
    <x v="2"/>
    <s v="Motorizado Delivery"/>
    <x v="49"/>
    <s v="MXP LEGACY"/>
    <s v="Compromiso Matriz Regional  (Argentina, Ecuador, Colombia, Venezuela)"/>
    <s v="ALTA"/>
    <x v="3"/>
    <s v="Funcionalidades Regionales"/>
    <x v="1"/>
    <x v="2"/>
    <x v="6"/>
    <x v="1"/>
    <x v="1"/>
    <x v="0"/>
    <m/>
    <x v="1"/>
    <s v="p14"/>
    <x v="2"/>
    <n v="1"/>
    <n v="6"/>
    <n v="1"/>
    <n v="550"/>
    <m/>
    <n v="3940"/>
    <m/>
    <m/>
    <d v="2024-03-04T00:00:00"/>
    <d v="2024-04-01T00:00:00"/>
    <n v="28"/>
    <d v="2024-04-01T00:00:00"/>
    <d v="2024-04-08T00:00:00"/>
    <n v="363071"/>
    <d v="2024-04-08T00:00:00"/>
    <d v="2024-04-15T00:00:00"/>
    <d v="2024-04-01T00:00:00"/>
    <d v="2024-05-13T00:00:00"/>
    <n v="1.5"/>
    <n v="7"/>
    <s v="PROYECTO REGIONAL"/>
    <m/>
    <m/>
  </r>
  <r>
    <x v="0"/>
    <x v="2"/>
    <s v="Motorizado Delivery"/>
    <x v="49"/>
    <s v="MXP LEGACY"/>
    <s v="Compromiso Matriz Regional  (Argentina, Ecuador, Colombia, Venezuela)"/>
    <s v="ALTA"/>
    <x v="3"/>
    <s v="Funcionalidades Regionales"/>
    <x v="1"/>
    <x v="1"/>
    <x v="6"/>
    <x v="1"/>
    <x v="1"/>
    <x v="4"/>
    <m/>
    <x v="1"/>
    <s v="p14"/>
    <x v="2"/>
    <n v="1"/>
    <n v="6"/>
    <n v="1"/>
    <n v="550"/>
    <m/>
    <n v="3940"/>
    <m/>
    <m/>
    <d v="2024-03-04T00:00:00"/>
    <d v="2024-04-01T00:00:00"/>
    <n v="28"/>
    <d v="2024-04-01T00:00:00"/>
    <d v="2024-04-08T00:00:00"/>
    <n v="363071"/>
    <d v="2024-04-08T00:00:00"/>
    <d v="2024-04-15T00:00:00"/>
    <d v="2024-04-01T00:00:00"/>
    <d v="2024-05-13T00:00:00"/>
    <n v="1.5"/>
    <n v="7"/>
    <s v="PROYECTO REGIONAL"/>
    <m/>
    <m/>
  </r>
  <r>
    <x v="1"/>
    <x v="2"/>
    <m/>
    <x v="49"/>
    <s v="MXP LEGACY_x000a_TRADE"/>
    <s v="flujo para controlar los pagos en efectivo entregados por el motorizado a personal del restaurante"/>
    <m/>
    <x v="3"/>
    <s v="Funcionalidades Regionales"/>
    <x v="3"/>
    <x v="3"/>
    <x v="11"/>
    <x v="8"/>
    <x v="1"/>
    <x v="4"/>
    <m/>
    <x v="1"/>
    <m/>
    <x v="1"/>
    <n v="1"/>
    <n v="4"/>
    <n v="1"/>
    <n v="625"/>
    <m/>
    <n v="2500"/>
    <m/>
    <m/>
    <d v="2023-12-17T00:00:00"/>
    <d v="2024-02-02T00:00:00"/>
    <e v="#REF!"/>
    <d v="2024-02-04T00:00:00"/>
    <d v="2024-02-09T00:00:00"/>
    <d v="2892-10-17T00:00:00"/>
    <d v="2024-02-11T00:00:00"/>
    <d v="2024-02-15T00:00:00"/>
    <m/>
    <m/>
    <n v="1"/>
    <n v="4"/>
    <m/>
    <m/>
    <m/>
  </r>
  <r>
    <x v="0"/>
    <x v="2"/>
    <s v="Motorizado Delivery"/>
    <x v="50"/>
    <s v="MXP LEGACY"/>
    <s v="Integracion Picking QR Agregadores"/>
    <s v="ALTA"/>
    <x v="3"/>
    <s v="Funcionalidades Regionales"/>
    <x v="1"/>
    <x v="0"/>
    <x v="6"/>
    <x v="1"/>
    <x v="1"/>
    <x v="4"/>
    <m/>
    <x v="1"/>
    <s v="p13"/>
    <x v="2"/>
    <n v="1"/>
    <n v="6"/>
    <n v="1"/>
    <n v="550"/>
    <m/>
    <n v="3940"/>
    <m/>
    <m/>
    <d v="2024-03-04T00:00:00"/>
    <d v="2024-03-18T00:00:00"/>
    <n v="14"/>
    <d v="2024-03-18T00:00:00"/>
    <d v="2024-03-25T00:00:00"/>
    <n v="362959"/>
    <d v="2024-03-25T00:00:00"/>
    <d v="2024-04-01T00:00:00"/>
    <d v="2024-04-01T00:00:00"/>
    <d v="2024-05-13T00:00:00"/>
    <n v="1.5"/>
    <n v="7"/>
    <s v="PROYECTO REGIONAL"/>
    <m/>
    <m/>
  </r>
  <r>
    <x v="0"/>
    <x v="2"/>
    <s v="Motorizado Delivery"/>
    <x v="50"/>
    <s v="MXP LEGACY"/>
    <s v="Integracion Picking QR Agregadores"/>
    <s v="ALTA"/>
    <x v="3"/>
    <s v="Funcionalidades Regionales"/>
    <x v="1"/>
    <x v="2"/>
    <x v="6"/>
    <x v="1"/>
    <x v="1"/>
    <x v="0"/>
    <m/>
    <x v="1"/>
    <s v="p13"/>
    <x v="2"/>
    <n v="1"/>
    <n v="6"/>
    <n v="1"/>
    <n v="550"/>
    <m/>
    <n v="3940"/>
    <m/>
    <m/>
    <d v="2024-02-26T00:00:00"/>
    <d v="2024-03-25T00:00:00"/>
    <n v="28"/>
    <d v="2024-03-25T00:00:00"/>
    <d v="2024-04-01T00:00:00"/>
    <n v="363015"/>
    <d v="2024-04-01T00:00:00"/>
    <d v="2024-04-08T00:00:00"/>
    <d v="2024-04-01T00:00:00"/>
    <d v="2024-05-13T00:00:00"/>
    <n v="1.5"/>
    <n v="7"/>
    <s v="PROYECTO REGIONAL"/>
    <m/>
    <m/>
  </r>
  <r>
    <x v="0"/>
    <x v="5"/>
    <m/>
    <x v="51"/>
    <m/>
    <m/>
    <m/>
    <x v="0"/>
    <m/>
    <x v="2"/>
    <x v="0"/>
    <x v="13"/>
    <x v="11"/>
    <x v="0"/>
    <x v="5"/>
    <m/>
    <x v="4"/>
    <m/>
    <x v="3"/>
    <m/>
    <m/>
    <m/>
    <m/>
    <m/>
    <n v="6400"/>
    <m/>
    <m/>
    <m/>
    <m/>
    <e v="#REF!"/>
    <m/>
    <m/>
    <d v="1899-12-30T00:00:00"/>
    <m/>
    <m/>
    <m/>
    <m/>
    <n v="0"/>
    <n v="0"/>
    <m/>
    <m/>
    <m/>
  </r>
  <r>
    <x v="0"/>
    <x v="1"/>
    <m/>
    <x v="52"/>
    <m/>
    <s v="Asentar devoluciones de manera masiva no local por local"/>
    <m/>
    <x v="0"/>
    <s v="Mejoras Contabilidad"/>
    <x v="2"/>
    <x v="0"/>
    <x v="16"/>
    <x v="9"/>
    <x v="2"/>
    <x v="0"/>
    <s v="ALTA"/>
    <x v="2"/>
    <m/>
    <x v="1"/>
    <m/>
    <n v="4"/>
    <n v="2"/>
    <n v="450"/>
    <m/>
    <n v="4240"/>
    <m/>
    <m/>
    <d v="2024-04-29T00:00:00"/>
    <d v="2024-05-17T00:00:00"/>
    <e v="#REF!"/>
    <d v="2024-05-21T00:00:00"/>
    <d v="2024-05-28T00:00:00"/>
    <d v="2895-02-22T00:00:00"/>
    <m/>
    <m/>
    <m/>
    <m/>
    <n v="1"/>
    <n v="0"/>
    <m/>
    <m/>
    <m/>
  </r>
  <r>
    <x v="0"/>
    <x v="1"/>
    <m/>
    <x v="53"/>
    <m/>
    <m/>
    <m/>
    <x v="0"/>
    <s v="Mantenimiento Restaurantes"/>
    <x v="2"/>
    <x v="0"/>
    <x v="22"/>
    <x v="16"/>
    <x v="0"/>
    <x v="0"/>
    <m/>
    <x v="2"/>
    <m/>
    <x v="0"/>
    <m/>
    <n v="2"/>
    <n v="2"/>
    <n v="400"/>
    <m/>
    <n v="2240"/>
    <m/>
    <m/>
    <d v="2024-05-27T00:00:00"/>
    <d v="2025-06-07T00:00:00"/>
    <e v="#REF!"/>
    <d v="2024-06-18T00:00:00"/>
    <d v="2024-06-25T00:00:00"/>
    <d v="2895-10-04T00:00:00"/>
    <m/>
    <m/>
    <m/>
    <m/>
    <n v="0.5"/>
    <n v="0"/>
    <m/>
    <m/>
    <m/>
  </r>
  <r>
    <x v="0"/>
    <x v="5"/>
    <m/>
    <x v="54"/>
    <m/>
    <s v="Migración a SAP en Deviso"/>
    <m/>
    <x v="0"/>
    <s v="Creación Sociedad Financiera DEVISO"/>
    <x v="2"/>
    <x v="0"/>
    <x v="23"/>
    <x v="17"/>
    <x v="1"/>
    <x v="4"/>
    <s v="Q1"/>
    <x v="1"/>
    <m/>
    <x v="0"/>
    <n v="1"/>
    <n v="4"/>
    <m/>
    <m/>
    <m/>
    <n v="0"/>
    <m/>
    <m/>
    <d v="2024-02-07T00:00:00"/>
    <d v="2024-02-21T00:00:00"/>
    <n v="14"/>
    <d v="2024-02-21T00:00:00"/>
    <d v="2024-02-28T00:00:00"/>
    <n v="7"/>
    <d v="2024-03-07T00:00:00"/>
    <d v="2024-03-14T00:00:00"/>
    <m/>
    <m/>
    <n v="1"/>
    <n v="7"/>
    <m/>
    <m/>
    <m/>
  </r>
  <r>
    <x v="0"/>
    <x v="5"/>
    <m/>
    <x v="55"/>
    <m/>
    <s v="Creación de 72 empresas de Servicios en SAP"/>
    <m/>
    <x v="0"/>
    <s v="Creación Empresas: FAMILY OFFICE"/>
    <x v="2"/>
    <x v="0"/>
    <x v="19"/>
    <x v="14"/>
    <x v="2"/>
    <x v="0"/>
    <s v="Q2"/>
    <x v="2"/>
    <m/>
    <x v="2"/>
    <n v="1"/>
    <n v="1"/>
    <n v="1"/>
    <n v="19305"/>
    <n v="12600"/>
    <n v="31905"/>
    <n v="12600"/>
    <m/>
    <d v="2024-03-07T00:00:00"/>
    <d v="2024-06-07T00:00:00"/>
    <n v="92"/>
    <d v="2024-03-28T00:00:00"/>
    <d v="2024-06-28T00:00:00"/>
    <n v="92"/>
    <d v="2024-04-07T00:00:00"/>
    <d v="2024-06-28T00:00:00"/>
    <m/>
    <m/>
    <n v="0.25"/>
    <n v="82"/>
    <m/>
    <m/>
    <m/>
  </r>
  <r>
    <x v="0"/>
    <x v="1"/>
    <m/>
    <x v="56"/>
    <m/>
    <s v="Cuadre del fondo de Caja chica, incorporado en el SIR."/>
    <m/>
    <x v="0"/>
    <s v="Mejoras Auditoría"/>
    <x v="2"/>
    <x v="0"/>
    <x v="3"/>
    <x v="2"/>
    <x v="2"/>
    <x v="0"/>
    <n v="5"/>
    <x v="3"/>
    <m/>
    <x v="1"/>
    <m/>
    <n v="4"/>
    <n v="2"/>
    <n v="450"/>
    <m/>
    <n v="4240"/>
    <m/>
    <m/>
    <d v="2024-09-02T00:00:00"/>
    <d v="2024-09-27T00:00:00"/>
    <e v="#REF!"/>
    <d v="2024-10-01T00:00:00"/>
    <d v="2024-10-01T00:00:00"/>
    <d v="2898-01-14T00:00:00"/>
    <m/>
    <m/>
    <m/>
    <m/>
    <n v="1"/>
    <n v="0"/>
    <s v="Sacrificable"/>
    <m/>
    <m/>
  </r>
  <r>
    <x v="0"/>
    <x v="5"/>
    <m/>
    <x v="57"/>
    <m/>
    <s v="- Implementación de picking en las áreas de producción_x000a_- Adquisición de nueva línea de negocios (papel)"/>
    <m/>
    <x v="0"/>
    <s v="Reingenieria de Procesos Planta Cubiertplast"/>
    <x v="2"/>
    <x v="0"/>
    <x v="23"/>
    <x v="17"/>
    <x v="2"/>
    <x v="0"/>
    <s v="Q1"/>
    <x v="2"/>
    <m/>
    <x v="0"/>
    <n v="1"/>
    <m/>
    <m/>
    <m/>
    <n v="0"/>
    <n v="0"/>
    <m/>
    <m/>
    <d v="2024-02-07T00:00:00"/>
    <d v="2024-03-28T00:00:00"/>
    <n v="50"/>
    <d v="2024-03-21T00:00:00"/>
    <d v="2024-03-28T00:00:00"/>
    <n v="7"/>
    <d v="2024-03-28T00:00:00"/>
    <d v="2024-04-07T00:00:00"/>
    <m/>
    <m/>
    <n v="0"/>
    <n v="10"/>
    <m/>
    <m/>
    <m/>
  </r>
  <r>
    <x v="0"/>
    <x v="2"/>
    <s v="Cupones"/>
    <x v="58"/>
    <s v="MXP LEGACY_x000a_TRADE"/>
    <s v="Compromiso Matriz Regional  (Ecuador, Argentina) (api v3 cupones)"/>
    <s v="MEDIA"/>
    <x v="3"/>
    <s v="Funcionalidades Regionales"/>
    <x v="1"/>
    <x v="2"/>
    <x v="24"/>
    <x v="1"/>
    <x v="1"/>
    <x v="0"/>
    <m/>
    <x v="2"/>
    <s v="P37"/>
    <x v="1"/>
    <n v="1"/>
    <n v="4"/>
    <n v="1"/>
    <n v="550"/>
    <m/>
    <n v="2840"/>
    <m/>
    <m/>
    <d v="2024-04-01T00:00:00"/>
    <d v="2024-04-15T00:00:00"/>
    <n v="14"/>
    <d v="2024-04-15T00:00:00"/>
    <d v="2024-04-22T00:00:00"/>
    <n v="363183"/>
    <d v="2024-04-22T00:00:00"/>
    <d v="2024-04-29T00:00:00"/>
    <d v="2024-06-01T00:00:00"/>
    <d v="2024-06-29T00:00:00"/>
    <n v="1"/>
    <n v="7"/>
    <s v="PROYECTO REGIONAL"/>
    <m/>
    <m/>
  </r>
  <r>
    <x v="0"/>
    <x v="1"/>
    <m/>
    <x v="58"/>
    <s v="consultar requerimiento "/>
    <s v="Digitalización de cupones de cortesía, dinero y empleados desde SIR"/>
    <m/>
    <x v="3"/>
    <s v="Funcionalidades Locales"/>
    <x v="5"/>
    <x v="2"/>
    <x v="11"/>
    <x v="18"/>
    <x v="1"/>
    <x v="4"/>
    <m/>
    <x v="4"/>
    <m/>
    <x v="3"/>
    <m/>
    <m/>
    <m/>
    <m/>
    <m/>
    <n v="640"/>
    <m/>
    <m/>
    <m/>
    <m/>
    <e v="#REF!"/>
    <m/>
    <m/>
    <d v="1899-12-30T00:00:00"/>
    <m/>
    <m/>
    <m/>
    <m/>
    <n v="0"/>
    <n v="0"/>
    <m/>
    <m/>
    <m/>
  </r>
  <r>
    <x v="0"/>
    <x v="1"/>
    <m/>
    <x v="58"/>
    <m/>
    <s v="Digitalización de cupones de cortesía, dinero y empleados desde SIR"/>
    <m/>
    <x v="3"/>
    <s v="Funcionalidades Locales"/>
    <x v="5"/>
    <x v="3"/>
    <x v="11"/>
    <x v="8"/>
    <x v="1"/>
    <x v="4"/>
    <m/>
    <x v="2"/>
    <m/>
    <x v="2"/>
    <m/>
    <n v="3"/>
    <n v="2"/>
    <n v="450"/>
    <m/>
    <n v="3340"/>
    <m/>
    <m/>
    <m/>
    <m/>
    <e v="#REF!"/>
    <d v="2024-03-14T00:00:00"/>
    <d v="2024-03-28T00:00:00"/>
    <d v="2893-09-03T00:00:00"/>
    <m/>
    <m/>
    <m/>
    <m/>
    <n v="0.75"/>
    <n v="0"/>
    <m/>
    <m/>
    <m/>
  </r>
  <r>
    <x v="2"/>
    <x v="6"/>
    <m/>
    <x v="58"/>
    <m/>
    <m/>
    <m/>
    <x v="0"/>
    <m/>
    <x v="6"/>
    <x v="0"/>
    <x v="25"/>
    <x v="7"/>
    <x v="4"/>
    <x v="5"/>
    <m/>
    <x v="4"/>
    <m/>
    <x v="3"/>
    <m/>
    <m/>
    <m/>
    <m/>
    <m/>
    <n v="640"/>
    <m/>
    <m/>
    <m/>
    <m/>
    <e v="#REF!"/>
    <m/>
    <m/>
    <d v="1899-12-30T00:00:00"/>
    <m/>
    <m/>
    <m/>
    <m/>
    <n v="0"/>
    <n v="0"/>
    <m/>
    <m/>
    <m/>
  </r>
  <r>
    <x v="0"/>
    <x v="1"/>
    <m/>
    <x v="59"/>
    <m/>
    <s v="Ver Anexo A4"/>
    <m/>
    <x v="0"/>
    <s v="Célula de Operaciones SIR 2024"/>
    <x v="0"/>
    <x v="0"/>
    <x v="1"/>
    <x v="0"/>
    <x v="2"/>
    <x v="1"/>
    <n v="15"/>
    <x v="2"/>
    <m/>
    <x v="1"/>
    <m/>
    <n v="2"/>
    <n v="2"/>
    <n v="400"/>
    <m/>
    <n v="2240"/>
    <m/>
    <m/>
    <d v="2024-04-08T00:00:00"/>
    <d v="2024-04-19T00:00:00"/>
    <e v="#REF!"/>
    <d v="2024-04-23T00:00:00"/>
    <d v="2024-04-30T00:00:00"/>
    <d v="2894-07-13T00:00:00"/>
    <m/>
    <m/>
    <m/>
    <m/>
    <n v="0.5"/>
    <n v="0"/>
    <s v="Célula Operaciones"/>
    <m/>
    <m/>
  </r>
  <r>
    <x v="0"/>
    <x v="2"/>
    <s v="Cupones"/>
    <x v="60"/>
    <s v="MXP LEGACY_x000a_TRADE"/>
    <s v="Cupones impresos fuera de la App"/>
    <s v="MEDIA"/>
    <x v="2"/>
    <s v="Funcionalidades Locales"/>
    <x v="2"/>
    <x v="0"/>
    <x v="20"/>
    <x v="15"/>
    <x v="1"/>
    <x v="0"/>
    <n v="5"/>
    <x v="3"/>
    <s v="p70"/>
    <x v="2"/>
    <m/>
    <n v="12"/>
    <n v="1"/>
    <n v="550"/>
    <m/>
    <n v="7240"/>
    <m/>
    <m/>
    <d v="2024-10-07T00:00:00"/>
    <d v="2024-11-25T00:00:00"/>
    <n v="49"/>
    <d v="2024-11-25T00:00:00"/>
    <d v="2024-12-09T00:00:00"/>
    <n v="364982"/>
    <d v="2024-12-09T00:00:00"/>
    <d v="2024-12-16T00:00:00"/>
    <d v="2024-05-01T00:00:00"/>
    <d v="2024-07-24T00:00:00"/>
    <n v="3"/>
    <n v="7"/>
    <m/>
    <m/>
    <s v="x"/>
  </r>
  <r>
    <x v="0"/>
    <x v="2"/>
    <s v="Cupones"/>
    <x v="61"/>
    <s v="MXP LEGACY_x000a_TRADE"/>
    <s v="Compromiso Matriz Regional  (Argentina)_x000a_Integrar las pantallas del backoffice de Mxp_x000a_"/>
    <s v="ALTA"/>
    <x v="3"/>
    <s v="Funcionalidades Regionales"/>
    <x v="1"/>
    <x v="2"/>
    <x v="24"/>
    <x v="1"/>
    <x v="1"/>
    <x v="0"/>
    <s v="Q1"/>
    <x v="1"/>
    <s v="p33"/>
    <x v="1"/>
    <n v="1"/>
    <n v="8"/>
    <n v="1"/>
    <n v="550"/>
    <m/>
    <n v="5040"/>
    <m/>
    <m/>
    <d v="2024-03-04T00:00:00"/>
    <d v="2024-04-01T00:00:00"/>
    <n v="28"/>
    <d v="2024-04-01T00:00:00"/>
    <d v="2024-04-08T00:00:00"/>
    <n v="363071"/>
    <d v="2024-04-08T00:00:00"/>
    <d v="2024-04-15T00:00:00"/>
    <d v="2024-04-01T00:00:00"/>
    <d v="2024-05-27T00:00:00"/>
    <n v="2"/>
    <n v="7"/>
    <s v="PROYECTO REGIONAL"/>
    <m/>
    <s v="x"/>
  </r>
  <r>
    <x v="0"/>
    <x v="2"/>
    <s v="Cupones"/>
    <x v="62"/>
    <s v="MXP LEGACY_x000a_TRADE"/>
    <s v="Compromiso Matriz Regional  (Ecuador, Argentina) (api v3 cupones)"/>
    <s v="MEDIA"/>
    <x v="3"/>
    <s v="Funcionalidades Regionales"/>
    <x v="1"/>
    <x v="0"/>
    <x v="24"/>
    <x v="1"/>
    <x v="1"/>
    <x v="4"/>
    <m/>
    <x v="2"/>
    <s v="P37"/>
    <x v="1"/>
    <n v="1"/>
    <n v="4"/>
    <n v="1"/>
    <n v="550"/>
    <m/>
    <n v="2840"/>
    <m/>
    <m/>
    <d v="2024-04-01T00:00:00"/>
    <d v="2024-04-15T00:00:00"/>
    <n v="14"/>
    <d v="2024-04-15T00:00:00"/>
    <d v="2024-04-22T00:00:00"/>
    <n v="363183"/>
    <d v="2024-04-22T00:00:00"/>
    <d v="2024-04-29T00:00:00"/>
    <d v="2024-04-01T00:00:00"/>
    <d v="2024-04-29T00:00:00"/>
    <n v="1"/>
    <n v="7"/>
    <s v="PROYECTO REGIONAL"/>
    <m/>
    <m/>
  </r>
  <r>
    <x v="0"/>
    <x v="2"/>
    <s v="Cupones"/>
    <x v="63"/>
    <s v="MXP LEGACY_x000a_TRADE"/>
    <s v="Compromiso Matriz Regional  (Argentina, )"/>
    <s v="MEDIA"/>
    <x v="3"/>
    <s v="Funcionalidades Regionales"/>
    <x v="1"/>
    <x v="2"/>
    <x v="24"/>
    <x v="1"/>
    <x v="1"/>
    <x v="0"/>
    <m/>
    <x v="1"/>
    <m/>
    <x v="1"/>
    <n v="1"/>
    <n v="6"/>
    <n v="1"/>
    <n v="550"/>
    <m/>
    <n v="3940"/>
    <m/>
    <m/>
    <d v="2024-03-04T00:00:00"/>
    <d v="2024-04-01T00:00:00"/>
    <n v="28"/>
    <d v="2024-04-01T00:00:00"/>
    <d v="2024-04-08T00:00:00"/>
    <n v="363071"/>
    <d v="2024-04-08T00:00:00"/>
    <d v="2024-04-15T00:00:00"/>
    <d v="2024-04-01T00:00:00"/>
    <d v="2024-05-13T00:00:00"/>
    <n v="1.5"/>
    <n v="7"/>
    <s v="PROYECTO REGIONAL"/>
    <m/>
    <m/>
  </r>
  <r>
    <x v="0"/>
    <x v="2"/>
    <s v="Cupones"/>
    <x v="63"/>
    <s v="MXP LEGACY_x000a_TRADE"/>
    <s v="Compromiso Matriz Regional  ( venezuela)"/>
    <s v="MEDIA"/>
    <x v="3"/>
    <s v="Funcionalidades Regionales"/>
    <x v="1"/>
    <x v="1"/>
    <x v="24"/>
    <x v="1"/>
    <x v="1"/>
    <x v="4"/>
    <m/>
    <x v="1"/>
    <m/>
    <x v="1"/>
    <n v="1"/>
    <n v="6"/>
    <n v="1"/>
    <n v="550"/>
    <m/>
    <n v="3940"/>
    <m/>
    <m/>
    <d v="2024-03-04T00:00:00"/>
    <d v="2024-04-01T00:00:00"/>
    <n v="28"/>
    <d v="2024-04-01T00:00:00"/>
    <d v="2024-04-08T00:00:00"/>
    <n v="363071"/>
    <d v="2024-04-08T00:00:00"/>
    <d v="2024-04-15T00:00:00"/>
    <d v="2024-04-01T00:00:00"/>
    <d v="2024-05-13T00:00:00"/>
    <n v="1.5"/>
    <n v="7"/>
    <s v="PROYECTO REGIONAL"/>
    <m/>
    <m/>
  </r>
  <r>
    <x v="0"/>
    <x v="2"/>
    <s v="Kioscos"/>
    <x v="64"/>
    <s v="MXP LEGACY_x000a_TRADE"/>
    <s v="Enviar en un EndPoint los datos que debe solicitar el kiosko segun el pais"/>
    <s v="BAJA"/>
    <x v="3"/>
    <s v="Proyectos TD 2024"/>
    <x v="2"/>
    <x v="1"/>
    <x v="10"/>
    <x v="4"/>
    <x v="1"/>
    <x v="0"/>
    <s v="Q4"/>
    <x v="3"/>
    <s v="p73"/>
    <x v="1"/>
    <n v="1"/>
    <n v="7"/>
    <n v="1"/>
    <n v="550"/>
    <m/>
    <n v="4490"/>
    <m/>
    <m/>
    <d v="2024-11-18T00:00:00"/>
    <d v="2024-12-02T00:00:00"/>
    <n v="14"/>
    <d v="2024-12-02T00:00:00"/>
    <d v="2024-12-09T00:00:00"/>
    <n v="365031"/>
    <d v="2024-12-09T00:00:00"/>
    <d v="2024-12-16T00:00:00"/>
    <d v="2024-11-01T00:00:00"/>
    <d v="2024-12-20T00:00:00"/>
    <n v="1.75"/>
    <n v="7"/>
    <s v="PROYECTO REGIONAL"/>
    <m/>
    <s v="x"/>
  </r>
  <r>
    <x v="0"/>
    <x v="2"/>
    <s v="Kioscos"/>
    <x v="64"/>
    <s v="MXP LEGACY_x000a_TRADE"/>
    <s v="Enviar en un EndPoint los datos que debe solicitar el kiosko segun el pais"/>
    <s v="BAJA"/>
    <x v="0"/>
    <s v="Proyectos TD 2024"/>
    <x v="2"/>
    <x v="0"/>
    <x v="10"/>
    <x v="4"/>
    <x v="1"/>
    <x v="0"/>
    <s v="Q4"/>
    <x v="3"/>
    <s v="p73"/>
    <x v="1"/>
    <n v="1"/>
    <n v="7"/>
    <n v="1"/>
    <n v="550"/>
    <m/>
    <n v="4490"/>
    <m/>
    <m/>
    <d v="2024-10-14T00:00:00"/>
    <d v="2024-11-11T00:00:00"/>
    <n v="28"/>
    <d v="2024-11-11T00:00:00"/>
    <d v="2024-11-18T00:00:00"/>
    <n v="364863"/>
    <d v="2024-11-18T00:00:00"/>
    <d v="2024-11-25T00:00:00"/>
    <d v="2024-10-01T00:00:00"/>
    <d v="2024-11-19T00:00:00"/>
    <n v="1.75"/>
    <n v="7"/>
    <s v="PROYECTO REGIONAL"/>
    <m/>
    <s v="x"/>
  </r>
  <r>
    <x v="0"/>
    <x v="2"/>
    <s v="Kioscos"/>
    <x v="64"/>
    <s v="MXP LEGACY_x000a_TRADE"/>
    <s v="Enviar en un EndPoint los datos que debe solicitar el kiosko segun el pais"/>
    <s v="BAJA"/>
    <x v="3"/>
    <s v="Proyectos TD 2024"/>
    <x v="2"/>
    <x v="2"/>
    <x v="10"/>
    <x v="4"/>
    <x v="1"/>
    <x v="0"/>
    <s v="Q4"/>
    <x v="3"/>
    <s v="p73"/>
    <x v="1"/>
    <n v="1"/>
    <n v="7"/>
    <n v="1"/>
    <n v="550"/>
    <m/>
    <n v="4490"/>
    <m/>
    <m/>
    <d v="2024-11-18T00:00:00"/>
    <d v="2024-12-02T00:00:00"/>
    <n v="14"/>
    <d v="2024-12-02T00:00:00"/>
    <d v="2024-12-09T00:00:00"/>
    <n v="365031"/>
    <d v="2024-12-09T00:00:00"/>
    <d v="2024-12-16T00:00:00"/>
    <d v="2024-11-01T00:00:00"/>
    <d v="2024-12-20T00:00:00"/>
    <n v="1.75"/>
    <n v="7"/>
    <s v="PROYECTO REGIONAL"/>
    <m/>
    <s v="x"/>
  </r>
  <r>
    <x v="0"/>
    <x v="2"/>
    <s v="Kioscos"/>
    <x v="64"/>
    <s v="MXP LEGACY_x000a_TRADE"/>
    <s v="Enviar en un EndPoint los datos que debe solicitar el kiosko segun el pais"/>
    <s v="BAJA"/>
    <x v="3"/>
    <s v="Proyectos TD 2024"/>
    <x v="2"/>
    <x v="4"/>
    <x v="10"/>
    <x v="4"/>
    <x v="1"/>
    <x v="0"/>
    <s v="Q4"/>
    <x v="3"/>
    <s v="p73"/>
    <x v="1"/>
    <n v="1"/>
    <n v="6"/>
    <n v="1"/>
    <n v="550"/>
    <m/>
    <n v="3940"/>
    <m/>
    <m/>
    <d v="2024-11-18T00:00:00"/>
    <d v="2024-12-02T00:00:00"/>
    <n v="14"/>
    <d v="2024-12-02T00:00:00"/>
    <d v="2024-12-09T00:00:00"/>
    <n v="365031"/>
    <d v="2024-12-09T00:00:00"/>
    <d v="2024-12-30T00:00:00"/>
    <d v="2024-11-01T00:00:00"/>
    <d v="2024-12-13T00:00:00"/>
    <n v="1.5"/>
    <n v="21"/>
    <s v="PROYECTO REGIONAL"/>
    <m/>
    <s v="x"/>
  </r>
  <r>
    <x v="0"/>
    <x v="2"/>
    <s v="Kioscos"/>
    <x v="64"/>
    <s v="MXP LEGACY_x000a_TRADE"/>
    <s v="Enviar en un EndPoint los datos que debe solicitar el kiosko segun el pais"/>
    <s v="BAJA"/>
    <x v="3"/>
    <s v="Proyectos TD 2024"/>
    <x v="2"/>
    <x v="3"/>
    <x v="10"/>
    <x v="4"/>
    <x v="1"/>
    <x v="0"/>
    <s v="Q4"/>
    <x v="3"/>
    <s v="p73"/>
    <x v="1"/>
    <n v="1"/>
    <n v="7"/>
    <n v="1"/>
    <n v="550"/>
    <m/>
    <n v="4490"/>
    <m/>
    <m/>
    <d v="2024-11-18T00:00:00"/>
    <d v="2024-12-02T00:00:00"/>
    <n v="14"/>
    <d v="2024-12-02T00:00:00"/>
    <d v="2024-12-09T00:00:00"/>
    <n v="365031"/>
    <d v="2024-12-09T00:00:00"/>
    <d v="2024-12-16T00:00:00"/>
    <d v="2024-11-01T00:00:00"/>
    <d v="2024-12-20T00:00:00"/>
    <n v="1.75"/>
    <n v="7"/>
    <s v="PROYECTO REGIONAL"/>
    <m/>
    <s v="x"/>
  </r>
  <r>
    <x v="0"/>
    <x v="1"/>
    <m/>
    <x v="65"/>
    <m/>
    <s v="Ver Anexo A4"/>
    <m/>
    <x v="0"/>
    <s v="Célula de Operaciones SIR 2024"/>
    <x v="0"/>
    <x v="0"/>
    <x v="1"/>
    <x v="0"/>
    <x v="2"/>
    <x v="0"/>
    <n v="18"/>
    <x v="3"/>
    <m/>
    <x v="2"/>
    <m/>
    <n v="6"/>
    <n v="2"/>
    <n v="450"/>
    <m/>
    <n v="6040"/>
    <m/>
    <m/>
    <d v="2024-11-04T00:00:00"/>
    <d v="2024-12-13T00:00:00"/>
    <e v="#REF!"/>
    <d v="2025-01-07T00:00:00"/>
    <d v="2025-01-15T00:00:00"/>
    <d v="2900-03-17T00:00:00"/>
    <m/>
    <m/>
    <m/>
    <m/>
    <n v="1.5"/>
    <n v="0"/>
    <s v="Célula Operaciones"/>
    <m/>
    <m/>
  </r>
  <r>
    <x v="0"/>
    <x v="0"/>
    <m/>
    <x v="66"/>
    <m/>
    <s v="Vinculo con implementación de kioskos"/>
    <m/>
    <x v="2"/>
    <s v="Funcionalidades Locales"/>
    <x v="3"/>
    <x v="2"/>
    <x v="26"/>
    <x v="18"/>
    <x v="1"/>
    <x v="0"/>
    <m/>
    <x v="2"/>
    <m/>
    <x v="1"/>
    <n v="1"/>
    <n v="8"/>
    <n v="1"/>
    <n v="550"/>
    <m/>
    <n v="4400"/>
    <m/>
    <m/>
    <d v="2024-04-01T00:00:00"/>
    <d v="2024-05-10T00:00:00"/>
    <e v="#REF!"/>
    <d v="2024-05-13T00:00:00"/>
    <d v="2024-05-17T00:00:00"/>
    <d v="2894-12-17T00:00:00"/>
    <d v="2024-05-20T00:00:00"/>
    <d v="2024-05-24T00:00:00"/>
    <m/>
    <m/>
    <n v="2"/>
    <n v="4"/>
    <m/>
    <m/>
    <m/>
  </r>
  <r>
    <x v="0"/>
    <x v="1"/>
    <m/>
    <x v="67"/>
    <m/>
    <s v="Identificar el motivo por el cual existe diferencias al ingreso de cupones en  Max Point. "/>
    <m/>
    <x v="0"/>
    <s v="Mantenimiento"/>
    <x v="1"/>
    <x v="0"/>
    <x v="3"/>
    <x v="1"/>
    <x v="1"/>
    <x v="0"/>
    <n v="1"/>
    <x v="1"/>
    <m/>
    <x v="0"/>
    <m/>
    <n v="1"/>
    <n v="1"/>
    <n v="400"/>
    <m/>
    <n v="1410"/>
    <m/>
    <m/>
    <d v="2024-02-26T00:00:00"/>
    <d v="2024-03-08T00:00:00"/>
    <e v="#REF!"/>
    <d v="2024-03-12T00:00:00"/>
    <d v="2024-03-19T00:00:00"/>
    <d v="2893-08-11T00:00:00"/>
    <m/>
    <m/>
    <m/>
    <m/>
    <n v="0.25"/>
    <n v="0"/>
    <s v="Ingresar REQ a MNT Maxpoint 24"/>
    <m/>
    <m/>
  </r>
  <r>
    <x v="1"/>
    <x v="0"/>
    <m/>
    <x v="68"/>
    <m/>
    <s v="Descuentos de banco Falabella"/>
    <m/>
    <x v="3"/>
    <s v="Funcionalidades Locales"/>
    <x v="3"/>
    <x v="3"/>
    <x v="11"/>
    <x v="8"/>
    <x v="1"/>
    <x v="3"/>
    <m/>
    <x v="1"/>
    <m/>
    <x v="1"/>
    <n v="1"/>
    <n v="8"/>
    <n v="1"/>
    <n v="625"/>
    <m/>
    <n v="5000"/>
    <m/>
    <m/>
    <d v="2024-01-01T00:00:00"/>
    <d v="2024-02-09T00:00:00"/>
    <e v="#REF!"/>
    <d v="2024-02-12T00:00:00"/>
    <d v="2024-02-16T00:00:00"/>
    <d v="2892-12-19T00:00:00"/>
    <d v="2024-02-19T00:00:00"/>
    <d v="2024-02-23T00:00:00"/>
    <m/>
    <m/>
    <n v="2"/>
    <n v="4"/>
    <m/>
    <m/>
    <m/>
  </r>
  <r>
    <x v="0"/>
    <x v="0"/>
    <m/>
    <x v="68"/>
    <m/>
    <s v="Convenio con los bancos para dar descuentos al total de la factura. (Comunicación con el pinpad)"/>
    <m/>
    <x v="3"/>
    <s v="Funcionalidades Locales"/>
    <x v="3"/>
    <x v="4"/>
    <x v="17"/>
    <x v="12"/>
    <x v="1"/>
    <x v="4"/>
    <m/>
    <x v="2"/>
    <s v="Dependencia documentación Hassar."/>
    <x v="2"/>
    <n v="1"/>
    <n v="6"/>
    <n v="1"/>
    <n v="625"/>
    <m/>
    <n v="3750"/>
    <m/>
    <m/>
    <d v="2024-04-29T00:00:00"/>
    <d v="2024-05-31T00:00:00"/>
    <e v="#REF!"/>
    <d v="2024-06-03T00:00:00"/>
    <d v="2024-06-07T00:00:00"/>
    <d v="2895-06-03T00:00:00"/>
    <d v="2024-06-10T00:00:00"/>
    <d v="2024-06-14T00:00:00"/>
    <m/>
    <m/>
    <n v="1.5"/>
    <n v="4"/>
    <m/>
    <m/>
    <m/>
  </r>
  <r>
    <x v="0"/>
    <x v="2"/>
    <s v="Kioscos"/>
    <x v="69"/>
    <s v="MXP LEGACY_x000a_TRADE"/>
    <s v="Descuentos exclusivos por tarjeta de crédito"/>
    <s v="MEDIA"/>
    <x v="2"/>
    <s v="Funcionalidades Locales"/>
    <x v="1"/>
    <x v="4"/>
    <x v="17"/>
    <x v="1"/>
    <x v="1"/>
    <x v="0"/>
    <m/>
    <x v="2"/>
    <s v="p36"/>
    <x v="2"/>
    <m/>
    <n v="10"/>
    <n v="2"/>
    <n v="550"/>
    <m/>
    <n v="11640"/>
    <m/>
    <m/>
    <d v="2024-04-01T00:00:00"/>
    <d v="2024-04-29T00:00:00"/>
    <n v="28"/>
    <d v="2024-04-29T00:00:00"/>
    <d v="2024-05-13T00:00:00"/>
    <n v="363302"/>
    <d v="2024-05-13T00:00:00"/>
    <d v="2024-06-10T00:00:00"/>
    <d v="2024-05-01T00:00:00"/>
    <d v="2024-07-10T00:00:00"/>
    <n v="2.5"/>
    <n v="28"/>
    <s v="Solicitud de Colombia y Chile._x000a_Falta definición de alcance con el proveedor."/>
    <m/>
    <s v="x"/>
  </r>
  <r>
    <x v="0"/>
    <x v="2"/>
    <s v="Formas de Pago"/>
    <x v="70"/>
    <s v="MXP LEGACY"/>
    <s v="Depende de ejecución de proyecto de integración multimarca (aprox marzo)"/>
    <s v="MEDIA"/>
    <x v="0"/>
    <s v="Proyectos TD 2024"/>
    <x v="2"/>
    <x v="0"/>
    <x v="20"/>
    <x v="15"/>
    <x v="1"/>
    <x v="0"/>
    <n v="1"/>
    <x v="2"/>
    <s v="Finalizacion DEUNA Multimarca"/>
    <x v="2"/>
    <m/>
    <n v="3"/>
    <n v="1"/>
    <n v="550"/>
    <m/>
    <n v="1650"/>
    <m/>
    <m/>
    <d v="2024-03-25T00:00:00"/>
    <d v="2024-03-25T00:00:00"/>
    <n v="0"/>
    <d v="2024-03-25T00:00:00"/>
    <d v="2024-04-01T00:00:00"/>
    <n v="363015"/>
    <d v="2024-04-01T00:00:00"/>
    <d v="2024-04-08T00:00:00"/>
    <d v="2024-05-01T00:00:00"/>
    <d v="2024-05-22T00:00:00"/>
    <n v="0.75"/>
    <n v="7"/>
    <s v="Costo Undido (lo realizará Soporte App)"/>
    <m/>
    <m/>
  </r>
  <r>
    <x v="0"/>
    <x v="2"/>
    <s v="Formas de Pago"/>
    <x v="71"/>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x v="0"/>
    <s v="Proyectos TD 2024"/>
    <x v="2"/>
    <x v="0"/>
    <x v="27"/>
    <x v="19"/>
    <x v="1"/>
    <x v="3"/>
    <m/>
    <x v="1"/>
    <s v="p16"/>
    <x v="2"/>
    <m/>
    <n v="5"/>
    <n v="2"/>
    <n v="550"/>
    <m/>
    <n v="6140"/>
    <m/>
    <m/>
    <d v="2024-01-05T00:00:00"/>
    <d v="2024-02-26T00:00:00"/>
    <n v="52"/>
    <d v="2024-02-26T00:00:00"/>
    <d v="2024-03-01T00:00:00"/>
    <n v="362788"/>
    <d v="2024-03-01T00:00:00"/>
    <d v="2024-03-08T00:00:00"/>
    <s v="NA"/>
    <e v="#VALUE!"/>
    <n v="1.25"/>
    <n v="7"/>
    <m/>
    <m/>
    <m/>
  </r>
  <r>
    <x v="0"/>
    <x v="1"/>
    <m/>
    <x v="72"/>
    <s v="cambio a contabilidad "/>
    <m/>
    <m/>
    <x v="0"/>
    <s v="Mantenimiento"/>
    <x v="1"/>
    <x v="0"/>
    <x v="28"/>
    <x v="1"/>
    <x v="2"/>
    <x v="0"/>
    <m/>
    <x v="2"/>
    <m/>
    <x v="0"/>
    <m/>
    <n v="2"/>
    <n v="1"/>
    <n v="400"/>
    <m/>
    <n v="1440"/>
    <m/>
    <m/>
    <d v="2024-04-15T00:00:00"/>
    <d v="2024-04-26T00:00:00"/>
    <e v="#REF!"/>
    <d v="2024-04-30T00:00:00"/>
    <d v="2024-05-07T00:00:00"/>
    <d v="2894-09-07T00:00:00"/>
    <m/>
    <m/>
    <m/>
    <m/>
    <n v="0.5"/>
    <n v="0"/>
    <m/>
    <m/>
    <m/>
  </r>
  <r>
    <x v="0"/>
    <x v="7"/>
    <m/>
    <x v="73"/>
    <m/>
    <s v="Verificar las URL modificadas producto de la migración de WAF Radware a WAF Fortinet -&gt; Salida a producción en Febrero"/>
    <m/>
    <x v="0"/>
    <m/>
    <x v="2"/>
    <x v="0"/>
    <x v="25"/>
    <x v="20"/>
    <x v="2"/>
    <x v="0"/>
    <s v="Q1"/>
    <x v="1"/>
    <m/>
    <x v="3"/>
    <n v="0"/>
    <n v="0"/>
    <n v="0"/>
    <n v="0"/>
    <m/>
    <n v="0"/>
    <m/>
    <m/>
    <d v="2024-02-14T00:00:00"/>
    <m/>
    <n v="-45336"/>
    <m/>
    <m/>
    <d v="1899-12-30T00:00:00"/>
    <m/>
    <d v="2024-05-27T00:00:00"/>
    <m/>
    <m/>
    <n v="0"/>
    <n v="45439"/>
    <s v="PROYECTO REGIONAL"/>
    <m/>
    <m/>
  </r>
  <r>
    <x v="0"/>
    <x v="3"/>
    <m/>
    <x v="74"/>
    <m/>
    <s v="Contabilización de Documentos que no pasan por ACEPTA"/>
    <m/>
    <x v="2"/>
    <s v="Funcionalidades Locales"/>
    <x v="3"/>
    <x v="4"/>
    <x v="17"/>
    <x v="12"/>
    <x v="1"/>
    <x v="0"/>
    <s v="Q4"/>
    <x v="3"/>
    <m/>
    <x v="2"/>
    <m/>
    <n v="12"/>
    <n v="2"/>
    <n v="550"/>
    <m/>
    <n v="13840"/>
    <m/>
    <m/>
    <d v="2024-09-01T00:00:00"/>
    <d v="2024-11-14T00:00:00"/>
    <e v="#REF!"/>
    <d v="2024-11-14T00:00:00"/>
    <d v="2024-11-21T00:00:00"/>
    <d v="2899-01-08T00:00:00"/>
    <d v="2024-11-21T00:00:00"/>
    <s v="01/12/12024"/>
    <m/>
    <m/>
    <n v="3"/>
    <e v="#VALUE!"/>
    <m/>
    <m/>
    <m/>
  </r>
  <r>
    <x v="0"/>
    <x v="1"/>
    <m/>
    <x v="75"/>
    <m/>
    <s v="Mediante SIR sean solicitados los pedidos  que se digitan en planta."/>
    <m/>
    <x v="0"/>
    <s v="Mejoras Contabilidad"/>
    <x v="2"/>
    <x v="0"/>
    <x v="16"/>
    <x v="9"/>
    <x v="2"/>
    <x v="0"/>
    <s v="MEDIA"/>
    <x v="0"/>
    <m/>
    <x v="2"/>
    <m/>
    <n v="5"/>
    <n v="2"/>
    <n v="450"/>
    <m/>
    <n v="5140"/>
    <m/>
    <m/>
    <d v="2024-07-01T00:00:00"/>
    <d v="2024-08-02T00:00:00"/>
    <e v="#REF!"/>
    <d v="2024-08-06T00:00:00"/>
    <d v="2024-08-13T00:00:00"/>
    <d v="2896-10-30T00:00:00"/>
    <m/>
    <m/>
    <m/>
    <m/>
    <n v="1.25"/>
    <n v="0"/>
    <m/>
    <m/>
    <m/>
  </r>
  <r>
    <x v="0"/>
    <x v="1"/>
    <m/>
    <x v="76"/>
    <m/>
    <s v="Ver Anexo A4"/>
    <m/>
    <x v="0"/>
    <s v="Célula de Operaciones SIR 2024"/>
    <x v="0"/>
    <x v="0"/>
    <x v="1"/>
    <x v="0"/>
    <x v="2"/>
    <x v="0"/>
    <n v="13"/>
    <x v="0"/>
    <m/>
    <x v="0"/>
    <m/>
    <n v="3"/>
    <n v="2"/>
    <n v="400"/>
    <m/>
    <n v="3040"/>
    <m/>
    <m/>
    <d v="2024-06-17T00:00:00"/>
    <d v="2024-07-05T00:00:00"/>
    <e v="#REF!"/>
    <d v="2024-09-09T00:00:00"/>
    <d v="2024-07-16T00:00:00"/>
    <d v="2897-05-28T00:00:00"/>
    <m/>
    <m/>
    <m/>
    <m/>
    <n v="0.75"/>
    <n v="0"/>
    <s v="Célula Operaciones"/>
    <m/>
    <m/>
  </r>
  <r>
    <x v="0"/>
    <x v="4"/>
    <m/>
    <x v="77"/>
    <m/>
    <s v="El origen de la base depende del ERP utilizado en cada país, el mismo genera espera de 2 a 3 semanas. (VEN - CHILE - ARG)"/>
    <m/>
    <x v="0"/>
    <s v="Pendiente Juan Carlos B"/>
    <x v="2"/>
    <x v="0"/>
    <x v="15"/>
    <x v="10"/>
    <x v="2"/>
    <x v="0"/>
    <s v="Q2"/>
    <x v="4"/>
    <m/>
    <x v="2"/>
    <n v="1"/>
    <m/>
    <m/>
    <m/>
    <m/>
    <m/>
    <m/>
    <m/>
    <m/>
    <m/>
    <n v="0"/>
    <m/>
    <m/>
    <n v="0"/>
    <m/>
    <m/>
    <m/>
    <m/>
    <n v="0"/>
    <n v="0"/>
    <m/>
    <m/>
    <m/>
  </r>
  <r>
    <x v="0"/>
    <x v="0"/>
    <m/>
    <x v="78"/>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x v="0"/>
    <s v="Validar con ambos aeropuertos, pendiente confirmacion Jose Luis Tello"/>
    <x v="0"/>
    <x v="0"/>
    <x v="29"/>
    <x v="13"/>
    <x v="2"/>
    <x v="0"/>
    <m/>
    <x v="0"/>
    <m/>
    <x v="1"/>
    <m/>
    <n v="5"/>
    <n v="1"/>
    <n v="550"/>
    <m/>
    <n v="3330"/>
    <m/>
    <m/>
    <d v="2024-07-01T00:00:00"/>
    <d v="2024-08-05T00:00:00"/>
    <d v="2024-12-01T00:00:00"/>
    <d v="2024-08-06T00:00:00"/>
    <d v="2024-08-20T00:00:00"/>
    <d v="2024-12-07T00:00:00"/>
    <d v="2024-08-21T00:00:00"/>
    <d v="2024-09-04T00:00:00"/>
    <m/>
    <m/>
    <n v="1.25"/>
    <n v="14"/>
    <s v="Pendiente definición de Aereopuertos Quito / Gye"/>
    <m/>
    <m/>
  </r>
  <r>
    <x v="0"/>
    <x v="1"/>
    <m/>
    <x v="79"/>
    <m/>
    <s v="Ver Anexo A4"/>
    <m/>
    <x v="0"/>
    <s v="Célula de Operaciones SIR 2024"/>
    <x v="0"/>
    <x v="0"/>
    <x v="1"/>
    <x v="0"/>
    <x v="2"/>
    <x v="0"/>
    <n v="20"/>
    <x v="0"/>
    <m/>
    <x v="1"/>
    <m/>
    <n v="5"/>
    <n v="2"/>
    <n v="450"/>
    <m/>
    <n v="5140"/>
    <m/>
    <m/>
    <d v="2024-07-15T00:00:00"/>
    <d v="2024-08-16T00:00:00"/>
    <e v="#REF!"/>
    <d v="2024-08-20T00:00:00"/>
    <d v="2024-08-27T00:00:00"/>
    <d v="2897-02-19T00:00:00"/>
    <m/>
    <m/>
    <m/>
    <m/>
    <n v="1.25"/>
    <n v="0"/>
    <s v="Célula Operaciones"/>
    <m/>
    <m/>
  </r>
  <r>
    <x v="1"/>
    <x v="0"/>
    <m/>
    <x v="80"/>
    <m/>
    <s v="Envío de Pedidos Pick Up V3"/>
    <m/>
    <x v="3"/>
    <s v="Funcionalidades Regionales"/>
    <x v="3"/>
    <x v="3"/>
    <x v="11"/>
    <x v="8"/>
    <x v="1"/>
    <x v="3"/>
    <m/>
    <x v="1"/>
    <s v="pruebas con tarjetas de crédito"/>
    <x v="2"/>
    <n v="1"/>
    <n v="12"/>
    <n v="1"/>
    <n v="625"/>
    <m/>
    <n v="7500"/>
    <m/>
    <m/>
    <d v="2023-12-17T00:00:00"/>
    <d v="2024-02-02T00:00:00"/>
    <e v="#REF!"/>
    <d v="2024-02-04T00:00:00"/>
    <d v="2024-02-09T00:00:00"/>
    <d v="2892-10-17T00:00:00"/>
    <d v="2024-02-11T00:00:00"/>
    <d v="2024-02-15T00:00:00"/>
    <m/>
    <m/>
    <n v="3"/>
    <n v="4"/>
    <m/>
    <m/>
    <m/>
  </r>
  <r>
    <x v="3"/>
    <x v="0"/>
    <m/>
    <x v="81"/>
    <m/>
    <m/>
    <m/>
    <x v="0"/>
    <s v="Celula Operaciones Maxpoint 2024"/>
    <x v="0"/>
    <x v="0"/>
    <x v="30"/>
    <x v="0"/>
    <x v="2"/>
    <x v="0"/>
    <m/>
    <x v="0"/>
    <m/>
    <x v="0"/>
    <n v="1"/>
    <n v="4"/>
    <n v="1"/>
    <n v="550"/>
    <m/>
    <n v="2780"/>
    <m/>
    <m/>
    <d v="2024-07-01T00:00:00"/>
    <d v="2024-07-29T00:00:00"/>
    <d v="2024-09-26T00:00:00"/>
    <d v="2024-07-30T00:00:00"/>
    <d v="2024-08-13T00:00:00"/>
    <d v="2024-10-25T00:00:00"/>
    <d v="2024-08-14T00:00:00"/>
    <d v="2024-08-28T00:00:00"/>
    <m/>
    <m/>
    <d v="1899-12-31T00:00:00"/>
    <n v="14"/>
    <m/>
    <m/>
    <m/>
  </r>
  <r>
    <x v="0"/>
    <x v="2"/>
    <s v="Cupones"/>
    <x v="82"/>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x v="0"/>
    <s v="Proyectos TD 2024"/>
    <x v="2"/>
    <x v="0"/>
    <x v="20"/>
    <x v="15"/>
    <x v="1"/>
    <x v="4"/>
    <n v="0"/>
    <x v="1"/>
    <m/>
    <x v="1"/>
    <m/>
    <n v="6"/>
    <n v="1"/>
    <n v="550"/>
    <m/>
    <n v="3940"/>
    <m/>
    <m/>
    <d v="2024-03-11T00:00:00"/>
    <d v="2024-03-11T00:00:00"/>
    <n v="0"/>
    <d v="2024-03-11T00:00:00"/>
    <d v="2024-03-18T00:00:00"/>
    <n v="362903"/>
    <d v="2024-03-18T00:00:00"/>
    <d v="2024-03-25T00:00:00"/>
    <d v="2024-04-01T00:00:00"/>
    <d v="2024-05-13T00:00:00"/>
    <n v="1.5"/>
    <n v="7"/>
    <s v="Funcionalidad Lista"/>
    <m/>
    <s v="x"/>
  </r>
  <r>
    <x v="1"/>
    <x v="5"/>
    <m/>
    <x v="83"/>
    <m/>
    <s v="El proyecto inicio ejecución en 2023 y debería estar implementado en febrero de 2024 aproximadamente"/>
    <m/>
    <x v="0"/>
    <s v="Desarrollo Software Integración Granjas con SAP"/>
    <x v="2"/>
    <x v="0"/>
    <x v="23"/>
    <x v="17"/>
    <x v="1"/>
    <x v="4"/>
    <s v="Q1"/>
    <x v="1"/>
    <m/>
    <x v="1"/>
    <n v="1"/>
    <m/>
    <m/>
    <m/>
    <m/>
    <n v="0"/>
    <m/>
    <m/>
    <d v="2023-08-07T00:00:00"/>
    <d v="2024-01-28T00:00:00"/>
    <n v="174"/>
    <d v="2024-02-21T00:00:00"/>
    <d v="2024-02-28T00:00:00"/>
    <n v="7"/>
    <d v="2024-02-28T00:00:00"/>
    <d v="2024-03-07T00:00:00"/>
    <m/>
    <m/>
    <n v="0"/>
    <n v="8"/>
    <m/>
    <m/>
    <m/>
  </r>
  <r>
    <x v="0"/>
    <x v="5"/>
    <m/>
    <x v="84"/>
    <m/>
    <s v="Mejorar la disponibilidad de los datos, actualmente los datos presentan dificultad para extracción de datos a diario._x000a_Control de integridad de los datos_x000a_"/>
    <m/>
    <x v="0"/>
    <s v="Mejora en la entrega de data para BI"/>
    <x v="1"/>
    <x v="0"/>
    <x v="31"/>
    <x v="1"/>
    <x v="2"/>
    <x v="0"/>
    <s v="Q2"/>
    <x v="1"/>
    <m/>
    <x v="1"/>
    <n v="1"/>
    <n v="2"/>
    <n v="2"/>
    <n v="550"/>
    <m/>
    <n v="2200"/>
    <m/>
    <m/>
    <d v="2024-02-07T00:00:00"/>
    <d v="2024-02-14T00:00:00"/>
    <n v="7"/>
    <d v="2024-02-14T00:00:00"/>
    <d v="2024-02-21T00:00:00"/>
    <n v="7"/>
    <d v="2024-02-21T00:00:00"/>
    <d v="2024-02-28T00:00:00"/>
    <m/>
    <m/>
    <n v="0.5"/>
    <n v="7"/>
    <s v="BI"/>
    <m/>
    <m/>
  </r>
  <r>
    <x v="0"/>
    <x v="0"/>
    <m/>
    <x v="85"/>
    <m/>
    <s v="Cambio de facturas Tipo A con datos"/>
    <m/>
    <x v="2"/>
    <s v="Funcionalidades Locales"/>
    <x v="3"/>
    <x v="2"/>
    <x v="26"/>
    <x v="18"/>
    <x v="1"/>
    <x v="4"/>
    <m/>
    <x v="2"/>
    <m/>
    <x v="2"/>
    <n v="1"/>
    <n v="8"/>
    <n v="2"/>
    <n v="550"/>
    <m/>
    <n v="9440"/>
    <m/>
    <m/>
    <d v="2024-04-01T00:00:00"/>
    <d v="2024-05-10T00:00:00"/>
    <e v="#REF!"/>
    <d v="2024-05-13T00:00:00"/>
    <d v="2024-05-17T00:00:00"/>
    <d v="2894-12-17T00:00:00"/>
    <d v="2024-05-20T00:00:00"/>
    <d v="2024-05-24T00:00:00"/>
    <m/>
    <m/>
    <n v="2"/>
    <n v="4"/>
    <m/>
    <m/>
    <m/>
  </r>
  <r>
    <x v="0"/>
    <x v="2"/>
    <s v="Fidelización"/>
    <x v="86"/>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x v="0"/>
    <s v="Proyectos TD 2024"/>
    <x v="2"/>
    <x v="0"/>
    <x v="10"/>
    <x v="4"/>
    <x v="1"/>
    <x v="4"/>
    <e v="#N/A"/>
    <x v="1"/>
    <s v="p62"/>
    <x v="1"/>
    <m/>
    <n v="10"/>
    <n v="2"/>
    <n v="550"/>
    <m/>
    <n v="11640"/>
    <m/>
    <m/>
    <d v="2024-02-26T00:00:00"/>
    <d v="2024-03-11T00:00:00"/>
    <n v="14"/>
    <d v="2024-03-11T00:00:00"/>
    <d v="2024-03-18T00:00:00"/>
    <n v="362903"/>
    <d v="2024-03-18T00:00:00"/>
    <d v="2024-03-25T00:00:00"/>
    <d v="2024-04-01T00:00:00"/>
    <d v="2024-06-10T00:00:00"/>
    <n v="2.5"/>
    <n v="7"/>
    <s v="ECOMERCE"/>
    <m/>
    <s v="x"/>
  </r>
  <r>
    <x v="0"/>
    <x v="2"/>
    <s v="Fidelización"/>
    <x v="87"/>
    <s v="TRADE"/>
    <s v="Paymentez Diners y Discover._x000a_"/>
    <s v="BAJA"/>
    <x v="0"/>
    <s v="Proyectos TD 2024"/>
    <x v="2"/>
    <x v="0"/>
    <x v="10"/>
    <x v="4"/>
    <x v="1"/>
    <x v="0"/>
    <e v="#N/A"/>
    <x v="0"/>
    <s v="p26"/>
    <x v="0"/>
    <m/>
    <n v="2"/>
    <n v="1"/>
    <n v="550"/>
    <m/>
    <n v="1100"/>
    <m/>
    <m/>
    <d v="2024-08-19T00:00:00"/>
    <d v="2024-08-19T00:00:00"/>
    <n v="0"/>
    <d v="2024-08-19T00:00:00"/>
    <d v="2024-08-26T00:00:00"/>
    <n v="364191"/>
    <d v="2024-08-26T00:00:00"/>
    <d v="2024-09-02T00:00:00"/>
    <d v="2024-08-01T00:00:00"/>
    <d v="2024-08-15T00:00:00"/>
    <n v="0.5"/>
    <n v="7"/>
    <s v="ECOMERCE"/>
    <m/>
    <s v="x"/>
  </r>
  <r>
    <x v="0"/>
    <x v="3"/>
    <m/>
    <x v="88"/>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x v="0"/>
    <m/>
    <x v="2"/>
    <x v="0"/>
    <x v="16"/>
    <x v="11"/>
    <x v="0"/>
    <x v="0"/>
    <m/>
    <x v="0"/>
    <m/>
    <x v="1"/>
    <m/>
    <n v="14"/>
    <n v="1"/>
    <n v="550"/>
    <m/>
    <n v="8340"/>
    <m/>
    <m/>
    <m/>
    <m/>
    <e v="#REF!"/>
    <m/>
    <m/>
    <d v="1899-12-30T00:00:00"/>
    <m/>
    <m/>
    <m/>
    <m/>
    <n v="3.5"/>
    <n v="0"/>
    <m/>
    <m/>
    <m/>
  </r>
  <r>
    <x v="0"/>
    <x v="3"/>
    <m/>
    <x v="89"/>
    <m/>
    <s v="Pendiente Levantamiento con Diego Diaz"/>
    <m/>
    <x v="0"/>
    <m/>
    <x v="2"/>
    <x v="0"/>
    <x v="16"/>
    <x v="11"/>
    <x v="0"/>
    <x v="0"/>
    <m/>
    <x v="3"/>
    <m/>
    <x v="3"/>
    <m/>
    <n v="8"/>
    <n v="1"/>
    <n v="550"/>
    <m/>
    <n v="5040"/>
    <m/>
    <m/>
    <m/>
    <m/>
    <e v="#REF!"/>
    <m/>
    <m/>
    <n v="0"/>
    <m/>
    <m/>
    <m/>
    <m/>
    <n v="2"/>
    <n v="0"/>
    <m/>
    <m/>
    <m/>
  </r>
  <r>
    <x v="0"/>
    <x v="3"/>
    <m/>
    <x v="90"/>
    <m/>
    <s v="Permite llevar control del cumplimiento de especificaciones de producción a partir de los datos de los muestreo de calidad."/>
    <m/>
    <x v="0"/>
    <s v="Calidad Planta"/>
    <x v="2"/>
    <x v="0"/>
    <x v="23"/>
    <x v="21"/>
    <x v="0"/>
    <x v="0"/>
    <m/>
    <x v="3"/>
    <m/>
    <x v="1"/>
    <m/>
    <n v="8"/>
    <n v="1"/>
    <n v="550"/>
    <m/>
    <n v="5040"/>
    <m/>
    <m/>
    <m/>
    <m/>
    <e v="#REF!"/>
    <m/>
    <m/>
    <d v="1899-12-30T00:00:00"/>
    <m/>
    <m/>
    <m/>
    <m/>
    <n v="2"/>
    <n v="0"/>
    <m/>
    <m/>
    <m/>
  </r>
  <r>
    <x v="0"/>
    <x v="3"/>
    <m/>
    <x v="91"/>
    <m/>
    <s v="Mediante Fiona la creacion de pedidos de clientes externos y comedor con un perfil para el supervisor del área, suprimir papel de solicitud "/>
    <m/>
    <x v="0"/>
    <m/>
    <x v="2"/>
    <x v="0"/>
    <x v="16"/>
    <x v="11"/>
    <x v="0"/>
    <x v="0"/>
    <m/>
    <x v="0"/>
    <m/>
    <x v="2"/>
    <m/>
    <n v="10"/>
    <n v="1"/>
    <n v="550"/>
    <m/>
    <n v="6140"/>
    <m/>
    <m/>
    <m/>
    <m/>
    <e v="#REF!"/>
    <m/>
    <m/>
    <d v="1899-12-30T00:00:00"/>
    <m/>
    <m/>
    <m/>
    <m/>
    <n v="2.5"/>
    <n v="0"/>
    <m/>
    <m/>
    <m/>
  </r>
  <r>
    <x v="1"/>
    <x v="0"/>
    <m/>
    <x v="92"/>
    <m/>
    <s v="Implementación de flujo de caja chica en curso, con vinculo a maxpoint y sir"/>
    <m/>
    <x v="2"/>
    <s v="Funcionalidades Locales"/>
    <x v="3"/>
    <x v="3"/>
    <x v="11"/>
    <x v="8"/>
    <x v="1"/>
    <x v="0"/>
    <m/>
    <x v="2"/>
    <m/>
    <x v="2"/>
    <n v="1"/>
    <n v="4"/>
    <n v="1"/>
    <n v="625"/>
    <m/>
    <n v="2500"/>
    <m/>
    <m/>
    <d v="2024-05-06T00:00:00"/>
    <d v="2024-05-17T00:00:00"/>
    <e v="#REF!"/>
    <d v="2024-05-20T00:00:00"/>
    <d v="2024-05-24T00:00:00"/>
    <d v="2895-02-11T00:00:00"/>
    <d v="2024-05-27T00:00:00"/>
    <d v="2024-05-31T00:00:00"/>
    <m/>
    <m/>
    <n v="1"/>
    <n v="4"/>
    <s v="PROYECTO MXP"/>
    <m/>
    <m/>
  </r>
  <r>
    <x v="1"/>
    <x v="1"/>
    <m/>
    <x v="93"/>
    <m/>
    <s v="Ver Anexo A4"/>
    <m/>
    <x v="0"/>
    <s v="Célula de Operaciones SIR 2023"/>
    <x v="0"/>
    <x v="0"/>
    <x v="1"/>
    <x v="0"/>
    <x v="1"/>
    <x v="1"/>
    <n v="4"/>
    <x v="2"/>
    <m/>
    <x v="2"/>
    <m/>
    <n v="2"/>
    <n v="3"/>
    <n v="400"/>
    <m/>
    <n v="3040"/>
    <m/>
    <m/>
    <m/>
    <m/>
    <e v="#REF!"/>
    <m/>
    <m/>
    <d v="1899-12-30T00:00:00"/>
    <m/>
    <m/>
    <m/>
    <m/>
    <n v="0.5"/>
    <n v="0"/>
    <s v="Célula Operaciones"/>
    <m/>
    <m/>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0"/>
    <s v="Proyectos TD 2024"/>
    <x v="2"/>
    <x v="0"/>
    <x v="10"/>
    <x v="4"/>
    <x v="1"/>
    <x v="0"/>
    <e v="#N/A"/>
    <x v="0"/>
    <s v="p44"/>
    <x v="1"/>
    <n v="1"/>
    <n v="6"/>
    <n v="1"/>
    <n v="550"/>
    <m/>
    <n v="3940"/>
    <m/>
    <m/>
    <d v="2024-07-22T00:00:00"/>
    <d v="2024-08-19T00:00:00"/>
    <n v="28"/>
    <d v="2024-08-19T00:00:00"/>
    <d v="2024-08-26T00:00:00"/>
    <n v="364191"/>
    <d v="2024-08-26T00:00:00"/>
    <d v="2024-09-02T00:00:00"/>
    <d v="2024-07-01T00:00:00"/>
    <d v="2024-08-12T00:00:00"/>
    <n v="1.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1"/>
    <x v="10"/>
    <x v="4"/>
    <x v="1"/>
    <x v="0"/>
    <e v="#N/A"/>
    <x v="0"/>
    <s v="p44"/>
    <x v="1"/>
    <n v="1"/>
    <n v="3"/>
    <n v="1"/>
    <n v="550"/>
    <m/>
    <n v="2290"/>
    <m/>
    <m/>
    <d v="2024-09-02T00:00:00"/>
    <d v="2024-09-09T00:00:00"/>
    <n v="7"/>
    <d v="2024-09-09T00:00:00"/>
    <d v="2024-09-16T00:00:00"/>
    <n v="364359"/>
    <d v="2024-09-16T00:00:00"/>
    <d v="2024-09-23T00:00:00"/>
    <d v="2024-09-01T00:00:00"/>
    <d v="2024-09-22T00:00:00"/>
    <n v="0.7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2"/>
    <x v="10"/>
    <x v="4"/>
    <x v="1"/>
    <x v="0"/>
    <e v="#N/A"/>
    <x v="0"/>
    <s v="p44"/>
    <x v="1"/>
    <n v="1"/>
    <n v="3"/>
    <n v="1"/>
    <n v="550"/>
    <m/>
    <n v="2290"/>
    <m/>
    <m/>
    <d v="2024-07-29T00:00:00"/>
    <d v="2024-08-05T00:00:00"/>
    <n v="7"/>
    <d v="2024-08-05T00:00:00"/>
    <d v="2024-08-12T00:00:00"/>
    <n v="364079"/>
    <d v="2024-08-12T00:00:00"/>
    <d v="2024-08-19T00:00:00"/>
    <d v="2024-08-01T00:00:00"/>
    <d v="2024-08-22T00:00:00"/>
    <n v="0.7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3"/>
    <x v="10"/>
    <x v="4"/>
    <x v="1"/>
    <x v="0"/>
    <e v="#N/A"/>
    <x v="0"/>
    <s v="p44"/>
    <x v="1"/>
    <n v="1"/>
    <n v="3"/>
    <n v="1"/>
    <n v="550"/>
    <m/>
    <n v="2290"/>
    <m/>
    <m/>
    <d v="2024-09-02T00:00:00"/>
    <d v="2024-09-09T00:00:00"/>
    <n v="7"/>
    <d v="2024-09-09T00:00:00"/>
    <d v="2024-09-16T00:00:00"/>
    <n v="364359"/>
    <d v="2024-09-16T00:00:00"/>
    <d v="2024-09-23T00:00:00"/>
    <d v="2024-09-01T00:00:00"/>
    <d v="2024-09-22T00:00:00"/>
    <n v="0.75"/>
    <n v="7"/>
    <s v="PROYECTO REGIONAL"/>
    <m/>
    <s v="x"/>
  </r>
  <r>
    <x v="0"/>
    <x v="2"/>
    <s v="Kioscos"/>
    <x v="94"/>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x v="2"/>
    <x v="4"/>
    <x v="10"/>
    <x v="4"/>
    <x v="1"/>
    <x v="0"/>
    <e v="#N/A"/>
    <x v="0"/>
    <s v="p44"/>
    <x v="1"/>
    <n v="1"/>
    <n v="5"/>
    <n v="1"/>
    <n v="550"/>
    <m/>
    <n v="3390"/>
    <m/>
    <m/>
    <d v="2024-09-02T00:00:00"/>
    <d v="2024-09-09T00:00:00"/>
    <n v="7"/>
    <d v="2024-09-09T00:00:00"/>
    <d v="2024-09-16T00:00:00"/>
    <n v="364359"/>
    <d v="2024-09-16T00:00:00"/>
    <d v="2024-10-07T00:00:00"/>
    <d v="2024-09-01T00:00:00"/>
    <d v="2024-10-06T00:00:00"/>
    <n v="1.25"/>
    <n v="21"/>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0"/>
    <s v="Proyectos TD 2024"/>
    <x v="2"/>
    <x v="0"/>
    <x v="10"/>
    <x v="4"/>
    <x v="1"/>
    <x v="0"/>
    <e v="#N/A"/>
    <x v="0"/>
    <s v="p61"/>
    <x v="1"/>
    <n v="1"/>
    <n v="4"/>
    <n v="1"/>
    <n v="550"/>
    <m/>
    <n v="2840"/>
    <m/>
    <m/>
    <d v="2024-08-05T00:00:00"/>
    <d v="2024-08-26T00:00:00"/>
    <n v="21"/>
    <d v="2024-08-26T00:00:00"/>
    <d v="2024-09-02T00:00:00"/>
    <n v="364247"/>
    <d v="2024-09-02T00:00:00"/>
    <d v="2024-09-09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1"/>
    <x v="10"/>
    <x v="4"/>
    <x v="1"/>
    <x v="0"/>
    <e v="#N/A"/>
    <x v="0"/>
    <s v="p61"/>
    <x v="1"/>
    <n v="1"/>
    <n v="4"/>
    <n v="1"/>
    <n v="550"/>
    <m/>
    <n v="2840"/>
    <m/>
    <m/>
    <d v="2024-08-26T00:00:00"/>
    <d v="2024-09-09T00:00:00"/>
    <n v="14"/>
    <d v="2024-09-09T00:00:00"/>
    <d v="2024-09-16T00:00:00"/>
    <n v="364359"/>
    <d v="2024-09-16T00:00:00"/>
    <d v="2024-09-23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2"/>
    <x v="10"/>
    <x v="4"/>
    <x v="1"/>
    <x v="0"/>
    <e v="#N/A"/>
    <x v="0"/>
    <s v="p61"/>
    <x v="1"/>
    <n v="1"/>
    <n v="4"/>
    <n v="1"/>
    <n v="550"/>
    <m/>
    <n v="2840"/>
    <m/>
    <m/>
    <d v="2024-08-26T00:00:00"/>
    <d v="2024-09-09T00:00:00"/>
    <n v="14"/>
    <d v="2024-09-09T00:00:00"/>
    <d v="2024-09-16T00:00:00"/>
    <n v="364359"/>
    <d v="2024-09-16T00:00:00"/>
    <d v="2024-09-23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3"/>
    <x v="10"/>
    <x v="4"/>
    <x v="1"/>
    <x v="0"/>
    <e v="#N/A"/>
    <x v="0"/>
    <s v="p61"/>
    <x v="1"/>
    <n v="1"/>
    <n v="4"/>
    <n v="1"/>
    <n v="550"/>
    <m/>
    <n v="2840"/>
    <m/>
    <m/>
    <d v="2024-08-26T00:00:00"/>
    <d v="2024-09-09T00:00:00"/>
    <n v="14"/>
    <d v="2024-09-09T00:00:00"/>
    <d v="2024-09-16T00:00:00"/>
    <n v="364359"/>
    <d v="2024-09-16T00:00:00"/>
    <d v="2024-09-23T00:00:00"/>
    <d v="2024-08-01T00:00:00"/>
    <d v="2024-08-29T00:00:00"/>
    <n v="1"/>
    <n v="7"/>
    <s v="PROYECTO REGIONAL"/>
    <m/>
    <s v="x"/>
  </r>
  <r>
    <x v="0"/>
    <x v="2"/>
    <s v="Kioscos"/>
    <x v="95"/>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x v="2"/>
    <x v="4"/>
    <x v="10"/>
    <x v="4"/>
    <x v="1"/>
    <x v="0"/>
    <e v="#N/A"/>
    <x v="0"/>
    <s v="p61"/>
    <x v="1"/>
    <n v="1"/>
    <n v="6"/>
    <n v="1"/>
    <n v="550"/>
    <m/>
    <n v="3940"/>
    <m/>
    <m/>
    <d v="2024-08-26T00:00:00"/>
    <d v="2024-09-09T00:00:00"/>
    <n v="14"/>
    <d v="2024-09-09T00:00:00"/>
    <d v="2024-09-16T00:00:00"/>
    <n v="364359"/>
    <d v="2024-09-16T00:00:00"/>
    <d v="2024-10-07T00:00:00"/>
    <d v="2024-08-01T00:00:00"/>
    <d v="2024-09-12T00:00:00"/>
    <n v="1.5"/>
    <n v="21"/>
    <s v="PROYECTO REGIONAL"/>
    <m/>
    <s v="x"/>
  </r>
  <r>
    <x v="0"/>
    <x v="5"/>
    <m/>
    <x v="96"/>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x v="0"/>
    <m/>
    <x v="6"/>
    <x v="0"/>
    <x v="21"/>
    <x v="16"/>
    <x v="2"/>
    <x v="0"/>
    <m/>
    <x v="4"/>
    <m/>
    <x v="3"/>
    <m/>
    <m/>
    <m/>
    <m/>
    <m/>
    <n v="640"/>
    <m/>
    <m/>
    <m/>
    <m/>
    <e v="#REF!"/>
    <m/>
    <m/>
    <d v="1899-12-30T00:00:00"/>
    <m/>
    <m/>
    <m/>
    <m/>
    <d v="1899-12-30T00:00:00"/>
    <n v="0"/>
    <s v="Vinculo con SIR"/>
    <m/>
    <m/>
  </r>
  <r>
    <x v="0"/>
    <x v="1"/>
    <m/>
    <x v="97"/>
    <m/>
    <s v="Actualmente  el pedido es de manera Manual y dependemos de una persona para que sean subidos a una orden de trabajo, de lo contrario no se despachan, y el objetivo es automatizar para despacho inmediato ."/>
    <m/>
    <x v="0"/>
    <m/>
    <x v="6"/>
    <x v="0"/>
    <x v="25"/>
    <x v="7"/>
    <x v="2"/>
    <x v="0"/>
    <m/>
    <x v="4"/>
    <m/>
    <x v="3"/>
    <m/>
    <m/>
    <m/>
    <m/>
    <m/>
    <n v="640"/>
    <m/>
    <m/>
    <m/>
    <m/>
    <e v="#REF!"/>
    <m/>
    <m/>
    <d v="1899-12-30T00:00:00"/>
    <m/>
    <m/>
    <m/>
    <m/>
    <d v="1899-12-30T00:00:00"/>
    <n v="0"/>
    <s v="Validar TV reunión con el equipo de datos maestros + Kimberly Ayala + Andrés Rigoli"/>
    <m/>
    <m/>
  </r>
  <r>
    <x v="0"/>
    <x v="3"/>
    <m/>
    <x v="98"/>
    <m/>
    <s v="Alertas"/>
    <m/>
    <x v="0"/>
    <s v="Gestión de Contratos de Arriendos"/>
    <x v="2"/>
    <x v="0"/>
    <x v="32"/>
    <x v="17"/>
    <x v="2"/>
    <x v="0"/>
    <s v="Q1"/>
    <x v="2"/>
    <m/>
    <x v="1"/>
    <m/>
    <n v="8"/>
    <n v="1"/>
    <n v="550"/>
    <m/>
    <n v="8400"/>
    <m/>
    <m/>
    <d v="2024-03-01T00:00:00"/>
    <d v="2024-04-01T00:00:00"/>
    <e v="#REF!"/>
    <d v="2024-04-01T00:00:00"/>
    <d v="2024-04-14T00:00:00"/>
    <d v="2894-01-24T00:00:00"/>
    <d v="2024-04-14T00:00:00"/>
    <d v="2024-05-01T00:00:00"/>
    <m/>
    <m/>
    <d v="1900-01-01T00:00:00"/>
    <n v="17"/>
    <m/>
    <m/>
    <m/>
  </r>
  <r>
    <x v="0"/>
    <x v="0"/>
    <m/>
    <x v="99"/>
    <m/>
    <s v="Ver Anexo A2"/>
    <m/>
    <x v="0"/>
    <s v="Celula Operaciones Maxpoint 2024"/>
    <x v="0"/>
    <x v="0"/>
    <x v="0"/>
    <x v="0"/>
    <x v="2"/>
    <x v="0"/>
    <m/>
    <x v="2"/>
    <m/>
    <x v="1"/>
    <n v="1"/>
    <n v="3"/>
    <n v="2"/>
    <n v="550"/>
    <m/>
    <n v="3880"/>
    <m/>
    <m/>
    <d v="2024-06-03T00:00:00"/>
    <d v="2024-06-24T00:00:00"/>
    <d v="2024-06-25T00:00:00"/>
    <d v="2024-07-09T00:00:00"/>
    <d v="2024-07-10T00:00:00"/>
    <d v="2024-07-24T00:00:00"/>
    <d v="2024-07-10T00:00:00"/>
    <d v="2024-07-24T00:00:00"/>
    <m/>
    <m/>
    <n v="0.75"/>
    <n v="14"/>
    <m/>
    <m/>
    <m/>
  </r>
  <r>
    <x v="1"/>
    <x v="1"/>
    <m/>
    <x v="100"/>
    <m/>
    <s v="Ver Anexo A4"/>
    <m/>
    <x v="0"/>
    <s v="Célula de Operaciones SIR 2023"/>
    <x v="0"/>
    <x v="0"/>
    <x v="1"/>
    <x v="0"/>
    <x v="1"/>
    <x v="0"/>
    <n v="5"/>
    <x v="2"/>
    <m/>
    <x v="1"/>
    <m/>
    <n v="2"/>
    <n v="4"/>
    <n v="400"/>
    <m/>
    <n v="3840"/>
    <m/>
    <m/>
    <m/>
    <m/>
    <e v="#REF!"/>
    <m/>
    <m/>
    <d v="1899-12-30T00:00:00"/>
    <m/>
    <m/>
    <m/>
    <m/>
    <n v="0.5"/>
    <n v="0"/>
    <s v="Célula Operaciones"/>
    <m/>
    <m/>
  </r>
  <r>
    <x v="0"/>
    <x v="0"/>
    <m/>
    <x v="101"/>
    <m/>
    <s v="Implementar versión de maxpoint domicilio para dolce;"/>
    <m/>
    <x v="0"/>
    <s v="Celula Operaciones Maxpoint 2024"/>
    <x v="0"/>
    <x v="0"/>
    <x v="33"/>
    <x v="0"/>
    <x v="2"/>
    <x v="0"/>
    <m/>
    <x v="2"/>
    <m/>
    <x v="2"/>
    <n v="1"/>
    <n v="4"/>
    <n v="2"/>
    <n v="550"/>
    <m/>
    <n v="4980"/>
    <m/>
    <m/>
    <d v="2024-06-03T00:00:00"/>
    <d v="2024-07-01T00:00:00"/>
    <e v="#REF!"/>
    <d v="2024-07-02T00:00:00"/>
    <d v="2024-07-16T00:00:00"/>
    <d v="2896-01-31T00:00:00"/>
    <d v="2024-07-17T00:00:00"/>
    <d v="2024-07-31T00:00:00"/>
    <m/>
    <m/>
    <n v="1"/>
    <n v="14"/>
    <m/>
    <m/>
    <m/>
  </r>
  <r>
    <x v="0"/>
    <x v="0"/>
    <m/>
    <x v="102"/>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x v="0"/>
    <s v="Celula Operaciones Maxpoint 2024"/>
    <x v="0"/>
    <x v="0"/>
    <x v="33"/>
    <x v="0"/>
    <x v="2"/>
    <x v="0"/>
    <m/>
    <x v="2"/>
    <s v="Se necesita mayor contexto del cliente"/>
    <x v="0"/>
    <n v="1"/>
    <n v="3"/>
    <n v="1"/>
    <n v="550"/>
    <m/>
    <n v="2230"/>
    <m/>
    <m/>
    <d v="2024-05-02T00:00:00"/>
    <d v="2024-05-23T00:00:00"/>
    <e v="#REF!"/>
    <d v="2024-05-24T00:00:00"/>
    <d v="2024-06-07T00:00:00"/>
    <d v="2895-03-25T00:00:00"/>
    <d v="2024-06-08T00:00:00"/>
    <d v="2024-06-22T00:00:00"/>
    <m/>
    <m/>
    <n v="0.75"/>
    <n v="14"/>
    <m/>
    <m/>
    <m/>
  </r>
  <r>
    <x v="0"/>
    <x v="0"/>
    <m/>
    <x v="103"/>
    <s v="MXP 2.0"/>
    <s v="Ver Anexo A2"/>
    <m/>
    <x v="0"/>
    <s v="Celula Operaciones Maxpoint 2024"/>
    <x v="0"/>
    <x v="0"/>
    <x v="0"/>
    <x v="0"/>
    <x v="2"/>
    <x v="0"/>
    <n v="1"/>
    <x v="2"/>
    <m/>
    <x v="0"/>
    <n v="1"/>
    <n v="3"/>
    <n v="1"/>
    <n v="550"/>
    <m/>
    <n v="2230"/>
    <m/>
    <m/>
    <d v="2024-04-01T00:00:00"/>
    <d v="2024-04-22T00:00:00"/>
    <d v="2024-04-23T00:00:00"/>
    <d v="2024-05-07T00:00:00"/>
    <d v="2024-05-08T00:00:00"/>
    <d v="2024-05-22T00:00:00"/>
    <d v="2024-05-08T00:00:00"/>
    <d v="2024-05-22T00:00:00"/>
    <m/>
    <m/>
    <n v="0.75"/>
    <n v="14"/>
    <s v="Célula Operaciones"/>
    <m/>
    <m/>
  </r>
  <r>
    <x v="0"/>
    <x v="2"/>
    <s v="APP"/>
    <x v="104"/>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x v="2"/>
    <s v="Proyectos TD 2024"/>
    <x v="2"/>
    <x v="1"/>
    <x v="34"/>
    <x v="4"/>
    <x v="1"/>
    <x v="4"/>
    <e v="#N/A"/>
    <x v="1"/>
    <s v="p25"/>
    <x v="1"/>
    <m/>
    <n v="6"/>
    <n v="1"/>
    <n v="550"/>
    <m/>
    <n v="3940"/>
    <m/>
    <m/>
    <d v="2024-03-04T00:00:00"/>
    <d v="2024-04-01T00:00:00"/>
    <n v="28"/>
    <d v="2024-04-01T00:00:00"/>
    <d v="2024-04-15T00:00:00"/>
    <n v="363078"/>
    <d v="2024-04-15T00:00:00"/>
    <d v="2024-04-29T00:00:00"/>
    <d v="2024-04-01T00:00:00"/>
    <d v="2024-05-13T00:00:00"/>
    <n v="1.5"/>
    <n v="14"/>
    <s v="ECOMERCE"/>
    <m/>
    <s v="x"/>
  </r>
  <r>
    <x v="0"/>
    <x v="5"/>
    <m/>
    <x v="105"/>
    <m/>
    <s v="Proyecto 2023, continúa implementación 2024, fecha aprox febrero"/>
    <m/>
    <x v="0"/>
    <s v="Implementación Coproductos empresa Embutser"/>
    <x v="2"/>
    <x v="0"/>
    <x v="23"/>
    <x v="17"/>
    <x v="1"/>
    <x v="4"/>
    <s v="Q1"/>
    <x v="1"/>
    <m/>
    <x v="1"/>
    <n v="1"/>
    <m/>
    <m/>
    <m/>
    <m/>
    <n v="0"/>
    <m/>
    <m/>
    <d v="2024-01-07T00:00:00"/>
    <d v="2024-01-21T00:00:00"/>
    <n v="14"/>
    <d v="2024-01-21T00:00:00"/>
    <d v="2024-01-28T00:00:00"/>
    <n v="7"/>
    <d v="2024-02-21T00:00:00"/>
    <d v="2024-02-28T00:00:00"/>
    <m/>
    <m/>
    <n v="0"/>
    <n v="7"/>
    <m/>
    <m/>
    <m/>
  </r>
  <r>
    <x v="0"/>
    <x v="5"/>
    <m/>
    <x v="106"/>
    <m/>
    <s v="Contar con una herramienta de reporteria facil de implemantar y puedan utilizar los usuarios de SAP, sin mayor aporte del area de tecnologia"/>
    <m/>
    <x v="3"/>
    <s v="Reportería Regional SAP ANALYTIC CLOUD"/>
    <x v="2"/>
    <x v="0"/>
    <x v="13"/>
    <x v="9"/>
    <x v="2"/>
    <x v="5"/>
    <s v="Q2"/>
    <x v="2"/>
    <m/>
    <x v="1"/>
    <n v="1"/>
    <n v="8"/>
    <n v="4"/>
    <n v="637.5"/>
    <n v="40000"/>
    <n v="60400"/>
    <n v="40000"/>
    <m/>
    <d v="2024-04-07T00:00:00"/>
    <d v="2024-05-14T00:00:00"/>
    <n v="37"/>
    <m/>
    <m/>
    <d v="1899-12-30T00:00:00"/>
    <m/>
    <m/>
    <m/>
    <m/>
    <n v="2"/>
    <n v="0"/>
    <m/>
    <m/>
    <m/>
  </r>
  <r>
    <x v="0"/>
    <x v="5"/>
    <m/>
    <x v="107"/>
    <m/>
    <s v="Nuevo Requerimiento"/>
    <m/>
    <x v="2"/>
    <s v="Mejoras B2B - Finanzas"/>
    <x v="1"/>
    <x v="4"/>
    <x v="35"/>
    <x v="12"/>
    <x v="1"/>
    <x v="0"/>
    <s v="Q1"/>
    <x v="2"/>
    <m/>
    <x v="1"/>
    <n v="1"/>
    <n v="4"/>
    <n v="1"/>
    <n v="572.5"/>
    <m/>
    <n v="2290"/>
    <m/>
    <m/>
    <d v="2024-02-21T00:00:00"/>
    <d v="2024-03-07T00:00:00"/>
    <n v="15"/>
    <d v="2024-03-07T00:00:00"/>
    <d v="2024-03-14T00:00:00"/>
    <n v="7"/>
    <d v="2024-03-14T00:00:00"/>
    <d v="2024-03-21T00:00:00"/>
    <m/>
    <m/>
    <n v="1"/>
    <n v="7"/>
    <m/>
    <m/>
    <m/>
  </r>
  <r>
    <x v="0"/>
    <x v="5"/>
    <m/>
    <x v="108"/>
    <m/>
    <s v="Tesorería, actualemte se comparten usuarios para acceder a Herramienta "/>
    <m/>
    <x v="0"/>
    <s v="Easy Scripting"/>
    <x v="2"/>
    <x v="0"/>
    <x v="19"/>
    <x v="14"/>
    <x v="2"/>
    <x v="0"/>
    <s v="Q2"/>
    <x v="2"/>
    <m/>
    <x v="0"/>
    <n v="1"/>
    <n v="1"/>
    <n v="2"/>
    <n v="550"/>
    <m/>
    <n v="1100"/>
    <n v="1800"/>
    <m/>
    <d v="2024-02-14T00:00:00"/>
    <d v="2024-02-28T00:00:00"/>
    <n v="14"/>
    <d v="2024-02-28T00:00:00"/>
    <d v="2024-03-14T00:00:00"/>
    <n v="15"/>
    <d v="2024-03-14T00:00:00"/>
    <d v="2024-03-21T00:00:00"/>
    <m/>
    <m/>
    <n v="0.25"/>
    <n v="7"/>
    <m/>
    <m/>
    <m/>
  </r>
  <r>
    <x v="0"/>
    <x v="0"/>
    <m/>
    <x v="109"/>
    <s v="MXP 2.0"/>
    <s v="Ver Anexo A2_x000a_Arqueo, Retiros, proceso de cuadre de caja se lo haga en la oficina y no el en fronting POS, pero Imprimir la cinta en el POS caja, agrupador UX de formas de pago, BACK y Front"/>
    <m/>
    <x v="0"/>
    <s v="Celula Operaciones Maxpoint 2024"/>
    <x v="0"/>
    <x v="0"/>
    <x v="36"/>
    <x v="0"/>
    <x v="2"/>
    <x v="0"/>
    <n v="2"/>
    <x v="2"/>
    <m/>
    <x v="0"/>
    <n v="1"/>
    <n v="3"/>
    <n v="1"/>
    <n v="550"/>
    <m/>
    <n v="2230"/>
    <m/>
    <m/>
    <d v="2024-06-17T00:00:00"/>
    <d v="2024-04-22T00:00:00"/>
    <d v="2024-04-23T00:00:00"/>
    <d v="2024-05-07T00:00:00"/>
    <d v="2024-05-08T00:00:00"/>
    <d v="2024-05-22T00:00:00"/>
    <d v="2024-07-22T00:00:00"/>
    <d v="2024-08-05T00:00:00"/>
    <m/>
    <m/>
    <n v="0.75"/>
    <n v="14"/>
    <s v="Célula Operaciones"/>
    <m/>
    <m/>
  </r>
  <r>
    <x v="0"/>
    <x v="0"/>
    <m/>
    <x v="110"/>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x v="0"/>
    <s v="Mejoras Maxpoint Auditoría 2024"/>
    <x v="2"/>
    <x v="0"/>
    <x v="3"/>
    <x v="2"/>
    <x v="2"/>
    <x v="0"/>
    <n v="2"/>
    <x v="2"/>
    <s v="De sistema payroll para que exponga emdiante api la información del personal"/>
    <x v="0"/>
    <n v="1"/>
    <n v="2"/>
    <n v="1"/>
    <n v="550"/>
    <m/>
    <n v="1680"/>
    <m/>
    <m/>
    <d v="2024-04-15T00:00:00"/>
    <d v="2024-04-29T00:00:00"/>
    <d v="1900-01-13T00:00:00"/>
    <d v="2024-04-30T00:00:00"/>
    <d v="2024-05-14T00:00:00"/>
    <d v="2894-09-14T00:00:00"/>
    <d v="2024-05-15T00:00:00"/>
    <d v="2024-05-19T00:00:00"/>
    <m/>
    <m/>
    <n v="0.5"/>
    <n v="4"/>
    <m/>
    <m/>
    <m/>
  </r>
  <r>
    <x v="0"/>
    <x v="0"/>
    <m/>
    <x v="111"/>
    <s v="MXP 2.0"/>
    <s v="Botones adicionales solicitados por mkt kfc"/>
    <m/>
    <x v="0"/>
    <s v="Landing Page"/>
    <x v="2"/>
    <x v="0"/>
    <x v="37"/>
    <x v="15"/>
    <x v="2"/>
    <x v="0"/>
    <n v="2"/>
    <x v="2"/>
    <m/>
    <x v="0"/>
    <n v="1"/>
    <n v="2"/>
    <n v="1"/>
    <n v="550"/>
    <m/>
    <n v="1680"/>
    <m/>
    <m/>
    <d v="2024-05-02T00:00:00"/>
    <d v="2024-05-16T00:00:00"/>
    <d v="1900-01-13T00:00:00"/>
    <d v="2024-05-17T00:00:00"/>
    <d v="2024-05-20T00:00:00"/>
    <d v="2895-01-17T00:00:00"/>
    <d v="2024-05-21T00:00:00"/>
    <d v="2024-05-21T00:00:00"/>
    <d v="2024-05-02T00:00:00"/>
    <d v="2024-05-21T00:00:00"/>
    <n v="0.5"/>
    <n v="0"/>
    <m/>
    <m/>
    <m/>
  </r>
  <r>
    <x v="0"/>
    <x v="1"/>
    <m/>
    <x v="112"/>
    <m/>
    <m/>
    <m/>
    <x v="0"/>
    <s v="Mantenimiento"/>
    <x v="1"/>
    <x v="0"/>
    <x v="2"/>
    <x v="1"/>
    <x v="1"/>
    <x v="0"/>
    <m/>
    <x v="0"/>
    <m/>
    <x v="0"/>
    <m/>
    <n v="2"/>
    <n v="1"/>
    <n v="400"/>
    <m/>
    <n v="1440"/>
    <m/>
    <m/>
    <d v="2024-09-16T00:00:00"/>
    <d v="2024-09-27T00:00:00"/>
    <e v="#REF!"/>
    <d v="2024-10-01T00:00:00"/>
    <d v="2024-10-07T00:00:00"/>
    <d v="2898-01-20T00:00:00"/>
    <m/>
    <m/>
    <m/>
    <m/>
    <n v="0.5"/>
    <n v="0"/>
    <m/>
    <m/>
    <m/>
  </r>
  <r>
    <x v="0"/>
    <x v="0"/>
    <m/>
    <x v="113"/>
    <m/>
    <s v="Al reporte de transacciones MAX POINT,  Incluir una columna el numero de mesa"/>
    <m/>
    <x v="0"/>
    <s v="Mejoras Maxpoint Auditoría 2024"/>
    <x v="2"/>
    <x v="0"/>
    <x v="3"/>
    <x v="2"/>
    <x v="2"/>
    <x v="0"/>
    <n v="4"/>
    <x v="2"/>
    <m/>
    <x v="0"/>
    <n v="1"/>
    <n v="2"/>
    <n v="1"/>
    <n v="550"/>
    <m/>
    <n v="1680"/>
    <m/>
    <m/>
    <d v="2024-06-11T00:00:00"/>
    <d v="2024-06-25T00:00:00"/>
    <d v="1900-01-13T00:00:00"/>
    <d v="2024-06-26T00:00:00"/>
    <d v="2024-07-10T00:00:00"/>
    <d v="2895-12-14T00:00:00"/>
    <d v="2024-07-11T00:00:00"/>
    <d v="2024-07-25T00:00:00"/>
    <m/>
    <m/>
    <n v="0.5"/>
    <n v="14"/>
    <m/>
    <m/>
    <m/>
  </r>
  <r>
    <x v="0"/>
    <x v="0"/>
    <m/>
    <x v="114"/>
    <m/>
    <s v="Anulaciones/notas de crédito en transacciones que cuentan con propina - dolce incontro"/>
    <m/>
    <x v="0"/>
    <s v="Notas de Crédito"/>
    <x v="2"/>
    <x v="0"/>
    <x v="36"/>
    <x v="11"/>
    <x v="2"/>
    <x v="0"/>
    <m/>
    <x v="2"/>
    <s v="FACTIBILIDAD TÉCNICA SRI POR VALIDAR"/>
    <x v="2"/>
    <n v="1"/>
    <n v="2"/>
    <n v="1"/>
    <n v="550"/>
    <m/>
    <n v="1680"/>
    <m/>
    <m/>
    <d v="2024-05-06T00:00:00"/>
    <d v="2024-05-20T00:00:00"/>
    <d v="1900-01-13T00:00:00"/>
    <d v="2024-06-05T00:00:00"/>
    <d v="2024-06-19T00:00:00"/>
    <d v="2895-06-29T00:00:00"/>
    <d v="2024-06-24T00:00:00"/>
    <d v="2024-07-08T00:00:00"/>
    <m/>
    <m/>
    <n v="0.5"/>
    <n v="14"/>
    <s v="Identificado Grupo de Soporte"/>
    <m/>
    <m/>
  </r>
  <r>
    <x v="0"/>
    <x v="0"/>
    <m/>
    <x v="115"/>
    <s v="MXP 2.0"/>
    <s v="Al reporte de transacciones MAX POINT,  nos permita visulaizar la factura con sus detalles"/>
    <m/>
    <x v="0"/>
    <s v="Mejoras Maxpoint Auditoría 2024"/>
    <x v="2"/>
    <x v="0"/>
    <x v="3"/>
    <x v="2"/>
    <x v="2"/>
    <x v="0"/>
    <n v="1"/>
    <x v="1"/>
    <m/>
    <x v="0"/>
    <n v="1"/>
    <n v="1"/>
    <n v="2"/>
    <n v="550"/>
    <m/>
    <n v="1680"/>
    <m/>
    <m/>
    <d v="2024-03-25T00:00:00"/>
    <d v="2024-04-08T00:00:00"/>
    <d v="1900-01-13T00:00:00"/>
    <d v="2024-04-09T00:00:00"/>
    <d v="2024-04-23T00:00:00"/>
    <d v="2894-03-30T00:00:00"/>
    <d v="2024-04-24T00:00:00"/>
    <d v="2024-05-08T00:00:00"/>
    <m/>
    <m/>
    <n v="0.25"/>
    <n v="14"/>
    <m/>
    <m/>
    <m/>
  </r>
  <r>
    <x v="0"/>
    <x v="1"/>
    <m/>
    <x v="116"/>
    <m/>
    <m/>
    <m/>
    <x v="0"/>
    <s v="Mejoras Contabilidad"/>
    <x v="2"/>
    <x v="0"/>
    <x v="38"/>
    <x v="9"/>
    <x v="2"/>
    <x v="0"/>
    <s v="ALTA"/>
    <x v="1"/>
    <m/>
    <x v="0"/>
    <m/>
    <n v="1"/>
    <n v="1"/>
    <n v="400"/>
    <m/>
    <n v="600"/>
    <m/>
    <m/>
    <d v="2024-02-26T00:00:00"/>
    <d v="2024-03-08T00:00:00"/>
    <e v="#REF!"/>
    <d v="2024-03-12T00:00:00"/>
    <d v="2024-03-19T00:00:00"/>
    <d v="2893-08-11T00:00:00"/>
    <m/>
    <m/>
    <m/>
    <m/>
    <d v="1899-12-30T06:00:00"/>
    <n v="0"/>
    <m/>
    <m/>
    <m/>
  </r>
  <r>
    <x v="0"/>
    <x v="1"/>
    <m/>
    <x v="117"/>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x v="0"/>
    <s v="Mantenimiento Restaurantes"/>
    <x v="2"/>
    <x v="0"/>
    <x v="21"/>
    <x v="16"/>
    <x v="2"/>
    <x v="1"/>
    <m/>
    <x v="1"/>
    <m/>
    <x v="0"/>
    <m/>
    <n v="2"/>
    <n v="2"/>
    <n v="400"/>
    <m/>
    <n v="2240"/>
    <m/>
    <m/>
    <d v="2024-02-26T00:00:00"/>
    <d v="2024-03-08T00:00:00"/>
    <e v="#REF!"/>
    <d v="2024-03-12T00:00:00"/>
    <d v="2024-03-19T00:00:00"/>
    <d v="2893-08-11T00:00:00"/>
    <m/>
    <m/>
    <m/>
    <m/>
    <n v="0.5"/>
    <n v="0"/>
    <m/>
    <m/>
    <m/>
  </r>
  <r>
    <x v="0"/>
    <x v="1"/>
    <m/>
    <x v="118"/>
    <m/>
    <s v="Ver Anexo A4"/>
    <m/>
    <x v="0"/>
    <s v="Célula de Operaciones SIR 2024"/>
    <x v="0"/>
    <x v="0"/>
    <x v="1"/>
    <x v="0"/>
    <x v="2"/>
    <x v="0"/>
    <n v="14"/>
    <x v="0"/>
    <m/>
    <x v="2"/>
    <m/>
    <n v="6"/>
    <n v="2"/>
    <n v="450"/>
    <m/>
    <n v="6040"/>
    <m/>
    <m/>
    <d v="2024-07-08T00:00:00"/>
    <d v="2024-08-16T00:00:00"/>
    <e v="#REF!"/>
    <d v="2024-08-22T00:00:00"/>
    <d v="2024-09-02T00:00:00"/>
    <d v="2897-03-11T00:00:00"/>
    <m/>
    <m/>
    <m/>
    <m/>
    <n v="1.5"/>
    <n v="0"/>
    <s v="Célula Operaciones"/>
    <m/>
    <m/>
  </r>
  <r>
    <x v="0"/>
    <x v="5"/>
    <m/>
    <x v="119"/>
    <m/>
    <s v="Corregir los motivos por los que se generan log de errores , gasto fabril, particion de lotes, cambio de precios."/>
    <m/>
    <x v="0"/>
    <s v="Optimización Procesos Plantas"/>
    <x v="4"/>
    <x v="0"/>
    <x v="13"/>
    <x v="9"/>
    <x v="2"/>
    <x v="0"/>
    <s v="Q2"/>
    <x v="2"/>
    <m/>
    <x v="1"/>
    <n v="1"/>
    <n v="3"/>
    <n v="1"/>
    <n v="1100"/>
    <m/>
    <n v="3300"/>
    <m/>
    <m/>
    <m/>
    <m/>
    <n v="0"/>
    <m/>
    <m/>
    <n v="0"/>
    <m/>
    <m/>
    <m/>
    <m/>
    <n v="0.75"/>
    <n v="0"/>
    <m/>
    <m/>
    <m/>
  </r>
  <r>
    <x v="0"/>
    <x v="1"/>
    <m/>
    <x v="120"/>
    <m/>
    <s v="Ver Anexo A4"/>
    <m/>
    <x v="0"/>
    <s v="Célula de Operaciones SIR 2024"/>
    <x v="0"/>
    <x v="0"/>
    <x v="1"/>
    <x v="0"/>
    <x v="2"/>
    <x v="0"/>
    <n v="9"/>
    <x v="2"/>
    <m/>
    <x v="1"/>
    <m/>
    <n v="4"/>
    <n v="2"/>
    <n v="400"/>
    <m/>
    <n v="3840"/>
    <m/>
    <m/>
    <d v="2024-05-06T00:00:00"/>
    <d v="2024-05-24T00:00:00"/>
    <e v="#REF!"/>
    <d v="2024-05-28T00:00:00"/>
    <d v="2024-06-04T00:00:00"/>
    <d v="2895-04-19T00:00:00"/>
    <m/>
    <m/>
    <m/>
    <m/>
    <n v="1"/>
    <n v="0"/>
    <s v="Célula Operaciones"/>
    <m/>
    <m/>
  </r>
  <r>
    <x v="0"/>
    <x v="4"/>
    <m/>
    <x v="121"/>
    <m/>
    <s v="Reporte de Flujo de Caja que se estaba trabajando con TD, verificar estatus y si podemos  aportar para avanzar"/>
    <m/>
    <x v="0"/>
    <s v="Debe mantenerse reunion con el área de BA y Negocio"/>
    <x v="2"/>
    <x v="0"/>
    <x v="19"/>
    <x v="14"/>
    <x v="2"/>
    <x v="0"/>
    <m/>
    <x v="4"/>
    <m/>
    <x v="3"/>
    <m/>
    <m/>
    <m/>
    <m/>
    <m/>
    <n v="640"/>
    <m/>
    <m/>
    <m/>
    <m/>
    <n v="0"/>
    <m/>
    <m/>
    <n v="0"/>
    <m/>
    <m/>
    <m/>
    <m/>
    <n v="0"/>
    <n v="0"/>
    <s v="BI"/>
    <m/>
    <m/>
  </r>
  <r>
    <x v="3"/>
    <x v="0"/>
    <m/>
    <x v="122"/>
    <s v="CANALES DIGITALES"/>
    <s v="Integración API CORE Formas PAGO en Kioskos"/>
    <m/>
    <x v="3"/>
    <s v="Funcionalidades Locales"/>
    <x v="3"/>
    <x v="4"/>
    <x v="39"/>
    <x v="12"/>
    <x v="1"/>
    <x v="4"/>
    <m/>
    <x v="1"/>
    <s v="Gestión de ambientes de pruebas"/>
    <x v="2"/>
    <n v="1"/>
    <n v="3"/>
    <n v="2"/>
    <n v="625"/>
    <m/>
    <n v="3750"/>
    <m/>
    <m/>
    <d v="2024-03-04T00:00:00"/>
    <d v="2024-03-15T00:00:00"/>
    <e v="#REF!"/>
    <d v="2024-03-18T00:00:00"/>
    <d v="2024-03-22T00:00:00"/>
    <d v="2893-09-25T00:00:00"/>
    <d v="2024-03-25T00:00:00"/>
    <d v="2024-03-29T00:00:00"/>
    <m/>
    <m/>
    <d v="1899-12-30T18:00:00"/>
    <n v="4"/>
    <m/>
    <m/>
    <m/>
  </r>
  <r>
    <x v="3"/>
    <x v="0"/>
    <m/>
    <x v="123"/>
    <s v="MXP 2.0 _x000a_CANALES DIGITALES"/>
    <m/>
    <m/>
    <x v="0"/>
    <s v="DSI"/>
    <x v="1"/>
    <x v="0"/>
    <x v="40"/>
    <x v="1"/>
    <x v="2"/>
    <x v="0"/>
    <m/>
    <x v="2"/>
    <m/>
    <x v="3"/>
    <m/>
    <n v="12"/>
    <n v="3"/>
    <n v="550"/>
    <m/>
    <n v="20380"/>
    <m/>
    <m/>
    <d v="2024-04-08T00:00:00"/>
    <d v="2024-06-24T00:00:00"/>
    <d v="2024-05-24T00:00:00"/>
    <d v="2024-06-25T00:00:00"/>
    <d v="2024-07-09T00:00:00"/>
    <d v="2024-06-22T00:00:00"/>
    <d v="2024-07-10T00:00:00"/>
    <d v="2024-07-17T00:00:00"/>
    <m/>
    <m/>
    <d v="1900-01-02T00:00:00"/>
    <n v="7"/>
    <m/>
    <m/>
    <m/>
  </r>
  <r>
    <x v="0"/>
    <x v="2"/>
    <s v="Ultimas millas"/>
    <x v="124"/>
    <s v="MXP LEGACY_x000a_TRADE"/>
    <s v="Integración de ultima milla._x000a_Incluir efectivo"/>
    <s v="ALTA"/>
    <x v="0"/>
    <s v="Proyectos TD 2024"/>
    <x v="2"/>
    <x v="0"/>
    <x v="10"/>
    <x v="4"/>
    <x v="1"/>
    <x v="4"/>
    <m/>
    <x v="1"/>
    <m/>
    <x v="1"/>
    <m/>
    <n v="2"/>
    <n v="1"/>
    <n v="550"/>
    <m/>
    <n v="1100"/>
    <m/>
    <m/>
    <d v="2024-01-05T00:00:00"/>
    <d v="2024-02-23T00:00:00"/>
    <n v="49"/>
    <d v="2024-02-23T00:00:00"/>
    <d v="2024-03-01T00:00:00"/>
    <n v="362767"/>
    <d v="2024-03-01T00:00:00"/>
    <d v="2024-03-08T00:00:00"/>
    <d v="2024-05-01T00:00:00"/>
    <d v="2024-05-15T00:00:00"/>
    <n v="0.5"/>
    <n v="7"/>
    <s v="ECOMERCE"/>
    <m/>
    <m/>
  </r>
  <r>
    <x v="3"/>
    <x v="0"/>
    <m/>
    <x v="125"/>
    <m/>
    <s v="Nueva red de datafonos"/>
    <m/>
    <x v="2"/>
    <s v="Funcionalidades Locales"/>
    <x v="3"/>
    <x v="3"/>
    <x v="11"/>
    <x v="8"/>
    <x v="1"/>
    <x v="4"/>
    <m/>
    <x v="1"/>
    <m/>
    <x v="2"/>
    <n v="1"/>
    <n v="12"/>
    <n v="1"/>
    <n v="625"/>
    <m/>
    <n v="7500"/>
    <m/>
    <m/>
    <d v="2024-03-04T00:00:00"/>
    <d v="2024-03-22T00:00:00"/>
    <e v="#REF!"/>
    <d v="2024-03-25T00:00:00"/>
    <d v="2024-03-29T00:00:00"/>
    <d v="2893-11-20T00:00:00"/>
    <d v="2024-04-01T00:00:00"/>
    <d v="2024-04-05T00:00:00"/>
    <m/>
    <m/>
    <n v="3"/>
    <n v="4"/>
    <m/>
    <m/>
    <m/>
  </r>
  <r>
    <x v="0"/>
    <x v="0"/>
    <m/>
    <x v="126"/>
    <s v="MXP 2.0"/>
    <s v="Se debe integrar a la versión de Ecuador la funcionalidad de cupones digitales desde la versión de Colombia_x000a_Compromiso Matriz Regional  (Ecuador)"/>
    <m/>
    <x v="0"/>
    <s v="Funcionalidades País"/>
    <x v="0"/>
    <x v="0"/>
    <x v="25"/>
    <x v="0"/>
    <x v="2"/>
    <x v="0"/>
    <m/>
    <x v="0"/>
    <s v="A pesar de ser un requerimiento del 2023 y asociado a la matriz regional sin embargo, ya no existe fondos en este proyecto razón por la cual se debe incluir en la matriz de operaciones ?"/>
    <x v="3"/>
    <m/>
    <n v="8"/>
    <n v="1"/>
    <n v="550"/>
    <m/>
    <n v="4980"/>
    <m/>
    <m/>
    <d v="2024-08-05T00:00:00"/>
    <d v="2024-09-09T00:00:00"/>
    <d v="2024-08-06T00:00:00"/>
    <d v="2024-09-10T00:00:00"/>
    <d v="2024-09-24T00:00:00"/>
    <d v="2024-09-04T00:00:00"/>
    <d v="2024-09-25T00:00:00"/>
    <d v="2024-10-09T00:00:00"/>
    <m/>
    <m/>
    <n v="2"/>
    <n v="14"/>
    <m/>
    <m/>
    <m/>
  </r>
  <r>
    <x v="0"/>
    <x v="3"/>
    <m/>
    <x v="127"/>
    <m/>
    <s v="Dependencia de SAP Venezuela"/>
    <m/>
    <x v="2"/>
    <s v="Funcionalidades Locales"/>
    <x v="1"/>
    <x v="1"/>
    <x v="7"/>
    <x v="5"/>
    <x v="1"/>
    <x v="0"/>
    <m/>
    <x v="2"/>
    <m/>
    <x v="1"/>
    <n v="0"/>
    <n v="10"/>
    <n v="1"/>
    <n v="550"/>
    <m/>
    <n v="0"/>
    <n v="364"/>
    <m/>
    <d v="2024-04-01T00:00:00"/>
    <d v="2024-06-01T00:00:00"/>
    <e v="#REF!"/>
    <d v="2024-06-01T00:00:00"/>
    <d v="2024-06-07T00:00:00"/>
    <d v="2895-05-20T00:00:00"/>
    <d v="2024-06-07T00:00:00"/>
    <d v="2024-06-14T00:00:00"/>
    <m/>
    <m/>
    <n v="2.5"/>
    <n v="7"/>
    <s v="Presupuesto incluido en poryecto SAP"/>
    <m/>
    <m/>
  </r>
  <r>
    <x v="0"/>
    <x v="2"/>
    <s v="Agregadores"/>
    <x v="128"/>
    <s v="MXP LEGACY_x000a_MXP 2.0_x000a_"/>
    <s v="Envío Menús Agregadores KFC"/>
    <s v="ALTA"/>
    <x v="0"/>
    <s v="Integración con Agregadores (Regional)"/>
    <x v="1"/>
    <x v="0"/>
    <x v="41"/>
    <x v="1"/>
    <x v="1"/>
    <x v="0"/>
    <m/>
    <x v="2"/>
    <s v="p38"/>
    <x v="1"/>
    <n v="0.28999999999999998"/>
    <n v="1"/>
    <n v="1"/>
    <n v="101428"/>
    <m/>
    <n v="29599.719999999998"/>
    <m/>
    <m/>
    <d v="2024-03-25T00:00:00"/>
    <m/>
    <n v="-45376"/>
    <m/>
    <m/>
    <n v="0"/>
    <m/>
    <d v="2024-08-12T00:00:00"/>
    <d v="2024-03-25T00:00:00"/>
    <d v="2024-08-12T00:00:00"/>
    <n v="5"/>
    <n v="45516"/>
    <s v="PROYECTO REGIONAL"/>
    <m/>
    <m/>
  </r>
  <r>
    <x v="0"/>
    <x v="2"/>
    <s v="Agregadores"/>
    <x v="128"/>
    <s v="MXP LEGACY_x000a_MXP 2.0_x000a_"/>
    <s v="Envío Menús Agregadores KFC"/>
    <s v="ALTA"/>
    <x v="3"/>
    <s v="Integración con Agregadores (Regional)"/>
    <x v="1"/>
    <x v="1"/>
    <x v="41"/>
    <x v="1"/>
    <x v="1"/>
    <x v="0"/>
    <m/>
    <x v="2"/>
    <s v="p38"/>
    <x v="1"/>
    <n v="0.03"/>
    <n v="1"/>
    <n v="1"/>
    <n v="101428"/>
    <m/>
    <n v="3062.04"/>
    <m/>
    <m/>
    <d v="2024-10-21T00:00:00"/>
    <m/>
    <n v="-45586"/>
    <m/>
    <m/>
    <n v="0"/>
    <m/>
    <d v="2024-12-02T00:00:00"/>
    <d v="2024-10-21T00:00:00"/>
    <d v="2024-12-02T00:00:00"/>
    <n v="1.5"/>
    <n v="45628"/>
    <s v="PROYECTO REGIONAL"/>
    <m/>
    <m/>
  </r>
  <r>
    <x v="0"/>
    <x v="2"/>
    <s v="Agregadores"/>
    <x v="128"/>
    <s v="MXP LEGACY_x000a_MXP 2.0_x000a_"/>
    <s v="Envío Menús Agregadores KFC"/>
    <s v="ALTA"/>
    <x v="3"/>
    <s v="Integración con Agregadores (Regional)"/>
    <x v="1"/>
    <x v="2"/>
    <x v="41"/>
    <x v="1"/>
    <x v="1"/>
    <x v="0"/>
    <m/>
    <x v="2"/>
    <s v="p38"/>
    <x v="1"/>
    <n v="0.12"/>
    <n v="1"/>
    <n v="1"/>
    <n v="101428"/>
    <m/>
    <n v="12248.16"/>
    <m/>
    <m/>
    <d v="2024-11-04T00:00:00"/>
    <m/>
    <n v="-45600"/>
    <m/>
    <m/>
    <n v="0"/>
    <m/>
    <d v="2025-01-13T00:00:00"/>
    <d v="2024-11-04T00:00:00"/>
    <d v="2025-01-13T00:00:00"/>
    <n v="2.5"/>
    <n v="45670"/>
    <s v="PROYECTO REGIONAL"/>
    <m/>
    <m/>
  </r>
  <r>
    <x v="0"/>
    <x v="2"/>
    <s v="Agregadores"/>
    <x v="128"/>
    <s v="MXP LEGACY_x000a_MXP 2.0_x000a_"/>
    <s v="Envío Menús Agregadores KFC"/>
    <s v="ALTA"/>
    <x v="3"/>
    <s v="Integración con Agregadores (Regional)"/>
    <x v="1"/>
    <x v="4"/>
    <x v="41"/>
    <x v="1"/>
    <x v="1"/>
    <x v="0"/>
    <m/>
    <x v="2"/>
    <s v="p38"/>
    <x v="1"/>
    <n v="0.28999999999999998"/>
    <n v="1"/>
    <n v="1"/>
    <n v="101428"/>
    <m/>
    <n v="29599.719999999998"/>
    <m/>
    <m/>
    <d v="2024-07-15T00:00:00"/>
    <m/>
    <n v="-45488"/>
    <m/>
    <m/>
    <n v="0"/>
    <m/>
    <d v="2024-12-02T00:00:00"/>
    <d v="2024-07-15T00:00:00"/>
    <d v="2024-12-02T00:00:00"/>
    <n v="5"/>
    <n v="45628"/>
    <s v="PROYECTO REGIONAL"/>
    <m/>
    <m/>
  </r>
  <r>
    <x v="0"/>
    <x v="2"/>
    <s v="Agregadores"/>
    <x v="128"/>
    <s v="MXP LEGACY_x000a_MXP 2.0_x000a_"/>
    <s v="Envío Menús Agregadores KFC"/>
    <s v="ALTA"/>
    <x v="3"/>
    <s v="Integración con Agregadores (Regional)"/>
    <x v="1"/>
    <x v="3"/>
    <x v="41"/>
    <x v="1"/>
    <x v="1"/>
    <x v="0"/>
    <m/>
    <x v="2"/>
    <s v="p38"/>
    <x v="1"/>
    <n v="0.27"/>
    <n v="1"/>
    <n v="1"/>
    <n v="101428"/>
    <m/>
    <n v="27558.36"/>
    <m/>
    <m/>
    <d v="2024-05-20T00:00:00"/>
    <m/>
    <n v="-45432"/>
    <m/>
    <m/>
    <n v="0"/>
    <m/>
    <d v="2024-08-26T00:00:00"/>
    <d v="2024-05-20T00:00:00"/>
    <d v="2024-08-26T00:00:00"/>
    <n v="3.5"/>
    <n v="45530"/>
    <s v="PROYECTO REGIONAL"/>
    <m/>
    <m/>
  </r>
  <r>
    <x v="0"/>
    <x v="3"/>
    <m/>
    <x v="129"/>
    <m/>
    <m/>
    <m/>
    <x v="2"/>
    <s v="Gestión de Contratos de Arriendos"/>
    <x v="2"/>
    <x v="0"/>
    <x v="32"/>
    <x v="17"/>
    <x v="2"/>
    <x v="0"/>
    <s v="Q1"/>
    <x v="2"/>
    <m/>
    <x v="1"/>
    <m/>
    <n v="4"/>
    <n v="1"/>
    <n v="600"/>
    <m/>
    <n v="2400"/>
    <m/>
    <m/>
    <d v="2024-03-01T00:00:00"/>
    <d v="2024-04-01T00:00:00"/>
    <e v="#REF!"/>
    <d v="2024-04-01T00:00:00"/>
    <d v="2024-04-14T00:00:00"/>
    <d v="2894-01-24T00:00:00"/>
    <d v="2024-04-14T00:00:00"/>
    <d v="2024-05-01T00:00:00"/>
    <m/>
    <m/>
    <n v="1"/>
    <n v="17"/>
    <m/>
    <m/>
    <m/>
  </r>
  <r>
    <x v="0"/>
    <x v="2"/>
    <s v="Agregadores"/>
    <x v="130"/>
    <s v="MXP LEGACY_x000a_MXP 2.0_x000a_"/>
    <s v="Homologar integración a través de trade.  (Integraccion Agregador Yummy)"/>
    <s v="BAJA"/>
    <x v="2"/>
    <s v="Funcionalidades Locales"/>
    <x v="1"/>
    <x v="1"/>
    <x v="7"/>
    <x v="1"/>
    <x v="1"/>
    <x v="0"/>
    <m/>
    <x v="2"/>
    <s v="p45"/>
    <x v="1"/>
    <m/>
    <n v="2"/>
    <n v="1"/>
    <n v="550"/>
    <m/>
    <n v="1740"/>
    <m/>
    <m/>
    <d v="2024-05-28T00:00:00"/>
    <d v="2024-05-28T00:00:00"/>
    <n v="0"/>
    <d v="2024-05-28T00:00:00"/>
    <d v="2024-06-04T00:00:00"/>
    <n v="363527"/>
    <d v="2024-06-04T00:00:00"/>
    <d v="2024-06-11T00:00:00"/>
    <d v="2024-06-01T00:00:00"/>
    <d v="2024-06-15T00:00:00"/>
    <n v="0.5"/>
    <n v="7"/>
    <m/>
    <m/>
    <m/>
  </r>
  <r>
    <x v="0"/>
    <x v="0"/>
    <m/>
    <x v="131"/>
    <m/>
    <m/>
    <m/>
    <x v="2"/>
    <s v="Funcionalidades Locales"/>
    <x v="3"/>
    <x v="1"/>
    <x v="7"/>
    <x v="5"/>
    <x v="1"/>
    <x v="4"/>
    <m/>
    <x v="1"/>
    <m/>
    <x v="2"/>
    <n v="1"/>
    <n v="8"/>
    <n v="1"/>
    <n v="550"/>
    <m/>
    <n v="4400"/>
    <m/>
    <m/>
    <d v="2024-02-11T00:00:00"/>
    <d v="2024-03-29T00:00:00"/>
    <e v="#REF!"/>
    <d v="2024-04-01T00:00:00"/>
    <d v="2024-04-05T00:00:00"/>
    <d v="2894-01-15T00:00:00"/>
    <d v="2024-04-08T00:00:00"/>
    <d v="2024-04-10T00:00:00"/>
    <m/>
    <m/>
    <n v="2"/>
    <n v="2"/>
    <m/>
    <m/>
    <m/>
  </r>
  <r>
    <x v="0"/>
    <x v="1"/>
    <m/>
    <x v="132"/>
    <m/>
    <s v="Integración de modulo de compras de SIR con SAGE (ERP Europa)"/>
    <m/>
    <x v="2"/>
    <s v="España"/>
    <x v="3"/>
    <x v="5"/>
    <x v="42"/>
    <x v="22"/>
    <x v="1"/>
    <x v="0"/>
    <m/>
    <x v="0"/>
    <m/>
    <x v="2"/>
    <m/>
    <n v="7"/>
    <n v="2"/>
    <n v="450"/>
    <m/>
    <n v="6940"/>
    <m/>
    <m/>
    <d v="2024-05-15T00:00:00"/>
    <d v="2024-07-10T00:00:00"/>
    <e v="#REF!"/>
    <d v="2024-07-10T00:00:00"/>
    <d v="2024-07-24T00:00:00"/>
    <d v="2896-04-04T00:00:00"/>
    <m/>
    <m/>
    <m/>
    <m/>
    <n v="1.75"/>
    <n v="0"/>
    <m/>
    <m/>
    <m/>
  </r>
  <r>
    <x v="0"/>
    <x v="2"/>
    <s v="API Inyección v3"/>
    <x v="133"/>
    <s v="MXP LEGACY_x000a_TRADE"/>
    <s v="Compromiso Matriz Regional  (Argentina)_x000a_ -  Web DUNA "/>
    <s v="MEDIA"/>
    <x v="3"/>
    <s v="Funcionalidades Locales"/>
    <x v="1"/>
    <x v="2"/>
    <x v="24"/>
    <x v="1"/>
    <x v="1"/>
    <x v="0"/>
    <m/>
    <x v="2"/>
    <m/>
    <x v="1"/>
    <n v="1"/>
    <n v="2"/>
    <n v="1"/>
    <n v="550"/>
    <m/>
    <n v="1740"/>
    <m/>
    <m/>
    <d v="2024-03-18T00:00:00"/>
    <d v="2024-03-18T00:00:00"/>
    <n v="0"/>
    <d v="2024-03-18T00:00:00"/>
    <d v="2024-03-25T00:00:00"/>
    <n v="362959"/>
    <d v="2024-03-25T00:00:00"/>
    <d v="2024-04-01T00:00:00"/>
    <d v="2024-05-01T00:00:00"/>
    <d v="2024-05-15T00:00:00"/>
    <n v="0.5"/>
    <n v="7"/>
    <s v="PROYECTO REGIONAL"/>
    <m/>
    <m/>
  </r>
  <r>
    <x v="0"/>
    <x v="2"/>
    <s v="Agregadores"/>
    <x v="134"/>
    <s v="MXP LEGACY_x000a_MXP 2.0_x000a_"/>
    <s v="Compromiso Matriz Regional  (Argentina)_x000a_- + Justo​+Trade"/>
    <s v="MEDIA"/>
    <x v="3"/>
    <s v="Funcionalidades Regionales"/>
    <x v="1"/>
    <x v="2"/>
    <x v="6"/>
    <x v="1"/>
    <x v="1"/>
    <x v="0"/>
    <m/>
    <x v="2"/>
    <s v="p39"/>
    <x v="1"/>
    <n v="1"/>
    <n v="4"/>
    <n v="1"/>
    <n v="550"/>
    <m/>
    <n v="2840"/>
    <m/>
    <m/>
    <d v="2024-05-13T00:00:00"/>
    <d v="2024-05-27T00:00:00"/>
    <n v="14"/>
    <d v="2024-05-27T00:00:00"/>
    <d v="2024-06-03T00:00:00"/>
    <n v="363519"/>
    <d v="2024-06-03T00:00:00"/>
    <d v="2024-06-10T00:00:00"/>
    <d v="2024-06-01T00:00:00"/>
    <d v="2024-06-29T00:00:00"/>
    <n v="1"/>
    <n v="7"/>
    <s v="PROYECTO REGIONAL"/>
    <m/>
    <m/>
  </r>
  <r>
    <x v="0"/>
    <x v="2"/>
    <s v="API Inyección v3"/>
    <x v="134"/>
    <s v="MXP LEGACY_x000a_TRADE"/>
    <s v="Compromiso Matriz Regional  (Colombia)_x000a_ - + TicTuk + Trade​"/>
    <s v="MEDIA"/>
    <x v="3"/>
    <s v="Funcionalidades Regionales"/>
    <x v="1"/>
    <x v="3"/>
    <x v="6"/>
    <x v="1"/>
    <x v="1"/>
    <x v="4"/>
    <m/>
    <x v="2"/>
    <m/>
    <x v="1"/>
    <n v="1"/>
    <n v="2"/>
    <n v="1"/>
    <n v="550"/>
    <m/>
    <n v="1740"/>
    <m/>
    <m/>
    <d v="2024-05-13T00:00:00"/>
    <d v="2024-05-13T00:00:00"/>
    <n v="0"/>
    <d v="2024-05-13T00:00:00"/>
    <d v="2024-05-20T00:00:00"/>
    <n v="363407"/>
    <d v="2024-05-20T00:00:00"/>
    <d v="2024-05-27T00:00:00"/>
    <d v="2024-05-01T00:00:00"/>
    <d v="2024-05-15T00:00:00"/>
    <n v="0.5"/>
    <n v="7"/>
    <s v="PROYECTO REGIONAL"/>
    <m/>
    <m/>
  </r>
  <r>
    <x v="0"/>
    <x v="1"/>
    <m/>
    <x v="135"/>
    <s v="CONSULTAR ADRIAN"/>
    <s v="Consume información de SIR y actualiza en SAP (Validar con Operaciones). Justificación en base a ahorros en stocks de seguridad"/>
    <m/>
    <x v="2"/>
    <s v="Funcionalidades Locales"/>
    <x v="3"/>
    <x v="2"/>
    <x v="43"/>
    <x v="18"/>
    <x v="1"/>
    <x v="0"/>
    <s v="Q2"/>
    <x v="0"/>
    <m/>
    <x v="1"/>
    <n v="1"/>
    <n v="4"/>
    <n v="3"/>
    <n v="600"/>
    <m/>
    <n v="7200"/>
    <m/>
    <m/>
    <m/>
    <m/>
    <n v="0"/>
    <m/>
    <m/>
    <n v="0"/>
    <m/>
    <m/>
    <m/>
    <m/>
    <n v="1"/>
    <n v="0"/>
    <m/>
    <m/>
    <m/>
  </r>
  <r>
    <x v="0"/>
    <x v="5"/>
    <m/>
    <x v="136"/>
    <m/>
    <s v="Contar con Integración de Activos Fijos SAP - SIR"/>
    <m/>
    <x v="2"/>
    <s v="Funcionalidades Locales"/>
    <x v="3"/>
    <x v="4"/>
    <x v="17"/>
    <x v="12"/>
    <x v="1"/>
    <x v="0"/>
    <s v="Q2"/>
    <x v="2"/>
    <m/>
    <x v="1"/>
    <n v="1"/>
    <n v="6"/>
    <n v="2"/>
    <n v="200"/>
    <m/>
    <n v="3040"/>
    <m/>
    <m/>
    <d v="2024-02-19T00:00:00"/>
    <d v="2024-03-31T00:00:00"/>
    <n v="41"/>
    <d v="2024-03-18T00:00:00"/>
    <d v="2024-03-25T00:00:00"/>
    <n v="7"/>
    <d v="2024-03-25T00:00:00"/>
    <d v="2024-04-01T00:00:00"/>
    <m/>
    <m/>
    <n v="1.5"/>
    <n v="7"/>
    <m/>
    <m/>
    <m/>
  </r>
  <r>
    <x v="0"/>
    <x v="5"/>
    <m/>
    <x v="137"/>
    <m/>
    <s v="Contar con una integración entre el sistema de Nómina REX+ y SAP"/>
    <m/>
    <x v="2"/>
    <s v="Funcionalidades Locales"/>
    <x v="3"/>
    <x v="4"/>
    <x v="17"/>
    <x v="12"/>
    <x v="1"/>
    <x v="0"/>
    <s v="Q2"/>
    <x v="0"/>
    <m/>
    <x v="2"/>
    <n v="0"/>
    <n v="6"/>
    <n v="3"/>
    <n v="1000"/>
    <m/>
    <n v="0"/>
    <m/>
    <m/>
    <d v="2024-04-07T00:00:00"/>
    <d v="2024-05-14T00:00:00"/>
    <n v="37"/>
    <d v="2024-05-14T00:00:00"/>
    <d v="2024-05-31T00:00:00"/>
    <n v="17"/>
    <d v="2024-05-31T00:00:00"/>
    <d v="2024-06-14T00:00:00"/>
    <m/>
    <m/>
    <n v="1.5"/>
    <n v="14"/>
    <m/>
    <m/>
    <m/>
  </r>
  <r>
    <x v="0"/>
    <x v="1"/>
    <m/>
    <x v="138"/>
    <m/>
    <s v="Nuevo Requerimiento - Activación y adecuación"/>
    <m/>
    <x v="2"/>
    <s v="Funcionalidades Locales"/>
    <x v="3"/>
    <x v="4"/>
    <x v="17"/>
    <x v="12"/>
    <x v="1"/>
    <x v="0"/>
    <m/>
    <x v="2"/>
    <m/>
    <x v="1"/>
    <m/>
    <n v="3"/>
    <n v="1"/>
    <n v="400"/>
    <n v="2000"/>
    <n v="3840"/>
    <m/>
    <m/>
    <d v="2024-04-22T00:00:00"/>
    <d v="2024-05-17T00:00:00"/>
    <e v="#REF!"/>
    <d v="2024-05-21T00:00:00"/>
    <d v="2024-05-31T00:00:00"/>
    <d v="2895-02-25T00:00:00"/>
    <m/>
    <d v="2024-05-14T00:00:00"/>
    <m/>
    <m/>
    <n v="0.75"/>
    <n v="45426"/>
    <m/>
    <m/>
    <m/>
  </r>
  <r>
    <x v="0"/>
    <x v="4"/>
    <m/>
    <x v="139"/>
    <m/>
    <s v=" Reporte diario a descargar a la intranet presenta errores_x000a_- Alertas de límite presupuestario_x000a_- actualizar información se mantiene manual."/>
    <m/>
    <x v="0"/>
    <s v="Reunión con Requisidor, obtener mas información"/>
    <x v="2"/>
    <x v="0"/>
    <x v="44"/>
    <x v="23"/>
    <x v="2"/>
    <x v="0"/>
    <s v="Q2"/>
    <x v="0"/>
    <m/>
    <x v="1"/>
    <n v="1"/>
    <m/>
    <m/>
    <m/>
    <m/>
    <n v="0"/>
    <m/>
    <m/>
    <m/>
    <m/>
    <m/>
    <m/>
    <m/>
    <m/>
    <m/>
    <m/>
    <m/>
    <m/>
    <n v="0"/>
    <m/>
    <m/>
    <m/>
    <m/>
  </r>
  <r>
    <x v="0"/>
    <x v="4"/>
    <m/>
    <x v="140"/>
    <m/>
    <s v="Reporte para controlar aquellos despachos que no realizan por falta de productos (vinculo con proveedor y capacidad de la planta. (Costo de oportunidad) (Consultar con Juan Celi) - Total por área - vinculo con pedido de compras."/>
    <m/>
    <x v="0"/>
    <s v="Juan Celi"/>
    <x v="4"/>
    <x v="0"/>
    <x v="45"/>
    <x v="21"/>
    <x v="2"/>
    <x v="0"/>
    <m/>
    <x v="4"/>
    <m/>
    <x v="3"/>
    <n v="1"/>
    <n v="4"/>
    <n v="1"/>
    <n v="1100"/>
    <m/>
    <n v="4400"/>
    <m/>
    <m/>
    <m/>
    <m/>
    <n v="0"/>
    <m/>
    <m/>
    <n v="0"/>
    <m/>
    <m/>
    <m/>
    <m/>
    <n v="1"/>
    <n v="0"/>
    <m/>
    <m/>
    <m/>
  </r>
  <r>
    <x v="2"/>
    <x v="6"/>
    <m/>
    <x v="138"/>
    <m/>
    <m/>
    <m/>
    <x v="0"/>
    <m/>
    <x v="6"/>
    <x v="0"/>
    <x v="25"/>
    <x v="7"/>
    <x v="4"/>
    <x v="5"/>
    <m/>
    <x v="4"/>
    <m/>
    <x v="3"/>
    <m/>
    <m/>
    <m/>
    <m/>
    <m/>
    <n v="640"/>
    <m/>
    <m/>
    <m/>
    <m/>
    <e v="#REF!"/>
    <m/>
    <m/>
    <d v="1899-12-30T00:00:00"/>
    <m/>
    <m/>
    <m/>
    <m/>
    <n v="0"/>
    <n v="0"/>
    <m/>
    <m/>
    <m/>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0"/>
    <s v="Proyectos TD 2024"/>
    <x v="2"/>
    <x v="0"/>
    <x v="10"/>
    <x v="4"/>
    <x v="1"/>
    <x v="3"/>
    <e v="#N/A"/>
    <x v="1"/>
    <s v="P23"/>
    <x v="2"/>
    <n v="1"/>
    <n v="8"/>
    <n v="1"/>
    <n v="550"/>
    <m/>
    <n v="5040"/>
    <m/>
    <m/>
    <d v="2024-02-05T00:00:00"/>
    <d v="2024-02-12T00:00:00"/>
    <n v="7"/>
    <d v="2024-02-12T00:00:00"/>
    <d v="2024-02-19T00:00:00"/>
    <n v="362679"/>
    <d v="2024-02-19T00:00:00"/>
    <d v="2024-02-26T00:00:00"/>
    <s v="NA"/>
    <e v="#VALUE!"/>
    <n v="2"/>
    <n v="7"/>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4"/>
    <x v="10"/>
    <x v="4"/>
    <x v="1"/>
    <x v="4"/>
    <e v="#N/A"/>
    <x v="1"/>
    <s v="P23"/>
    <x v="2"/>
    <n v="1"/>
    <n v="8"/>
    <n v="1"/>
    <n v="550"/>
    <m/>
    <n v="5040"/>
    <m/>
    <m/>
    <d v="2024-02-19T00:00:00"/>
    <d v="2024-03-04T00:00:00"/>
    <n v="14"/>
    <d v="2024-03-04T00:00:00"/>
    <d v="2024-03-11T00:00:00"/>
    <n v="362847"/>
    <d v="2024-03-11T00:00:00"/>
    <d v="2024-03-18T00:00:00"/>
    <d v="2024-04-01T00:00:00"/>
    <d v="2024-05-27T00:00:00"/>
    <n v="2"/>
    <n v="7"/>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3"/>
    <x v="10"/>
    <x v="4"/>
    <x v="1"/>
    <x v="4"/>
    <e v="#N/A"/>
    <x v="1"/>
    <s v="P23"/>
    <x v="2"/>
    <n v="1"/>
    <n v="8"/>
    <n v="1"/>
    <n v="550"/>
    <m/>
    <n v="5040"/>
    <m/>
    <m/>
    <d v="2024-02-12T00:00:00"/>
    <d v="2024-02-19T00:00:00"/>
    <n v="7"/>
    <d v="2024-02-19T00:00:00"/>
    <d v="2024-03-04T00:00:00"/>
    <n v="362742"/>
    <d v="2024-03-04T00:00:00"/>
    <d v="2024-03-18T00:00:00"/>
    <d v="2024-03-01T00:00:00"/>
    <d v="2024-04-26T00:00:00"/>
    <n v="2"/>
    <n v="14"/>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1"/>
    <x v="10"/>
    <x v="4"/>
    <x v="1"/>
    <x v="4"/>
    <e v="#N/A"/>
    <x v="1"/>
    <s v="P23"/>
    <x v="2"/>
    <n v="1"/>
    <n v="8"/>
    <n v="1"/>
    <n v="550"/>
    <m/>
    <n v="5040"/>
    <m/>
    <m/>
    <d v="2024-03-04T00:00:00"/>
    <d v="2024-03-18T00:00:00"/>
    <n v="14"/>
    <d v="2024-03-18T00:00:00"/>
    <d v="2024-03-25T00:00:00"/>
    <n v="362959"/>
    <d v="2024-03-25T00:00:00"/>
    <d v="2024-04-01T00:00:00"/>
    <d v="2024-03-20T00:00:00"/>
    <d v="2024-05-15T00:00:00"/>
    <n v="2"/>
    <n v="7"/>
    <s v="PROYECTO REGIONAL"/>
    <m/>
    <s v="x"/>
  </r>
  <r>
    <x v="0"/>
    <x v="2"/>
    <s v="API Inyección v3"/>
    <x v="141"/>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x v="2"/>
    <x v="2"/>
    <x v="10"/>
    <x v="4"/>
    <x v="1"/>
    <x v="0"/>
    <e v="#N/A"/>
    <x v="1"/>
    <s v="P23"/>
    <x v="2"/>
    <n v="1"/>
    <n v="8"/>
    <n v="1"/>
    <n v="550"/>
    <m/>
    <n v="5040"/>
    <m/>
    <m/>
    <d v="2024-03-18T00:00:00"/>
    <d v="2024-04-01T00:00:00"/>
    <n v="14"/>
    <d v="2024-04-01T00:00:00"/>
    <d v="2024-04-08T00:00:00"/>
    <n v="363071"/>
    <d v="2024-04-08T00:00:00"/>
    <d v="2024-04-15T00:00:00"/>
    <d v="2024-04-01T00:00:00"/>
    <d v="2024-05-27T00:00:00"/>
    <n v="2"/>
    <n v="7"/>
    <s v="PROYECTO REGIONAL"/>
    <m/>
    <s v="x"/>
  </r>
  <r>
    <x v="0"/>
    <x v="2"/>
    <s v="Formas de Pago"/>
    <x v="11"/>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x v="1"/>
    <x v="3"/>
    <x v="6"/>
    <x v="1"/>
    <x v="0"/>
    <x v="0"/>
    <s v="Q1"/>
    <x v="1"/>
    <m/>
    <x v="1"/>
    <n v="1"/>
    <n v="12"/>
    <n v="1"/>
    <n v="550"/>
    <m/>
    <n v="7240"/>
    <m/>
    <m/>
    <d v="2024-03-04T00:00:00"/>
    <d v="2024-04-29T00:00:00"/>
    <n v="56"/>
    <d v="2024-04-29T00:00:00"/>
    <d v="2024-05-13T00:00:00"/>
    <n v="363302"/>
    <d v="2024-05-13T00:00:00"/>
    <d v="2024-05-27T00:00:00"/>
    <s v="Por confirmar"/>
    <e v="#VALUE!"/>
    <n v="3"/>
    <n v="14"/>
    <s v="PROYECTO REGIONAL"/>
    <m/>
    <s v="x"/>
  </r>
  <r>
    <x v="0"/>
    <x v="0"/>
    <m/>
    <x v="142"/>
    <m/>
    <m/>
    <m/>
    <x v="2"/>
    <s v="Funcionalidades Regionales"/>
    <x v="3"/>
    <x v="1"/>
    <x v="7"/>
    <x v="5"/>
    <x v="1"/>
    <x v="4"/>
    <m/>
    <x v="2"/>
    <s v="Realizar un piloto para adaptar a la operación al KDS"/>
    <x v="2"/>
    <n v="1"/>
    <n v="8"/>
    <n v="1"/>
    <n v="550"/>
    <m/>
    <n v="4400"/>
    <m/>
    <m/>
    <d v="2024-05-06T00:00:00"/>
    <d v="2024-06-14T00:00:00"/>
    <e v="#REF!"/>
    <d v="2024-06-17T00:00:00"/>
    <d v="2024-06-21T00:00:00"/>
    <d v="2895-09-23T00:00:00"/>
    <d v="2024-06-24T00:00:00"/>
    <d v="2024-06-26T00:00:00"/>
    <m/>
    <m/>
    <n v="2"/>
    <n v="2"/>
    <m/>
    <m/>
    <m/>
  </r>
  <r>
    <x v="0"/>
    <x v="2"/>
    <s v="API Inyección v3"/>
    <x v="143"/>
    <s v="MXP LEGACY_x000a_TRADE"/>
    <s v="Recepción de propinas en v3 y Maxpoint "/>
    <s v="BAJA"/>
    <x v="0"/>
    <s v="Proyectos TD 2024"/>
    <x v="2"/>
    <x v="0"/>
    <x v="10"/>
    <x v="4"/>
    <x v="1"/>
    <x v="0"/>
    <s v="Q3"/>
    <x v="0"/>
    <s v="p51"/>
    <x v="1"/>
    <m/>
    <n v="8"/>
    <n v="1"/>
    <n v="550"/>
    <m/>
    <n v="5040"/>
    <m/>
    <m/>
    <d v="2024-09-02T00:00:00"/>
    <d v="2024-09-16T00:00:00"/>
    <n v="14"/>
    <d v="2024-09-16T00:00:00"/>
    <d v="2024-09-23T00:00:00"/>
    <n v="364415"/>
    <d v="2024-09-23T00:00:00"/>
    <d v="2024-09-30T00:00:00"/>
    <d v="2024-09-01T00:00:00"/>
    <d v="2024-10-27T00:00:00"/>
    <n v="2"/>
    <n v="7"/>
    <s v="ECOMERCE"/>
    <m/>
    <s v="x"/>
  </r>
  <r>
    <x v="0"/>
    <x v="2"/>
    <s v="Appedir"/>
    <x v="144"/>
    <s v="MXP LEGACY_x000a_TRADE"/>
    <s v="La App debe detectar el lugar en donde se encuentra el cliente y ofrecer el pedido en menos de 20 minutos."/>
    <s v="BAJA"/>
    <x v="0"/>
    <s v="Proyectos TD 2024"/>
    <x v="2"/>
    <x v="0"/>
    <x v="10"/>
    <x v="4"/>
    <x v="1"/>
    <x v="0"/>
    <s v="Q3"/>
    <x v="3"/>
    <s v="p53"/>
    <x v="0"/>
    <m/>
    <n v="3"/>
    <n v="1"/>
    <n v="550"/>
    <m/>
    <n v="2290"/>
    <m/>
    <m/>
    <d v="2024-10-07T00:00:00"/>
    <d v="2024-10-07T00:00:00"/>
    <n v="0"/>
    <d v="2024-10-07T00:00:00"/>
    <d v="2024-10-14T00:00:00"/>
    <n v="364583"/>
    <d v="2024-10-21T00:00:00"/>
    <d v="2024-10-28T00:00:00"/>
    <d v="2024-10-01T00:00:00"/>
    <d v="2024-10-22T00:00:00"/>
    <n v="0.75"/>
    <n v="7"/>
    <s v="ECOMERCE"/>
    <m/>
    <s v="x"/>
  </r>
  <r>
    <x v="0"/>
    <x v="2"/>
    <s v="Appedir"/>
    <x v="145"/>
    <s v="MXP LEGACY_x000a_TRADE"/>
    <s v="La app acepte propinas para motorizados, evaluar si es posible realizar esto con Pediods Ya"/>
    <s v="BAJA"/>
    <x v="0"/>
    <s v="Proyectos TD 2024"/>
    <x v="2"/>
    <x v="0"/>
    <x v="10"/>
    <x v="4"/>
    <x v="1"/>
    <x v="0"/>
    <s v="Q3"/>
    <x v="3"/>
    <s v="p54"/>
    <x v="1"/>
    <m/>
    <n v="8"/>
    <n v="1"/>
    <n v="550"/>
    <m/>
    <n v="5040"/>
    <m/>
    <m/>
    <d v="2024-11-04T00:00:00"/>
    <d v="2024-11-25T00:00:00"/>
    <n v="21"/>
    <d v="2024-11-25T00:00:00"/>
    <d v="2024-12-02T00:00:00"/>
    <n v="364975"/>
    <d v="2024-12-02T00:00:00"/>
    <d v="2024-12-09T00:00:00"/>
    <d v="2024-11-01T00:00:00"/>
    <d v="2024-12-27T00:00:00"/>
    <n v="2"/>
    <n v="7"/>
    <s v="ECOMERCE"/>
    <m/>
    <s v="x"/>
  </r>
  <r>
    <x v="0"/>
    <x v="2"/>
    <s v="Delivery time"/>
    <x v="146"/>
    <s v="MXP LEGACY_x000a_MXP 2.0_x000a_TRADE"/>
    <s v="Implementacion del Campo delivery time en la sincro de v3 para que se pueda enviar el tiempo de entrega"/>
    <s v="BAJA"/>
    <x v="0"/>
    <s v="Proyectos TD 2024"/>
    <x v="2"/>
    <x v="0"/>
    <x v="10"/>
    <x v="4"/>
    <x v="1"/>
    <x v="0"/>
    <s v="Q1"/>
    <x v="0"/>
    <s v="p21"/>
    <x v="0"/>
    <n v="1"/>
    <n v="5"/>
    <n v="1"/>
    <n v="550"/>
    <m/>
    <n v="3390"/>
    <m/>
    <m/>
    <d v="2024-08-12T00:00:00"/>
    <d v="2024-09-02T00:00:00"/>
    <n v="21"/>
    <d v="2024-09-02T00:00:00"/>
    <d v="2024-09-09T00:00:00"/>
    <n v="364303"/>
    <d v="2024-09-09T00:00:00"/>
    <d v="2024-09-16T00:00:00"/>
    <d v="2024-08-01T00:00:00"/>
    <d v="2024-09-05T00:00:00"/>
    <n v="1.25"/>
    <n v="7"/>
    <s v="PROYECTO REGIONAL"/>
    <m/>
    <s v="x"/>
  </r>
  <r>
    <x v="0"/>
    <x v="2"/>
    <s v="Delivery time"/>
    <x v="146"/>
    <s v="MXP LEGACY_x000a_MXP 2.0_x000a_TRADE"/>
    <s v="Implementacion del Campo delivery time en la sincro de v3 para que se pueda enviar el tiempo de entrega"/>
    <s v="BAJA"/>
    <x v="3"/>
    <s v="Proyectos TD 2024"/>
    <x v="2"/>
    <x v="1"/>
    <x v="10"/>
    <x v="4"/>
    <x v="1"/>
    <x v="0"/>
    <s v="Q1"/>
    <x v="0"/>
    <s v="p21"/>
    <x v="0"/>
    <n v="1"/>
    <n v="3"/>
    <n v="1"/>
    <n v="550"/>
    <m/>
    <n v="2290"/>
    <m/>
    <m/>
    <d v="2024-09-09T00:00:00"/>
    <d v="2024-09-16T00:00:00"/>
    <n v="7"/>
    <d v="2024-09-16T00:00:00"/>
    <d v="2024-09-23T00:00:00"/>
    <n v="364415"/>
    <d v="2024-09-23T00:00:00"/>
    <d v="2024-09-30T00:00:00"/>
    <d v="2024-09-01T00:00:00"/>
    <d v="2024-09-22T00:00:00"/>
    <n v="0.75"/>
    <n v="7"/>
    <s v="PROYECTO REGIONAL"/>
    <m/>
    <s v="x"/>
  </r>
  <r>
    <x v="0"/>
    <x v="2"/>
    <s v="Delivery time"/>
    <x v="146"/>
    <s v="MXP LEGACY_x000a_MXP 2.0_x000a_TRADE"/>
    <s v="Implementacion del Campo delivery time en la sincro de v3 para que se pueda enviar el tiempo de entrega"/>
    <s v="BAJA"/>
    <x v="3"/>
    <s v="Proyectos TD 2024"/>
    <x v="2"/>
    <x v="2"/>
    <x v="10"/>
    <x v="4"/>
    <x v="1"/>
    <x v="0"/>
    <s v="Q1"/>
    <x v="0"/>
    <s v="p21"/>
    <x v="0"/>
    <n v="1"/>
    <n v="3"/>
    <n v="1"/>
    <n v="550"/>
    <m/>
    <n v="2290"/>
    <m/>
    <m/>
    <d v="2024-09-09T00:00:00"/>
    <d v="2024-09-16T00:00:00"/>
    <n v="7"/>
    <d v="2024-09-16T00:00:00"/>
    <d v="2024-09-23T00:00:00"/>
    <n v="364415"/>
    <d v="2024-09-23T00:00:00"/>
    <d v="2024-09-30T00:00:00"/>
    <d v="2024-09-01T00:00:00"/>
    <d v="2024-09-22T00:00:00"/>
    <n v="0.75"/>
    <n v="7"/>
    <s v="PROYECTO REGIONAL"/>
    <m/>
    <s v="x"/>
  </r>
  <r>
    <x v="0"/>
    <x v="2"/>
    <s v="Delivery time"/>
    <x v="146"/>
    <s v="MXP LEGACY_x000a_MXP 2.0_x000a_TRADE"/>
    <s v="Implementacion del Campo delivery time en la sincro de v3 para que se pueda enviar el tiempo de entrega"/>
    <s v="BAJA"/>
    <x v="3"/>
    <s v="Proyectos TD 2024"/>
    <x v="2"/>
    <x v="3"/>
    <x v="10"/>
    <x v="4"/>
    <x v="1"/>
    <x v="0"/>
    <s v="Q1"/>
    <x v="0"/>
    <s v="p21"/>
    <x v="0"/>
    <n v="1"/>
    <n v="3"/>
    <n v="1"/>
    <n v="550"/>
    <m/>
    <n v="2290"/>
    <m/>
    <m/>
    <d v="2024-09-09T00:00:00"/>
    <d v="2024-09-16T00:00:00"/>
    <n v="7"/>
    <d v="2024-09-16T00:00:00"/>
    <d v="2024-09-23T00:00:00"/>
    <n v="364415"/>
    <d v="2024-09-23T00:00:00"/>
    <d v="2024-09-30T00:00:00"/>
    <d v="2024-09-01T00:00:00"/>
    <d v="2024-09-22T00:00:00"/>
    <n v="0.75"/>
    <n v="7"/>
    <s v="PROYECTO REGIONAL"/>
    <m/>
    <s v="x"/>
  </r>
  <r>
    <x v="0"/>
    <x v="2"/>
    <s v="Delivery time"/>
    <x v="146"/>
    <s v="MXP LEGACY_x000a_MXP 2.0_x000a_TRADE"/>
    <s v="Implementacion del Campo delivery time en la sincro de v3 para que se pueda enviar el tiempo de entrega"/>
    <s v="BAJA"/>
    <x v="3"/>
    <s v="Proyectos TD 2024"/>
    <x v="2"/>
    <x v="4"/>
    <x v="10"/>
    <x v="4"/>
    <x v="1"/>
    <x v="0"/>
    <s v="Q1"/>
    <x v="0"/>
    <s v="p21"/>
    <x v="0"/>
    <n v="1"/>
    <n v="5"/>
    <n v="1"/>
    <n v="550"/>
    <m/>
    <n v="3390"/>
    <m/>
    <m/>
    <d v="2024-09-09T00:00:00"/>
    <d v="2024-09-16T00:00:00"/>
    <n v="7"/>
    <d v="2024-09-16T00:00:00"/>
    <d v="2024-09-23T00:00:00"/>
    <n v="364415"/>
    <d v="2024-09-23T00:00:00"/>
    <d v="2024-10-14T00:00:00"/>
    <d v="2024-09-01T00:00:00"/>
    <d v="2024-10-06T00:00:00"/>
    <n v="1.25"/>
    <n v="21"/>
    <s v="PROYECTO REGIONAL"/>
    <m/>
    <s v="x"/>
  </r>
  <r>
    <x v="0"/>
    <x v="8"/>
    <m/>
    <x v="147"/>
    <m/>
    <s v="Ver Anexo A2_x000a_Desglosar el pedido y mediante popup seleccionar el medio del producto"/>
    <m/>
    <x v="0"/>
    <s v="Celula Operaciones Maxpoint 2024"/>
    <x v="0"/>
    <x v="0"/>
    <x v="0"/>
    <x v="0"/>
    <x v="0"/>
    <x v="0"/>
    <n v="1"/>
    <x v="1"/>
    <s v="Se necesita mayor contexto del cliente"/>
    <x v="1"/>
    <n v="1"/>
    <n v="1"/>
    <n v="4"/>
    <n v="550"/>
    <m/>
    <n v="2200"/>
    <m/>
    <m/>
    <d v="2024-02-26T00:00:00"/>
    <d v="2024-03-25T00:00:00"/>
    <e v="#REF!"/>
    <d v="2024-03-26T00:00:00"/>
    <d v="2024-04-09T00:00:00"/>
    <d v="2893-12-08T00:00:00"/>
    <d v="2024-04-10T00:00:00"/>
    <d v="2024-04-24T00:00:00"/>
    <m/>
    <m/>
    <n v="0.25"/>
    <n v="14"/>
    <s v="Célula Operaciones"/>
    <m/>
    <m/>
  </r>
  <r>
    <x v="0"/>
    <x v="8"/>
    <m/>
    <x v="148"/>
    <m/>
    <s v="Ver Anexo A2"/>
    <m/>
    <x v="0"/>
    <s v="Celula Operaciones Maxpoint 2024"/>
    <x v="0"/>
    <x v="0"/>
    <x v="0"/>
    <x v="0"/>
    <x v="0"/>
    <x v="0"/>
    <n v="1"/>
    <x v="1"/>
    <m/>
    <x v="0"/>
    <n v="1"/>
    <n v="1"/>
    <n v="3"/>
    <n v="550"/>
    <m/>
    <n v="1650"/>
    <m/>
    <m/>
    <d v="2024-03-18T00:00:00"/>
    <d v="2024-04-08T00:00:00"/>
    <e v="#REF!"/>
    <d v="2024-04-09T00:00:00"/>
    <d v="2024-04-23T00:00:00"/>
    <d v="2894-03-30T00:00:00"/>
    <d v="2024-04-24T00:00:00"/>
    <d v="2024-05-08T00:00:00"/>
    <m/>
    <m/>
    <n v="0.25"/>
    <n v="14"/>
    <s v="Célula Operaciones"/>
    <m/>
    <m/>
  </r>
  <r>
    <x v="0"/>
    <x v="8"/>
    <m/>
    <x v="149"/>
    <m/>
    <s v="Ver Anexo A2"/>
    <m/>
    <x v="0"/>
    <s v="Celula Operaciones Maxpoint 2024"/>
    <x v="0"/>
    <x v="0"/>
    <x v="0"/>
    <x v="0"/>
    <x v="0"/>
    <x v="0"/>
    <n v="1"/>
    <x v="1"/>
    <m/>
    <x v="2"/>
    <n v="1"/>
    <n v="1"/>
    <n v="5"/>
    <n v="550"/>
    <m/>
    <n v="2750"/>
    <m/>
    <m/>
    <d v="2024-03-25T00:00:00"/>
    <d v="2024-04-29T00:00:00"/>
    <e v="#REF!"/>
    <d v="2024-04-30T00:00:00"/>
    <d v="2024-05-14T00:00:00"/>
    <d v="2894-09-14T00:00:00"/>
    <d v="2024-05-15T00:00:00"/>
    <d v="2024-05-29T00:00:00"/>
    <m/>
    <m/>
    <n v="0.25"/>
    <n v="14"/>
    <s v="Célula Operaciones"/>
    <m/>
    <m/>
  </r>
  <r>
    <x v="0"/>
    <x v="2"/>
    <s v="Pickup"/>
    <x v="150"/>
    <s v="MXP LEGACY_x000a_MXP 2.0_x000a_TRADE"/>
    <s v="Recepción de lote de estacionamiento"/>
    <s v="BAJA"/>
    <x v="0"/>
    <s v="Proyectos TD 2024"/>
    <x v="2"/>
    <x v="0"/>
    <x v="10"/>
    <x v="4"/>
    <x v="1"/>
    <x v="0"/>
    <s v="Q3"/>
    <x v="0"/>
    <s v="p50"/>
    <x v="2"/>
    <m/>
    <n v="8"/>
    <n v="2"/>
    <n v="550"/>
    <m/>
    <n v="9440"/>
    <m/>
    <m/>
    <d v="2024-08-04T00:00:00"/>
    <d v="2024-09-08T00:00:00"/>
    <n v="35"/>
    <d v="2024-09-08T00:00:00"/>
    <d v="2024-09-15T00:00:00"/>
    <n v="364351"/>
    <d v="2024-09-15T00:00:00"/>
    <d v="2024-09-29T00:00:00"/>
    <d v="2024-08-01T00:00:00"/>
    <d v="2024-09-26T00:00:00"/>
    <n v="2"/>
    <n v="14"/>
    <s v="ECOMERCE"/>
    <m/>
    <s v="x"/>
  </r>
  <r>
    <x v="0"/>
    <x v="2"/>
    <s v="Pickup"/>
    <x v="151"/>
    <s v="MXP LEGACY_x000a_MXP 2.0_x000a_TRADE"/>
    <s v="Recepción de número de mesa "/>
    <s v="MEDIA"/>
    <x v="0"/>
    <s v="Proyectos TD 2024"/>
    <x v="2"/>
    <x v="0"/>
    <x v="10"/>
    <x v="4"/>
    <x v="1"/>
    <x v="0"/>
    <s v="Q3"/>
    <x v="0"/>
    <s v="p67"/>
    <x v="2"/>
    <m/>
    <n v="7"/>
    <n v="2"/>
    <n v="550"/>
    <m/>
    <n v="8340"/>
    <m/>
    <m/>
    <d v="2024-08-12T00:00:00"/>
    <d v="2024-09-09T00:00:00"/>
    <n v="28"/>
    <d v="2024-09-09T00:00:00"/>
    <d v="2024-09-23T00:00:00"/>
    <n v="364366"/>
    <d v="2024-09-23T00:00:00"/>
    <d v="2024-09-30T00:00:00"/>
    <d v="2024-08-01T00:00:00"/>
    <d v="2024-09-19T00:00:00"/>
    <n v="1.75"/>
    <n v="7"/>
    <s v="ECOMERCE"/>
    <m/>
    <s v="x"/>
  </r>
  <r>
    <x v="0"/>
    <x v="8"/>
    <m/>
    <x v="152"/>
    <m/>
    <s v="Ver Anexo A2"/>
    <m/>
    <x v="0"/>
    <s v="Celula Operaciones Maxpoint 2024"/>
    <x v="0"/>
    <x v="0"/>
    <x v="0"/>
    <x v="0"/>
    <x v="0"/>
    <x v="0"/>
    <n v="1"/>
    <x v="2"/>
    <m/>
    <x v="1"/>
    <n v="1"/>
    <n v="1"/>
    <n v="4"/>
    <n v="550"/>
    <m/>
    <n v="2200"/>
    <m/>
    <m/>
    <d v="2024-04-01T00:00:00"/>
    <d v="2024-04-29T00:00:00"/>
    <e v="#REF!"/>
    <d v="2024-04-30T00:00:00"/>
    <d v="2024-05-14T00:00:00"/>
    <d v="2894-09-14T00:00:00"/>
    <d v="2024-05-15T00:00:00"/>
    <d v="2024-05-29T00:00:00"/>
    <m/>
    <m/>
    <n v="0.25"/>
    <n v="14"/>
    <s v="Célula Operaciones"/>
    <m/>
    <m/>
  </r>
  <r>
    <x v="0"/>
    <x v="8"/>
    <m/>
    <x v="153"/>
    <m/>
    <s v="Ver Anexo A2"/>
    <m/>
    <x v="0"/>
    <s v="Celula Operaciones Maxpoint 2024"/>
    <x v="0"/>
    <x v="0"/>
    <x v="0"/>
    <x v="0"/>
    <x v="0"/>
    <x v="0"/>
    <n v="2"/>
    <x v="2"/>
    <m/>
    <x v="1"/>
    <n v="1"/>
    <n v="1"/>
    <n v="4"/>
    <n v="550"/>
    <m/>
    <n v="2200"/>
    <m/>
    <m/>
    <d v="2024-04-15T00:00:00"/>
    <d v="2024-05-13T00:00:00"/>
    <e v="#REF!"/>
    <d v="2024-05-14T00:00:00"/>
    <d v="2024-05-28T00:00:00"/>
    <d v="2895-01-04T00:00:00"/>
    <d v="2024-05-29T00:00:00"/>
    <d v="2024-06-12T00:00:00"/>
    <m/>
    <m/>
    <n v="0.25"/>
    <n v="14"/>
    <s v="Célula Operaciones"/>
    <m/>
    <m/>
  </r>
  <r>
    <x v="0"/>
    <x v="2"/>
    <s v="APP"/>
    <x v="154"/>
    <s v="MXP LEGACY_x000a_TRADE"/>
    <s v="Implementar la opción de que por un cargo Extra, el pedido pueda llegar en 20 minutos  / Recibir el campo de costo de envio adicional"/>
    <s v="ALTA"/>
    <x v="0"/>
    <s v="Proyectos TD 2024"/>
    <x v="2"/>
    <x v="0"/>
    <x v="10"/>
    <x v="4"/>
    <x v="1"/>
    <x v="0"/>
    <s v="Q2"/>
    <x v="2"/>
    <s v="p34"/>
    <x v="2"/>
    <m/>
    <n v="5"/>
    <n v="1"/>
    <n v="550"/>
    <m/>
    <n v="3390"/>
    <m/>
    <m/>
    <d v="2024-03-18T00:00:00"/>
    <d v="2024-04-08T00:00:00"/>
    <n v="21"/>
    <d v="2024-04-08T00:00:00"/>
    <d v="2024-04-15T00:00:00"/>
    <n v="363127"/>
    <d v="2024-04-15T00:00:00"/>
    <d v="2024-04-22T00:00:00"/>
    <d v="2024-06-01T00:00:00"/>
    <d v="2024-07-06T00:00:00"/>
    <n v="1.25"/>
    <n v="7"/>
    <s v="ECOMERCE"/>
    <m/>
    <m/>
  </r>
  <r>
    <x v="0"/>
    <x v="8"/>
    <m/>
    <x v="155"/>
    <m/>
    <s v="Ver Anexo A2"/>
    <m/>
    <x v="0"/>
    <s v="Celula Operaciones Maxpoint 2024"/>
    <x v="0"/>
    <x v="0"/>
    <x v="0"/>
    <x v="0"/>
    <x v="0"/>
    <x v="0"/>
    <n v="2"/>
    <x v="2"/>
    <m/>
    <x v="1"/>
    <n v="1"/>
    <n v="2"/>
    <n v="4"/>
    <n v="550"/>
    <m/>
    <n v="4400"/>
    <m/>
    <m/>
    <d v="2024-04-01T00:00:00"/>
    <d v="2024-04-29T00:00:00"/>
    <d v="2024-04-30T00:00:00"/>
    <d v="2024-05-14T00:00:00"/>
    <d v="2024-05-15T00:00:00"/>
    <d v="2024-05-29T00:00:00"/>
    <d v="2024-06-19T00:00:00"/>
    <d v="2024-07-03T00:00:00"/>
    <m/>
    <m/>
    <n v="0.5"/>
    <n v="14"/>
    <s v="Célula Operaciones"/>
    <m/>
    <m/>
  </r>
  <r>
    <x v="0"/>
    <x v="8"/>
    <m/>
    <x v="156"/>
    <m/>
    <s v="Ver Anexo A2"/>
    <m/>
    <x v="0"/>
    <s v="Celula Operaciones Maxpoint 2024"/>
    <x v="0"/>
    <x v="0"/>
    <x v="0"/>
    <x v="0"/>
    <x v="0"/>
    <x v="0"/>
    <n v="3"/>
    <x v="2"/>
    <m/>
    <x v="1"/>
    <n v="1"/>
    <n v="2"/>
    <n v="4"/>
    <n v="550"/>
    <m/>
    <n v="4400"/>
    <m/>
    <m/>
    <d v="2024-05-02T00:00:00"/>
    <d v="2024-05-16T00:00:00"/>
    <d v="2024-05-17T00:00:00"/>
    <d v="2024-05-31T00:00:00"/>
    <d v="2024-06-01T00:00:00"/>
    <d v="2024-06-15T00:00:00"/>
    <d v="2024-06-19T00:00:00"/>
    <d v="2024-07-03T00:00:00"/>
    <m/>
    <m/>
    <n v="0.5"/>
    <n v="14"/>
    <s v="Célula Operaciones"/>
    <m/>
    <m/>
  </r>
  <r>
    <x v="0"/>
    <x v="2"/>
    <s v="Delivery time"/>
    <x v="157"/>
    <s v="MXP LEGACY_x000a_MXP 2.0_x000a_TRADE"/>
    <s v="Enviar el rango de entrega de los locales , para que la app pueda indicarle entre que hora le va a llegar el pedido**** dragon tail"/>
    <s v="BAJA"/>
    <x v="0"/>
    <s v="Proyectos TD 2024"/>
    <x v="2"/>
    <x v="0"/>
    <x v="10"/>
    <x v="4"/>
    <x v="1"/>
    <x v="0"/>
    <s v="Q3"/>
    <x v="0"/>
    <s v="p47"/>
    <x v="2"/>
    <m/>
    <n v="6"/>
    <n v="1"/>
    <n v="550"/>
    <m/>
    <n v="3940"/>
    <m/>
    <m/>
    <d v="2024-08-19T00:00:00"/>
    <d v="2024-09-02T00:00:00"/>
    <n v="14"/>
    <d v="2024-09-02T00:00:00"/>
    <d v="2024-09-09T00:00:00"/>
    <n v="364303"/>
    <d v="2024-09-09T00:00:00"/>
    <d v="2024-09-16T00:00:00"/>
    <d v="2024-08-01T00:00:00"/>
    <d v="2024-09-12T00:00:00"/>
    <n v="1.5"/>
    <n v="7"/>
    <s v="ECOMERCE"/>
    <m/>
    <m/>
  </r>
  <r>
    <x v="0"/>
    <x v="2"/>
    <s v="Pickup"/>
    <x v="158"/>
    <s v="MXP LEGACY_x000a_MXP 2.0_x000a_TRADE"/>
    <s v="Receptar el pedido cuando el cliente haya llegado al restaurante "/>
    <s v="MEDIA"/>
    <x v="0"/>
    <s v="Proyectos TD 2024"/>
    <x v="2"/>
    <x v="0"/>
    <x v="10"/>
    <x v="4"/>
    <x v="1"/>
    <x v="0"/>
    <s v="Q3"/>
    <x v="0"/>
    <s v="p66"/>
    <x v="2"/>
    <m/>
    <n v="10"/>
    <n v="2"/>
    <n v="550"/>
    <m/>
    <n v="11640"/>
    <m/>
    <m/>
    <d v="2024-07-29T00:00:00"/>
    <d v="2024-09-02T00:00:00"/>
    <n v="35"/>
    <d v="2024-09-02T00:00:00"/>
    <d v="2024-09-16T00:00:00"/>
    <n v="364310"/>
    <d v="2024-09-16T00:00:00"/>
    <d v="2024-09-23T00:00:00"/>
    <d v="2024-08-01T00:00:00"/>
    <d v="2024-10-10T00:00:00"/>
    <n v="2.5"/>
    <n v="7"/>
    <s v="ECOMERCE"/>
    <m/>
    <s v="x"/>
  </r>
  <r>
    <x v="0"/>
    <x v="2"/>
    <s v="Kioscos"/>
    <x v="159"/>
    <s v="MXP LEGACY_x000a_TRADE"/>
    <s v="Migracion del canal de kioscos a V3 para poder contar las funcionalidades de cupones, descuentos y propinas"/>
    <s v="ALTA"/>
    <x v="0"/>
    <s v="Proyectos TD 2024"/>
    <x v="2"/>
    <x v="0"/>
    <x v="10"/>
    <x v="4"/>
    <x v="1"/>
    <x v="0"/>
    <e v="#N/A"/>
    <x v="2"/>
    <s v="p20"/>
    <x v="2"/>
    <n v="1"/>
    <n v="10"/>
    <n v="1"/>
    <n v="550"/>
    <m/>
    <n v="6140"/>
    <m/>
    <m/>
    <d v="2024-03-11T00:00:00"/>
    <d v="2024-05-06T00:00:00"/>
    <n v="56"/>
    <d v="2024-05-06T00:00:00"/>
    <d v="2024-05-20T00:00:00"/>
    <n v="363358"/>
    <d v="2024-05-20T00:00:00"/>
    <d v="2024-06-03T00:00:00"/>
    <d v="2024-04-01T00:00:00"/>
    <d v="2024-06-10T00:00:00"/>
    <n v="2.5"/>
    <n v="14"/>
    <s v="PROYECTO REGIONAL"/>
    <m/>
    <s v="x"/>
  </r>
  <r>
    <x v="0"/>
    <x v="2"/>
    <s v="Kioscos"/>
    <x v="159"/>
    <s v="MXP LEGACY_x000a_TRADE"/>
    <s v="Migracion del canal de kioscos a V3 para poder contar las funcionalidades de cupones, descuentos y propinas"/>
    <s v="ALTA"/>
    <x v="3"/>
    <s v="Proyectos TD 2024"/>
    <x v="2"/>
    <x v="4"/>
    <x v="10"/>
    <x v="4"/>
    <x v="1"/>
    <x v="0"/>
    <e v="#N/A"/>
    <x v="2"/>
    <s v="p20"/>
    <x v="2"/>
    <n v="1"/>
    <n v="6"/>
    <n v="1"/>
    <n v="550"/>
    <m/>
    <n v="3940"/>
    <m/>
    <m/>
    <d v="2024-03-11T00:00:00"/>
    <d v="2024-05-06T00:00:00"/>
    <n v="56"/>
    <d v="2024-05-06T00:00:00"/>
    <d v="2024-05-20T00:00:00"/>
    <n v="363358"/>
    <d v="2024-05-20T00:00:00"/>
    <d v="2024-06-10T00:00:00"/>
    <d v="2024-05-01T00:00:00"/>
    <d v="2024-06-12T00:00:00"/>
    <n v="1.5"/>
    <n v="21"/>
    <s v="PROYECTO REGIONAL"/>
    <m/>
    <s v="x"/>
  </r>
  <r>
    <x v="0"/>
    <x v="8"/>
    <m/>
    <x v="160"/>
    <m/>
    <s v="Ver Anexo A2"/>
    <m/>
    <x v="0"/>
    <s v="Celula Operaciones Maxpoint 2024"/>
    <x v="0"/>
    <x v="0"/>
    <x v="0"/>
    <x v="0"/>
    <x v="0"/>
    <x v="0"/>
    <n v="3"/>
    <x v="0"/>
    <m/>
    <x v="0"/>
    <n v="1"/>
    <n v="2"/>
    <n v="3"/>
    <n v="550"/>
    <m/>
    <n v="3300"/>
    <m/>
    <m/>
    <d v="2024-08-12T00:00:00"/>
    <d v="2024-08-26T00:00:00"/>
    <d v="2024-08-27T00:00:00"/>
    <d v="2024-09-10T00:00:00"/>
    <d v="2024-09-11T00:00:00"/>
    <d v="2024-09-25T00:00:00"/>
    <d v="2024-07-19T00:00:00"/>
    <d v="2024-08-02T00:00:00"/>
    <m/>
    <m/>
    <n v="0.5"/>
    <n v="14"/>
    <s v="Célula Operaciones"/>
    <m/>
    <m/>
  </r>
  <r>
    <x v="0"/>
    <x v="8"/>
    <m/>
    <x v="161"/>
    <m/>
    <s v="Ver Anexo A2"/>
    <m/>
    <x v="0"/>
    <s v="Celula Operaciones Maxpoint 2024"/>
    <x v="0"/>
    <x v="0"/>
    <x v="0"/>
    <x v="0"/>
    <x v="0"/>
    <x v="0"/>
    <n v="4"/>
    <x v="0"/>
    <m/>
    <x v="0"/>
    <n v="1"/>
    <n v="2"/>
    <n v="2"/>
    <n v="550"/>
    <m/>
    <n v="2200"/>
    <m/>
    <m/>
    <d v="2024-08-05T00:00:00"/>
    <d v="2024-09-09T00:00:00"/>
    <d v="2024-09-10T00:00:00"/>
    <d v="2024-09-24T00:00:00"/>
    <d v="2024-09-25T00:00:00"/>
    <d v="2024-10-09T00:00:00"/>
    <d v="2024-07-26T00:00:00"/>
    <d v="2024-08-09T00:00:00"/>
    <m/>
    <m/>
    <n v="0.5"/>
    <n v="14"/>
    <s v="Célula Operaciones"/>
    <m/>
    <m/>
  </r>
  <r>
    <x v="0"/>
    <x v="8"/>
    <m/>
    <x v="162"/>
    <m/>
    <s v="Ver Anexo A2"/>
    <m/>
    <x v="0"/>
    <s v="Celula Operaciones Maxpoint 2024"/>
    <x v="0"/>
    <x v="0"/>
    <x v="0"/>
    <x v="0"/>
    <x v="0"/>
    <x v="0"/>
    <n v="4"/>
    <x v="2"/>
    <m/>
    <x v="2"/>
    <n v="1"/>
    <n v="2"/>
    <n v="5"/>
    <n v="550"/>
    <m/>
    <n v="5500"/>
    <m/>
    <m/>
    <d v="2024-04-01T00:00:00"/>
    <d v="2024-05-06T00:00:00"/>
    <d v="2024-05-07T00:00:00"/>
    <d v="2024-05-21T00:00:00"/>
    <d v="2024-05-22T00:00:00"/>
    <d v="2024-06-05T00:00:00"/>
    <d v="2024-08-23T00:00:00"/>
    <d v="2024-09-06T00:00:00"/>
    <m/>
    <m/>
    <n v="0.5"/>
    <n v="14"/>
    <s v="Célula Operaciones"/>
    <m/>
    <m/>
  </r>
  <r>
    <x v="0"/>
    <x v="2"/>
    <s v="Kioscos"/>
    <x v="159"/>
    <s v="MXP LEGACY_x000a_TRADE"/>
    <s v="Migracion del canal de kioscos a V3 para poder contar las funcionalidades de cupones, descuentos y propinas"/>
    <s v="ALTA"/>
    <x v="3"/>
    <s v="Proyectos TD 2024"/>
    <x v="2"/>
    <x v="3"/>
    <x v="10"/>
    <x v="4"/>
    <x v="1"/>
    <x v="0"/>
    <e v="#N/A"/>
    <x v="2"/>
    <s v="p20"/>
    <x v="2"/>
    <n v="1"/>
    <n v="4"/>
    <n v="1"/>
    <n v="550"/>
    <m/>
    <n v="2840"/>
    <m/>
    <m/>
    <d v="2024-04-29T00:00:00"/>
    <d v="2024-05-13T00:00:00"/>
    <n v="14"/>
    <d v="2024-05-13T00:00:00"/>
    <d v="2024-05-20T00:00:00"/>
    <n v="363407"/>
    <d v="2024-05-20T00:00:00"/>
    <d v="2024-05-27T00:00:00"/>
    <d v="2024-05-01T00:00:00"/>
    <d v="2024-05-29T00:00:00"/>
    <n v="1"/>
    <n v="7"/>
    <s v="PROYECTO REGIONAL"/>
    <m/>
    <s v="x"/>
  </r>
  <r>
    <x v="0"/>
    <x v="2"/>
    <s v="Kioscos"/>
    <x v="159"/>
    <s v="MXP LEGACY_x000a_TRADE"/>
    <s v="Migracion del canal de kioscos a V3 para poder contar las funcionalidades de cupones, descuentos y propinas"/>
    <s v="ALTA"/>
    <x v="3"/>
    <s v="Proyectos TD 2024"/>
    <x v="2"/>
    <x v="1"/>
    <x v="10"/>
    <x v="4"/>
    <x v="1"/>
    <x v="0"/>
    <e v="#N/A"/>
    <x v="2"/>
    <s v="p20"/>
    <x v="2"/>
    <n v="1"/>
    <n v="4"/>
    <n v="1"/>
    <n v="550"/>
    <m/>
    <n v="2840"/>
    <m/>
    <m/>
    <d v="2024-04-29T00:00:00"/>
    <d v="2024-05-13T00:00:00"/>
    <n v="14"/>
    <d v="2024-05-13T00:00:00"/>
    <d v="2024-05-20T00:00:00"/>
    <n v="363407"/>
    <d v="2024-05-20T00:00:00"/>
    <d v="2024-05-27T00:00:00"/>
    <d v="2024-06-01T00:00:00"/>
    <d v="2024-06-29T00:00:00"/>
    <n v="1"/>
    <n v="7"/>
    <s v="PROYECTO REGIONAL"/>
    <m/>
    <s v="x"/>
  </r>
  <r>
    <x v="0"/>
    <x v="8"/>
    <m/>
    <x v="163"/>
    <m/>
    <s v="Ver Anexo A2"/>
    <m/>
    <x v="0"/>
    <s v="Celula Operaciones Maxpoint 2024"/>
    <x v="0"/>
    <x v="0"/>
    <x v="0"/>
    <x v="0"/>
    <x v="0"/>
    <x v="0"/>
    <s v="3T 24"/>
    <x v="2"/>
    <m/>
    <x v="0"/>
    <n v="1"/>
    <n v="0"/>
    <n v="0"/>
    <n v="550"/>
    <m/>
    <n v="0"/>
    <m/>
    <m/>
    <d v="2024-05-02T00:00:00"/>
    <d v="2024-05-23T00:00:00"/>
    <d v="2024-05-24T00:00:00"/>
    <d v="2024-06-07T00:00:00"/>
    <d v="2024-06-08T00:00:00"/>
    <d v="2024-06-22T00:00:00"/>
    <d v="2024-09-15T00:00:00"/>
    <d v="2024-09-29T00:00:00"/>
    <m/>
    <m/>
    <n v="0"/>
    <n v="14"/>
    <s v="Célula Operaciones"/>
    <m/>
    <m/>
  </r>
  <r>
    <x v="0"/>
    <x v="2"/>
    <s v="Kioscos"/>
    <x v="159"/>
    <s v="MXP LEGACY_x000a_TRADE"/>
    <s v="Migracion del canal de kioscos a V3 para poder contar las funcionalidades de cupones, descuentos y propinas"/>
    <s v="ALTA"/>
    <x v="3"/>
    <s v="Proyectos TD 2024"/>
    <x v="2"/>
    <x v="2"/>
    <x v="10"/>
    <x v="4"/>
    <x v="1"/>
    <x v="0"/>
    <e v="#N/A"/>
    <x v="2"/>
    <s v="p20"/>
    <x v="2"/>
    <n v="1"/>
    <n v="4"/>
    <n v="1"/>
    <n v="550"/>
    <m/>
    <n v="2840"/>
    <m/>
    <m/>
    <d v="2024-04-29T00:00:00"/>
    <d v="2024-05-13T00:00:00"/>
    <n v="14"/>
    <d v="2024-05-13T00:00:00"/>
    <d v="2024-05-20T00:00:00"/>
    <n v="363407"/>
    <d v="2024-05-20T00:00:00"/>
    <d v="2024-05-27T00:00:00"/>
    <d v="2024-06-01T00:00:00"/>
    <d v="2024-06-29T00:00:00"/>
    <n v="1"/>
    <n v="7"/>
    <s v="PROYECTO REGIONAL"/>
    <m/>
    <s v="x"/>
  </r>
  <r>
    <x v="0"/>
    <x v="2"/>
    <s v="Kioscos"/>
    <x v="164"/>
    <s v="MXP LEGACY_x000a_TRADE"/>
    <s v="Complemento de kioskos para poder cobrar en efectivo desde el kiosko"/>
    <s v="BAJA"/>
    <x v="0"/>
    <s v="Proyectos TD 2024"/>
    <x v="2"/>
    <x v="0"/>
    <x v="46"/>
    <x v="4"/>
    <x v="1"/>
    <x v="0"/>
    <s v="Q4"/>
    <x v="3"/>
    <s v="p76"/>
    <x v="2"/>
    <m/>
    <n v="10"/>
    <n v="2"/>
    <n v="550"/>
    <m/>
    <n v="11640"/>
    <m/>
    <m/>
    <d v="2024-10-07T00:00:00"/>
    <d v="2024-11-11T00:00:00"/>
    <n v="35"/>
    <d v="2024-11-11T00:00:00"/>
    <d v="2024-11-25T00:00:00"/>
    <n v="364870"/>
    <d v="2024-11-25T00:00:00"/>
    <d v="2024-12-02T00:00:00"/>
    <d v="2024-10-01T00:00:00"/>
    <d v="2024-12-10T00:00:00"/>
    <n v="2.5"/>
    <n v="7"/>
    <m/>
    <m/>
    <s v="x"/>
  </r>
  <r>
    <x v="0"/>
    <x v="2"/>
    <s v="Kioscos"/>
    <x v="165"/>
    <s v="MXP LEGACY_x000a_TRADE"/>
    <s v="Implementación de kioskos en todas las tiendas KFC "/>
    <s v="MEDIA"/>
    <x v="3"/>
    <s v="Funcionalidades Regionales"/>
    <x v="1"/>
    <x v="2"/>
    <x v="26"/>
    <x v="1"/>
    <x v="1"/>
    <x v="4"/>
    <s v="Q1"/>
    <x v="2"/>
    <s v="p32"/>
    <x v="1"/>
    <n v="1"/>
    <n v="8"/>
    <n v="1"/>
    <n v="550"/>
    <m/>
    <n v="5040"/>
    <m/>
    <m/>
    <d v="2024-03-18T00:00:00"/>
    <d v="2024-04-15T00:00:00"/>
    <n v="28"/>
    <d v="2024-04-15T00:00:00"/>
    <d v="2024-04-29T00:00:00"/>
    <n v="363190"/>
    <d v="2024-04-29T00:00:00"/>
    <d v="2024-05-13T00:00:00"/>
    <d v="2024-05-01T00:00:00"/>
    <d v="2024-06-26T00:00:00"/>
    <n v="2"/>
    <n v="14"/>
    <s v="PROYECTO REGIONAL"/>
    <m/>
    <s v="x"/>
  </r>
  <r>
    <x v="0"/>
    <x v="2"/>
    <s v="Kioscos"/>
    <x v="165"/>
    <s v="MXP LEGACY_x000a_TRADE"/>
    <s v="Implementación de kioskos en todas las tiendas Wendys"/>
    <s v="MEDIA"/>
    <x v="3"/>
    <s v="Funcionalidades Regionales"/>
    <x v="1"/>
    <x v="2"/>
    <x v="26"/>
    <x v="1"/>
    <x v="1"/>
    <x v="0"/>
    <m/>
    <x v="2"/>
    <s v="p35"/>
    <x v="1"/>
    <n v="1"/>
    <n v="8"/>
    <n v="2"/>
    <n v="550"/>
    <m/>
    <n v="9440"/>
    <m/>
    <m/>
    <d v="2024-03-18T00:00:00"/>
    <d v="2024-04-15T00:00:00"/>
    <n v="28"/>
    <d v="2024-04-15T00:00:00"/>
    <d v="2024-04-29T00:00:00"/>
    <n v="363190"/>
    <d v="2024-04-29T00:00:00"/>
    <d v="2024-05-13T00:00:00"/>
    <d v="2024-05-01T00:00:00"/>
    <d v="2024-06-26T00:00:00"/>
    <n v="2"/>
    <n v="14"/>
    <s v="PROYECTO REGIONAL"/>
    <m/>
    <s v="x"/>
  </r>
  <r>
    <x v="0"/>
    <x v="2"/>
    <s v="Kioscos"/>
    <x v="166"/>
    <s v="MXP LEGACY_x000a_TRADE"/>
    <s v="Recepción de aceptaciones de la ley de protección de datos de los kioscos Ecuador, Recepcion de aceptación por separado"/>
    <s v="ALTA"/>
    <x v="0"/>
    <s v="Proyectos TD 2024"/>
    <x v="2"/>
    <x v="0"/>
    <x v="10"/>
    <x v="4"/>
    <x v="1"/>
    <x v="0"/>
    <e v="#N/A"/>
    <x v="1"/>
    <s v="p19"/>
    <x v="1"/>
    <m/>
    <n v="6"/>
    <n v="1"/>
    <n v="550"/>
    <m/>
    <n v="3940"/>
    <m/>
    <m/>
    <d v="2024-03-04T00:00:00"/>
    <d v="2024-03-18T00:00:00"/>
    <n v="14"/>
    <d v="2024-03-18T00:00:00"/>
    <d v="2024-03-25T00:00:00"/>
    <n v="362959"/>
    <d v="2024-03-25T00:00:00"/>
    <d v="2024-04-01T00:00:00"/>
    <d v="2024-04-01T00:00:00"/>
    <d v="2024-05-13T00:00:00"/>
    <n v="1.5"/>
    <n v="7"/>
    <s v="ECOMERCE"/>
    <m/>
    <s v="x"/>
  </r>
  <r>
    <x v="0"/>
    <x v="5"/>
    <m/>
    <x v="167"/>
    <m/>
    <s v="Desbloqueo Automatico, INTERCOMPANY. Particion de lotes, al calcular gasto fabril da una diferencia de 1 o 2 ctvos. LA MIRO tiene una tolerancia de l5%, contabiliza pero da un bloque automático,LEs toca desbloquear todos los dias y tesoreira no puede ejeuctar los pagos"/>
    <m/>
    <x v="0"/>
    <s v="Optimización Procesos Plantas"/>
    <x v="4"/>
    <x v="0"/>
    <x v="12"/>
    <x v="9"/>
    <x v="2"/>
    <x v="0"/>
    <s v="Q2"/>
    <x v="2"/>
    <m/>
    <x v="1"/>
    <n v="1"/>
    <n v="2"/>
    <n v="1"/>
    <n v="1100"/>
    <m/>
    <n v="2200"/>
    <m/>
    <m/>
    <m/>
    <m/>
    <n v="0"/>
    <m/>
    <m/>
    <n v="0"/>
    <m/>
    <m/>
    <m/>
    <m/>
    <n v="0.5"/>
    <n v="0"/>
    <m/>
    <m/>
    <m/>
  </r>
  <r>
    <x v="1"/>
    <x v="0"/>
    <m/>
    <x v="168"/>
    <m/>
    <m/>
    <m/>
    <x v="0"/>
    <m/>
    <x v="1"/>
    <x v="0"/>
    <x v="25"/>
    <x v="1"/>
    <x v="1"/>
    <x v="5"/>
    <m/>
    <x v="1"/>
    <m/>
    <x v="0"/>
    <m/>
    <m/>
    <m/>
    <m/>
    <m/>
    <m/>
    <m/>
    <m/>
    <m/>
    <m/>
    <e v="#REF!"/>
    <m/>
    <m/>
    <d v="1899-12-30T00:00:00"/>
    <m/>
    <m/>
    <m/>
    <m/>
    <n v="0"/>
    <n v="0"/>
    <m/>
    <m/>
    <m/>
  </r>
  <r>
    <x v="1"/>
    <x v="0"/>
    <m/>
    <x v="169"/>
    <m/>
    <m/>
    <m/>
    <x v="0"/>
    <m/>
    <x v="1"/>
    <x v="0"/>
    <x v="25"/>
    <x v="1"/>
    <x v="1"/>
    <x v="5"/>
    <m/>
    <x v="1"/>
    <m/>
    <x v="0"/>
    <m/>
    <m/>
    <m/>
    <m/>
    <m/>
    <m/>
    <m/>
    <m/>
    <m/>
    <m/>
    <e v="#REF!"/>
    <m/>
    <m/>
    <d v="1899-12-30T00:00:00"/>
    <m/>
    <m/>
    <m/>
    <m/>
    <n v="0"/>
    <n v="0"/>
    <m/>
    <m/>
    <m/>
  </r>
  <r>
    <x v="0"/>
    <x v="0"/>
    <m/>
    <x v="170"/>
    <s v="MXP 2.0"/>
    <m/>
    <m/>
    <x v="0"/>
    <s v="LOPDP"/>
    <x v="2"/>
    <x v="0"/>
    <x v="47"/>
    <x v="20"/>
    <x v="2"/>
    <x v="0"/>
    <m/>
    <x v="2"/>
    <m/>
    <x v="0"/>
    <m/>
    <n v="6"/>
    <n v="1"/>
    <n v="550"/>
    <m/>
    <n v="3880"/>
    <m/>
    <m/>
    <d v="2024-04-08T00:00:00"/>
    <d v="2024-05-20T00:00:00"/>
    <e v="#REF!"/>
    <d v="2024-05-21T00:00:00"/>
    <d v="2024-06-04T00:00:00"/>
    <d v="2895-03-01T00:00:00"/>
    <d v="2024-06-05T00:00:00"/>
    <d v="2024-06-19T00:00:00"/>
    <m/>
    <m/>
    <n v="1.5"/>
    <n v="14"/>
    <m/>
    <m/>
    <m/>
  </r>
  <r>
    <x v="0"/>
    <x v="1"/>
    <m/>
    <x v="171"/>
    <m/>
    <m/>
    <m/>
    <x v="0"/>
    <s v="Mantenimiento"/>
    <x v="1"/>
    <x v="0"/>
    <x v="25"/>
    <x v="1"/>
    <x v="1"/>
    <x v="5"/>
    <m/>
    <x v="3"/>
    <m/>
    <x v="3"/>
    <m/>
    <n v="40"/>
    <n v="1"/>
    <n v="190"/>
    <m/>
    <n v="8240"/>
    <m/>
    <m/>
    <d v="2024-03-01T00:00:00"/>
    <d v="2024-12-31T00:00:00"/>
    <e v="#REF!"/>
    <m/>
    <m/>
    <d v="1899-12-30T00:00:00"/>
    <m/>
    <m/>
    <m/>
    <m/>
    <n v="10"/>
    <n v="0"/>
    <m/>
    <m/>
    <m/>
  </r>
  <r>
    <x v="0"/>
    <x v="1"/>
    <m/>
    <x v="172"/>
    <m/>
    <m/>
    <m/>
    <x v="2"/>
    <s v="Mantenimiento"/>
    <x v="3"/>
    <x v="2"/>
    <x v="26"/>
    <x v="18"/>
    <x v="1"/>
    <x v="4"/>
    <m/>
    <x v="3"/>
    <m/>
    <x v="1"/>
    <m/>
    <n v="36"/>
    <n v="1"/>
    <n v="190"/>
    <m/>
    <n v="7480"/>
    <m/>
    <m/>
    <d v="2024-03-01T00:00:00"/>
    <d v="2025-01-31T00:00:00"/>
    <e v="#REF!"/>
    <d v="2024-03-01T00:00:00"/>
    <d v="2025-01-31T00:00:00"/>
    <d v="2894-04-09T00:00:00"/>
    <m/>
    <m/>
    <m/>
    <m/>
    <n v="9"/>
    <n v="0"/>
    <m/>
    <m/>
    <m/>
  </r>
  <r>
    <x v="0"/>
    <x v="1"/>
    <m/>
    <x v="173"/>
    <m/>
    <m/>
    <m/>
    <x v="2"/>
    <s v="Mantenimiento"/>
    <x v="3"/>
    <x v="4"/>
    <x v="17"/>
    <x v="12"/>
    <x v="1"/>
    <x v="4"/>
    <m/>
    <x v="3"/>
    <m/>
    <x v="1"/>
    <m/>
    <n v="44"/>
    <n v="1"/>
    <n v="275"/>
    <m/>
    <n v="12740"/>
    <m/>
    <m/>
    <d v="2024-03-01T00:00:00"/>
    <d v="2025-01-31T00:00:00"/>
    <e v="#REF!"/>
    <d v="2024-03-01T00:00:00"/>
    <d v="2025-01-31T00:00:00"/>
    <d v="2894-04-09T00:00:00"/>
    <m/>
    <m/>
    <m/>
    <m/>
    <n v="11"/>
    <n v="0"/>
    <m/>
    <m/>
    <m/>
  </r>
  <r>
    <x v="0"/>
    <x v="1"/>
    <m/>
    <x v="174"/>
    <m/>
    <m/>
    <m/>
    <x v="2"/>
    <s v="Mantenimiento"/>
    <x v="3"/>
    <x v="3"/>
    <x v="11"/>
    <x v="8"/>
    <x v="1"/>
    <x v="4"/>
    <m/>
    <x v="3"/>
    <m/>
    <x v="1"/>
    <m/>
    <n v="40"/>
    <n v="1"/>
    <n v="475"/>
    <m/>
    <n v="19640"/>
    <m/>
    <m/>
    <d v="2024-03-01T00:00:00"/>
    <d v="2025-01-31T00:00:00"/>
    <e v="#REF!"/>
    <d v="2024-03-01T00:00:00"/>
    <d v="2025-01-31T00:00:00"/>
    <d v="2894-04-09T00:00:00"/>
    <m/>
    <m/>
    <m/>
    <m/>
    <n v="10"/>
    <n v="0"/>
    <m/>
    <m/>
    <m/>
  </r>
  <r>
    <x v="0"/>
    <x v="1"/>
    <m/>
    <x v="175"/>
    <m/>
    <m/>
    <m/>
    <x v="2"/>
    <s v="Mantenimiento"/>
    <x v="3"/>
    <x v="5"/>
    <x v="42"/>
    <x v="22"/>
    <x v="1"/>
    <x v="4"/>
    <m/>
    <x v="3"/>
    <m/>
    <x v="1"/>
    <m/>
    <n v="40"/>
    <n v="1"/>
    <n v="375"/>
    <m/>
    <n v="15640"/>
    <m/>
    <m/>
    <d v="2024-03-01T00:00:00"/>
    <d v="2025-01-31T00:00:00"/>
    <e v="#REF!"/>
    <d v="2024-03-01T00:00:00"/>
    <d v="2025-01-31T00:00:00"/>
    <d v="2894-04-09T00:00:00"/>
    <m/>
    <m/>
    <m/>
    <m/>
    <n v="10"/>
    <n v="0"/>
    <m/>
    <m/>
    <m/>
  </r>
  <r>
    <x v="0"/>
    <x v="0"/>
    <m/>
    <x v="176"/>
    <m/>
    <s v="Ver Anexo A3"/>
    <m/>
    <x v="0"/>
    <s v="Mantenimiento"/>
    <x v="1"/>
    <x v="0"/>
    <x v="48"/>
    <x v="1"/>
    <x v="1"/>
    <x v="0"/>
    <m/>
    <x v="2"/>
    <m/>
    <x v="2"/>
    <n v="1"/>
    <n v="20"/>
    <n v="8"/>
    <n v="550"/>
    <m/>
    <n v="88580"/>
    <m/>
    <m/>
    <d v="2024-06-15T00:00:00"/>
    <d v="2024-07-06T00:00:00"/>
    <d v="2024-07-07T00:00:00"/>
    <d v="2024-07-21T00:00:00"/>
    <d v="2024-07-22T00:00:00"/>
    <d v="2024-08-05T00:00:00"/>
    <d v="2024-03-10T00:00:00"/>
    <d v="2024-12-31T00:00:00"/>
    <m/>
    <m/>
    <n v="5"/>
    <n v="296"/>
    <s v="Identificado Grupo de Soporte"/>
    <m/>
    <m/>
  </r>
  <r>
    <x v="0"/>
    <x v="0"/>
    <m/>
    <x v="177"/>
    <m/>
    <s v="Correcciones y mejoras en MaxPoint"/>
    <m/>
    <x v="2"/>
    <s v="Mantenimiento"/>
    <x v="1"/>
    <x v="1"/>
    <x v="7"/>
    <x v="5"/>
    <x v="1"/>
    <x v="4"/>
    <m/>
    <x v="1"/>
    <m/>
    <x v="2"/>
    <n v="1"/>
    <n v="8"/>
    <n v="3"/>
    <n v="550"/>
    <m/>
    <n v="13200"/>
    <m/>
    <m/>
    <d v="2024-01-01T00:00:00"/>
    <d v="2024-03-14T00:00:00"/>
    <e v="#REF!"/>
    <d v="2024-03-18T00:00:00"/>
    <d v="2024-03-22T00:00:00"/>
    <d v="2893-09-25T00:00:00"/>
    <d v="2024-03-25T00:00:00"/>
    <d v="2024-03-27T00:00:00"/>
    <m/>
    <m/>
    <n v="2"/>
    <n v="2"/>
    <m/>
    <m/>
    <m/>
  </r>
  <r>
    <x v="0"/>
    <x v="0"/>
    <m/>
    <x v="177"/>
    <m/>
    <s v="Mejoras y corrección bugs"/>
    <m/>
    <x v="2"/>
    <s v="Mantenimiento"/>
    <x v="1"/>
    <x v="2"/>
    <x v="26"/>
    <x v="18"/>
    <x v="1"/>
    <x v="4"/>
    <m/>
    <x v="1"/>
    <m/>
    <x v="1"/>
    <n v="1"/>
    <n v="8"/>
    <n v="3"/>
    <n v="550"/>
    <m/>
    <n v="13200"/>
    <m/>
    <m/>
    <d v="2024-01-01T00:00:00"/>
    <d v="2024-04-12T00:00:00"/>
    <e v="#REF!"/>
    <d v="2024-04-15T00:00:00"/>
    <d v="2024-04-19T00:00:00"/>
    <d v="2894-05-07T00:00:00"/>
    <d v="2024-04-22T00:00:00"/>
    <d v="2024-04-26T00:00:00"/>
    <m/>
    <m/>
    <n v="2"/>
    <n v="4"/>
    <m/>
    <m/>
    <m/>
  </r>
  <r>
    <x v="0"/>
    <x v="8"/>
    <m/>
    <x v="178"/>
    <m/>
    <s v="Ver Anexo A4"/>
    <m/>
    <x v="0"/>
    <s v="Restructura de manejo de Plu´s y MasterPlu"/>
    <x v="0"/>
    <x v="0"/>
    <x v="1"/>
    <x v="0"/>
    <x v="2"/>
    <x v="0"/>
    <n v="22"/>
    <x v="4"/>
    <m/>
    <x v="3"/>
    <m/>
    <m/>
    <m/>
    <n v="550"/>
    <m/>
    <m/>
    <m/>
    <m/>
    <m/>
    <m/>
    <e v="#REF!"/>
    <m/>
    <m/>
    <d v="1899-12-30T00:00:00"/>
    <m/>
    <m/>
    <m/>
    <m/>
    <n v="0"/>
    <n v="0"/>
    <s v="Jaime va a evaluar el proceso (MAXPOINT)_x000a_No se tiene contexto del requerimiento, evaluar si se lo realiza en nuevo maxpoint"/>
    <m/>
    <m/>
  </r>
  <r>
    <x v="0"/>
    <x v="0"/>
    <m/>
    <x v="177"/>
    <m/>
    <s v="Mantenimiento y remediaciones en MaxPoint"/>
    <m/>
    <x v="2"/>
    <s v="Mantenimiento"/>
    <x v="1"/>
    <x v="3"/>
    <x v="11"/>
    <x v="8"/>
    <x v="1"/>
    <x v="4"/>
    <m/>
    <x v="1"/>
    <m/>
    <x v="2"/>
    <n v="1"/>
    <n v="8"/>
    <n v="3"/>
    <n v="625"/>
    <m/>
    <n v="15000"/>
    <m/>
    <m/>
    <d v="2024-01-01T00:00:00"/>
    <d v="2024-02-15T00:00:00"/>
    <e v="#REF!"/>
    <d v="2024-02-04T00:00:00"/>
    <d v="2024-02-09T00:00:00"/>
    <d v="2892-10-17T00:00:00"/>
    <d v="2024-02-11T00:00:00"/>
    <d v="2024-02-15T00:00:00"/>
    <m/>
    <m/>
    <n v="2"/>
    <n v="4"/>
    <m/>
    <m/>
    <m/>
  </r>
  <r>
    <x v="0"/>
    <x v="1"/>
    <m/>
    <x v="179"/>
    <m/>
    <m/>
    <m/>
    <x v="2"/>
    <s v="Mantenimiento"/>
    <x v="3"/>
    <x v="1"/>
    <x v="7"/>
    <x v="5"/>
    <x v="1"/>
    <x v="4"/>
    <m/>
    <x v="3"/>
    <m/>
    <x v="1"/>
    <m/>
    <n v="40"/>
    <n v="1"/>
    <n v="450"/>
    <m/>
    <n v="18640"/>
    <m/>
    <m/>
    <d v="2024-03-01T00:00:00"/>
    <d v="2025-01-31T00:00:00"/>
    <e v="#REF!"/>
    <d v="2024-03-01T00:00:00"/>
    <d v="2025-01-31T00:00:00"/>
    <d v="2894-04-09T00:00:00"/>
    <m/>
    <m/>
    <m/>
    <m/>
    <n v="10"/>
    <n v="0"/>
    <m/>
    <m/>
    <m/>
  </r>
  <r>
    <x v="0"/>
    <x v="0"/>
    <m/>
    <x v="180"/>
    <m/>
    <s v="Base central de clientes para el uso en canales de MaxPoint y Kioskos."/>
    <m/>
    <x v="2"/>
    <s v="Funcionalidades Regionales"/>
    <x v="3"/>
    <x v="1"/>
    <x v="7"/>
    <x v="5"/>
    <x v="1"/>
    <x v="0"/>
    <m/>
    <x v="2"/>
    <s v="Validar con BigData para la integración de la master data de clientes."/>
    <x v="1"/>
    <n v="1"/>
    <n v="6"/>
    <n v="1"/>
    <n v="550"/>
    <m/>
    <n v="3300"/>
    <m/>
    <m/>
    <d v="2024-04-01T00:00:00"/>
    <d v="2024-04-26T00:00:00"/>
    <e v="#REF!"/>
    <d v="2024-04-29T00:00:00"/>
    <d v="2024-05-03T00:00:00"/>
    <d v="2894-08-27T00:00:00"/>
    <d v="2024-05-06T00:00:00"/>
    <d v="2024-05-08T00:00:00"/>
    <m/>
    <m/>
    <n v="1.5"/>
    <n v="2"/>
    <m/>
    <m/>
    <m/>
  </r>
  <r>
    <x v="0"/>
    <x v="0"/>
    <m/>
    <x v="181"/>
    <m/>
    <s v="Terminar implementación y corrección de bug"/>
    <m/>
    <x v="2"/>
    <s v="Mantenimiento"/>
    <x v="1"/>
    <x v="4"/>
    <x v="17"/>
    <x v="12"/>
    <x v="1"/>
    <x v="4"/>
    <m/>
    <x v="1"/>
    <s v="Dependencia estabilización en KFC"/>
    <x v="2"/>
    <n v="1"/>
    <n v="1"/>
    <n v="2"/>
    <n v="625"/>
    <m/>
    <n v="1250"/>
    <m/>
    <m/>
    <d v="2024-03-04T00:00:00"/>
    <d v="2024-03-08T00:00:00"/>
    <e v="#REF!"/>
    <d v="2024-03-11T00:00:00"/>
    <d v="2024-03-15T00:00:00"/>
    <d v="2893-07-31T00:00:00"/>
    <d v="2024-03-18T00:00:00"/>
    <d v="2024-03-22T00:00:00"/>
    <m/>
    <m/>
    <n v="0.25"/>
    <n v="4"/>
    <m/>
    <m/>
    <m/>
  </r>
  <r>
    <x v="0"/>
    <x v="8"/>
    <m/>
    <x v="182"/>
    <m/>
    <s v="Desarrollo PMV "/>
    <m/>
    <x v="0"/>
    <m/>
    <x v="0"/>
    <x v="0"/>
    <x v="40"/>
    <x v="0"/>
    <x v="0"/>
    <x v="4"/>
    <m/>
    <x v="4"/>
    <m/>
    <x v="3"/>
    <m/>
    <m/>
    <m/>
    <m/>
    <m/>
    <n v="640"/>
    <m/>
    <m/>
    <m/>
    <m/>
    <e v="#REF!"/>
    <m/>
    <m/>
    <d v="1899-12-30T00:00:00"/>
    <m/>
    <m/>
    <m/>
    <m/>
    <n v="0"/>
    <n v="0"/>
    <m/>
    <m/>
    <m/>
  </r>
  <r>
    <x v="0"/>
    <x v="0"/>
    <m/>
    <x v="183"/>
    <m/>
    <s v="Terminar implementación y corrección de bug"/>
    <m/>
    <x v="2"/>
    <s v="Funcionalidades Locales"/>
    <x v="3"/>
    <x v="4"/>
    <x v="17"/>
    <x v="12"/>
    <x v="1"/>
    <x v="4"/>
    <m/>
    <x v="1"/>
    <s v="Dependencia estabilización en KFC"/>
    <x v="2"/>
    <n v="1"/>
    <n v="1"/>
    <n v="2"/>
    <n v="625"/>
    <m/>
    <n v="1250"/>
    <m/>
    <m/>
    <d v="2024-03-18T00:00:00"/>
    <d v="2024-03-22T00:00:00"/>
    <e v="#REF!"/>
    <d v="2024-03-25T00:00:00"/>
    <d v="2024-03-29T00:00:00"/>
    <d v="2893-11-20T00:00:00"/>
    <d v="2024-04-01T00:00:00"/>
    <d v="2024-04-05T00:00:00"/>
    <m/>
    <m/>
    <n v="0.25"/>
    <n v="4"/>
    <m/>
    <m/>
    <m/>
  </r>
  <r>
    <x v="1"/>
    <x v="1"/>
    <m/>
    <x v="184"/>
    <m/>
    <s v="Ver Anexo A4"/>
    <m/>
    <x v="0"/>
    <s v="Otros - Presupuesto 2023"/>
    <x v="0"/>
    <x v="0"/>
    <x v="49"/>
    <x v="0"/>
    <x v="1"/>
    <x v="1"/>
    <m/>
    <x v="1"/>
    <m/>
    <x v="0"/>
    <m/>
    <m/>
    <m/>
    <m/>
    <m/>
    <m/>
    <m/>
    <m/>
    <m/>
    <m/>
    <e v="#REF!"/>
    <m/>
    <m/>
    <d v="1899-12-30T00:00:00"/>
    <m/>
    <m/>
    <m/>
    <m/>
    <n v="0"/>
    <n v="0"/>
    <s v="Proyecto 2023"/>
    <m/>
    <m/>
  </r>
  <r>
    <x v="0"/>
    <x v="1"/>
    <m/>
    <x v="185"/>
    <s v="Alcance presupuesto anterior mejoras contabilidad- pedido equipo ERP"/>
    <m/>
    <m/>
    <x v="0"/>
    <s v="Mantenimiento"/>
    <x v="1"/>
    <x v="0"/>
    <x v="50"/>
    <x v="1"/>
    <x v="2"/>
    <x v="1"/>
    <m/>
    <x v="1"/>
    <m/>
    <x v="0"/>
    <m/>
    <n v="2"/>
    <n v="2"/>
    <n v="400"/>
    <m/>
    <n v="2240"/>
    <m/>
    <m/>
    <d v="2024-03-18T00:00:00"/>
    <d v="2024-03-29T00:00:00"/>
    <e v="#REF!"/>
    <d v="2024-04-01T00:00:00"/>
    <d v="2024-04-12T00:00:00"/>
    <d v="2894-01-22T00:00:00"/>
    <m/>
    <m/>
    <m/>
    <m/>
    <n v="0.5"/>
    <n v="0"/>
    <m/>
    <m/>
    <m/>
  </r>
  <r>
    <x v="0"/>
    <x v="1"/>
    <m/>
    <x v="186"/>
    <m/>
    <s v="Nuevo Requerimiento"/>
    <m/>
    <x v="2"/>
    <s v="Mantenimiento"/>
    <x v="3"/>
    <x v="4"/>
    <x v="17"/>
    <x v="12"/>
    <x v="1"/>
    <x v="0"/>
    <m/>
    <x v="0"/>
    <m/>
    <x v="1"/>
    <m/>
    <n v="2"/>
    <n v="2"/>
    <n v="400"/>
    <m/>
    <m/>
    <m/>
    <m/>
    <d v="2024-06-17T00:00:00"/>
    <d v="2024-06-28T00:00:00"/>
    <e v="#REF!"/>
    <d v="2024-07-02T00:00:00"/>
    <d v="2024-07-09T00:00:00"/>
    <d v="2896-01-24T00:00:00"/>
    <m/>
    <m/>
    <m/>
    <m/>
    <n v="0.5"/>
    <n v="0"/>
    <m/>
    <m/>
    <m/>
  </r>
  <r>
    <x v="0"/>
    <x v="1"/>
    <m/>
    <x v="187"/>
    <m/>
    <s v="Activación Modulo Aceite quemado"/>
    <m/>
    <x v="3"/>
    <s v="Mantenimiento"/>
    <x v="3"/>
    <x v="3"/>
    <x v="11"/>
    <x v="8"/>
    <x v="1"/>
    <x v="4"/>
    <n v="1"/>
    <x v="1"/>
    <m/>
    <x v="0"/>
    <m/>
    <n v="1"/>
    <n v="1"/>
    <m/>
    <m/>
    <m/>
    <m/>
    <m/>
    <d v="2024-02-12T00:00:00"/>
    <d v="2024-02-23T00:00:00"/>
    <e v="#REF!"/>
    <d v="2024-02-27T00:00:00"/>
    <d v="2024-02-05T00:00:00"/>
    <d v="2893-03-23T00:00:00"/>
    <m/>
    <m/>
    <m/>
    <m/>
    <n v="0.25"/>
    <n v="0"/>
    <m/>
    <m/>
    <m/>
  </r>
  <r>
    <x v="2"/>
    <x v="6"/>
    <m/>
    <x v="187"/>
    <m/>
    <m/>
    <m/>
    <x v="0"/>
    <m/>
    <x v="6"/>
    <x v="0"/>
    <x v="25"/>
    <x v="7"/>
    <x v="4"/>
    <x v="5"/>
    <m/>
    <x v="4"/>
    <m/>
    <x v="3"/>
    <m/>
    <m/>
    <m/>
    <m/>
    <m/>
    <n v="640"/>
    <m/>
    <m/>
    <m/>
    <m/>
    <e v="#REF!"/>
    <m/>
    <m/>
    <d v="1899-12-30T00:00:00"/>
    <m/>
    <m/>
    <m/>
    <m/>
    <n v="0"/>
    <n v="0"/>
    <m/>
    <m/>
    <m/>
  </r>
  <r>
    <x v="0"/>
    <x v="1"/>
    <m/>
    <x v="188"/>
    <m/>
    <m/>
    <m/>
    <x v="3"/>
    <s v="Mantenimiento"/>
    <x v="3"/>
    <x v="3"/>
    <x v="11"/>
    <x v="8"/>
    <x v="1"/>
    <x v="4"/>
    <m/>
    <x v="2"/>
    <m/>
    <x v="0"/>
    <m/>
    <m/>
    <m/>
    <m/>
    <m/>
    <m/>
    <m/>
    <m/>
    <d v="2024-03-11T00:00:00"/>
    <m/>
    <e v="#REF!"/>
    <m/>
    <d v="2024-03-22T00:00:00"/>
    <d v="2024-03-22T00:00:00"/>
    <m/>
    <m/>
    <m/>
    <m/>
    <n v="0"/>
    <n v="0"/>
    <m/>
    <m/>
    <m/>
  </r>
  <r>
    <x v="2"/>
    <x v="6"/>
    <m/>
    <x v="188"/>
    <m/>
    <m/>
    <m/>
    <x v="0"/>
    <m/>
    <x v="6"/>
    <x v="0"/>
    <x v="25"/>
    <x v="7"/>
    <x v="4"/>
    <x v="5"/>
    <m/>
    <x v="4"/>
    <m/>
    <x v="3"/>
    <m/>
    <m/>
    <m/>
    <m/>
    <m/>
    <n v="640"/>
    <m/>
    <m/>
    <m/>
    <m/>
    <e v="#REF!"/>
    <m/>
    <m/>
    <d v="1899-12-30T00:00:00"/>
    <m/>
    <m/>
    <m/>
    <m/>
    <n v="0"/>
    <n v="0"/>
    <m/>
    <m/>
    <m/>
  </r>
  <r>
    <x v="0"/>
    <x v="1"/>
    <m/>
    <x v="189"/>
    <m/>
    <s v="Bloqueo del proveedor Inversiones INT para el ingreso de compras"/>
    <m/>
    <x v="2"/>
    <s v="Mantenimiento"/>
    <x v="3"/>
    <x v="3"/>
    <x v="11"/>
    <x v="8"/>
    <x v="1"/>
    <x v="0"/>
    <m/>
    <x v="1"/>
    <m/>
    <x v="0"/>
    <m/>
    <m/>
    <m/>
    <m/>
    <m/>
    <m/>
    <m/>
    <m/>
    <m/>
    <m/>
    <e v="#REF!"/>
    <m/>
    <m/>
    <d v="1899-12-30T00:00:00"/>
    <m/>
    <m/>
    <m/>
    <m/>
    <n v="0"/>
    <n v="0"/>
    <m/>
    <m/>
    <m/>
  </r>
  <r>
    <x v="2"/>
    <x v="6"/>
    <m/>
    <x v="189"/>
    <m/>
    <m/>
    <m/>
    <x v="0"/>
    <m/>
    <x v="6"/>
    <x v="0"/>
    <x v="25"/>
    <x v="7"/>
    <x v="4"/>
    <x v="5"/>
    <m/>
    <x v="4"/>
    <m/>
    <x v="3"/>
    <m/>
    <m/>
    <m/>
    <m/>
    <m/>
    <n v="640"/>
    <m/>
    <m/>
    <m/>
    <m/>
    <e v="#REF!"/>
    <m/>
    <m/>
    <d v="1899-12-30T00:00:00"/>
    <m/>
    <m/>
    <m/>
    <m/>
    <n v="0"/>
    <n v="0"/>
    <m/>
    <m/>
    <m/>
  </r>
  <r>
    <x v="0"/>
    <x v="0"/>
    <m/>
    <x v="190"/>
    <m/>
    <s v="Ver Anexo A2_x000a_Eliminar la pantallla de Datos de Delivery CONFIGURACION"/>
    <m/>
    <x v="0"/>
    <s v="Celula Operaciones Maxpoint 2024"/>
    <x v="0"/>
    <x v="0"/>
    <x v="0"/>
    <x v="0"/>
    <x v="2"/>
    <x v="0"/>
    <n v="3"/>
    <x v="2"/>
    <m/>
    <x v="0"/>
    <n v="1"/>
    <n v="4"/>
    <n v="1"/>
    <n v="550"/>
    <m/>
    <n v="2780"/>
    <m/>
    <m/>
    <d v="2024-06-03T00:00:00"/>
    <d v="2024-06-24T00:00:00"/>
    <d v="2024-06-25T00:00:00"/>
    <d v="2024-07-09T00:00:00"/>
    <d v="2024-07-10T00:00:00"/>
    <d v="2024-07-24T00:00:00"/>
    <d v="2024-06-15T00:00:00"/>
    <d v="2024-06-29T00:00:00"/>
    <m/>
    <m/>
    <n v="1"/>
    <n v="14"/>
    <s v="Célula Operaciones"/>
    <m/>
    <m/>
  </r>
  <r>
    <x v="0"/>
    <x v="0"/>
    <m/>
    <x v="191"/>
    <s v="MXP 2.0"/>
    <s v="Mejoras en turnero_x000a_Uso en modo vertical_x000a_Turnero en pantalla completa_x000a_"/>
    <m/>
    <x v="0"/>
    <s v="Celula Operaciones Maxpoint 2024"/>
    <x v="0"/>
    <x v="0"/>
    <x v="51"/>
    <x v="0"/>
    <x v="2"/>
    <x v="0"/>
    <m/>
    <x v="2"/>
    <m/>
    <x v="1"/>
    <m/>
    <n v="6"/>
    <n v="1"/>
    <n v="550"/>
    <m/>
    <n v="3880"/>
    <m/>
    <m/>
    <d v="2024-06-03T00:00:00"/>
    <d v="2024-07-15T00:00:00"/>
    <e v="#REF!"/>
    <d v="2024-07-16T00:00:00"/>
    <d v="2024-07-30T00:00:00"/>
    <m/>
    <d v="2024-07-31T00:00:00"/>
    <d v="2024-08-14T00:00:00"/>
    <m/>
    <m/>
    <n v="1.5"/>
    <n v="14"/>
    <m/>
    <m/>
    <m/>
  </r>
  <r>
    <x v="0"/>
    <x v="0"/>
    <m/>
    <x v="192"/>
    <s v="MXP 2.0"/>
    <s v="Ver Anexo A2"/>
    <m/>
    <x v="0"/>
    <s v="Celula Operaciones Maxpoint 2024"/>
    <x v="0"/>
    <x v="0"/>
    <x v="0"/>
    <x v="0"/>
    <x v="2"/>
    <x v="0"/>
    <n v="4"/>
    <x v="0"/>
    <m/>
    <x v="0"/>
    <n v="1"/>
    <n v="3"/>
    <n v="2"/>
    <n v="550"/>
    <m/>
    <n v="3880"/>
    <m/>
    <m/>
    <d v="2024-09-11T00:00:00"/>
    <d v="2024-10-02T00:00:00"/>
    <d v="2024-10-03T00:00:00"/>
    <d v="2024-10-17T00:00:00"/>
    <d v="2024-10-18T00:00:00"/>
    <d v="2024-11-01T00:00:00"/>
    <d v="2024-06-12T00:00:00"/>
    <d v="2024-06-26T00:00:00"/>
    <m/>
    <m/>
    <n v="0.75"/>
    <n v="14"/>
    <s v="Célula Operaciones"/>
    <m/>
    <m/>
  </r>
  <r>
    <x v="0"/>
    <x v="0"/>
    <m/>
    <x v="193"/>
    <s v="MXP 2.0"/>
    <s v="Ver Anexo A2_x000a_PICKUP / Pantalla mesas-&gt; boton pickup: Mejorar la experiencia del usuario. Actualmente se debe realizar muchos clicks "/>
    <m/>
    <x v="0"/>
    <s v="Celula Operaciones Maxpoint 2024"/>
    <x v="0"/>
    <x v="0"/>
    <x v="0"/>
    <x v="0"/>
    <x v="2"/>
    <x v="0"/>
    <m/>
    <x v="2"/>
    <m/>
    <x v="1"/>
    <n v="1"/>
    <n v="3"/>
    <n v="2"/>
    <n v="550"/>
    <m/>
    <n v="3880"/>
    <m/>
    <m/>
    <d v="2024-06-03T00:00:00"/>
    <d v="2024-06-24T00:00:00"/>
    <e v="#REF!"/>
    <d v="2024-06-25T00:00:00"/>
    <d v="2024-07-09T00:00:00"/>
    <d v="2895-12-06T00:00:00"/>
    <d v="2024-07-10T00:00:00"/>
    <d v="2024-07-24T00:00:00"/>
    <m/>
    <m/>
    <n v="0.75"/>
    <n v="14"/>
    <m/>
    <m/>
    <m/>
  </r>
  <r>
    <x v="0"/>
    <x v="5"/>
    <m/>
    <x v="194"/>
    <m/>
    <s v="-visibilizar la columna fecha de vencimiento en el B2B_x000a_-adjunto de certificado bancario obligatorio"/>
    <m/>
    <x v="0"/>
    <s v="Mejoras B2B - Finanzas"/>
    <x v="2"/>
    <x v="0"/>
    <x v="19"/>
    <x v="14"/>
    <x v="1"/>
    <x v="4"/>
    <s v="Q2"/>
    <x v="1"/>
    <m/>
    <x v="0"/>
    <n v="1"/>
    <n v="1"/>
    <n v="2"/>
    <n v="550"/>
    <m/>
    <n v="1100"/>
    <m/>
    <m/>
    <d v="2024-02-07T00:00:00"/>
    <d v="2024-02-14T00:00:00"/>
    <n v="7"/>
    <d v="2024-02-14T00:00:00"/>
    <d v="2024-02-14T00:00:00"/>
    <n v="0"/>
    <d v="2024-02-14T00:00:00"/>
    <d v="2024-02-21T00:00:00"/>
    <m/>
    <m/>
    <n v="0.25"/>
    <n v="7"/>
    <m/>
    <m/>
    <m/>
  </r>
  <r>
    <x v="0"/>
    <x v="0"/>
    <m/>
    <x v="195"/>
    <m/>
    <s v="Configurable de canales de impresión, pre cuenta, factura, abono, Corte de X, desmontar cajero, fin de día y comandas."/>
    <m/>
    <x v="2"/>
    <m/>
    <x v="3"/>
    <x v="5"/>
    <x v="42"/>
    <x v="22"/>
    <x v="1"/>
    <x v="0"/>
    <m/>
    <x v="2"/>
    <m/>
    <x v="0"/>
    <n v="1"/>
    <n v="1"/>
    <n v="3"/>
    <n v="625"/>
    <m/>
    <n v="1875"/>
    <m/>
    <m/>
    <d v="2025-04-06T00:00:00"/>
    <d v="2025-04-18T00:00:00"/>
    <e v="#REF!"/>
    <d v="2024-04-21T00:00:00"/>
    <d v="2024-04-26T00:00:00"/>
    <d v="2894-06-25T00:00:00"/>
    <d v="2024-04-28T00:00:00"/>
    <d v="2024-04-30T00:00:00"/>
    <m/>
    <m/>
    <n v="0.25"/>
    <n v="2"/>
    <m/>
    <m/>
    <m/>
  </r>
  <r>
    <x v="0"/>
    <x v="0"/>
    <m/>
    <x v="196"/>
    <m/>
    <s v="Corrección de bugs pantalla de estaciones, botones, preguntas sugeridas, descuentos, y pantalla de replica."/>
    <m/>
    <x v="2"/>
    <m/>
    <x v="3"/>
    <x v="5"/>
    <x v="42"/>
    <x v="22"/>
    <x v="1"/>
    <x v="0"/>
    <m/>
    <x v="0"/>
    <m/>
    <x v="0"/>
    <n v="1"/>
    <n v="1"/>
    <n v="4"/>
    <n v="625"/>
    <m/>
    <n v="2500"/>
    <m/>
    <m/>
    <d v="2024-08-18T00:00:00"/>
    <d v="2024-09-13T00:00:00"/>
    <e v="#REF!"/>
    <d v="2024-09-16T00:00:00"/>
    <d v="2024-09-20T00:00:00"/>
    <d v="2897-09-20T00:00:00"/>
    <d v="2024-09-23T00:00:00"/>
    <d v="2024-09-25T00:00:00"/>
    <m/>
    <m/>
    <n v="0.25"/>
    <n v="2"/>
    <m/>
    <m/>
    <m/>
  </r>
  <r>
    <x v="0"/>
    <x v="0"/>
    <m/>
    <x v="197"/>
    <m/>
    <s v="Lunch y mermas en MaxPoint / Nuevos reportes App MaxPoint"/>
    <m/>
    <x v="2"/>
    <m/>
    <x v="3"/>
    <x v="5"/>
    <x v="42"/>
    <x v="22"/>
    <x v="1"/>
    <x v="0"/>
    <m/>
    <x v="0"/>
    <m/>
    <x v="0"/>
    <n v="1"/>
    <n v="1"/>
    <n v="6"/>
    <n v="625"/>
    <m/>
    <n v="3750"/>
    <m/>
    <m/>
    <d v="2024-07-01T00:00:00"/>
    <d v="2024-08-02T00:00:00"/>
    <e v="#REF!"/>
    <d v="2024-08-04T00:00:00"/>
    <d v="2024-08-09T00:00:00"/>
    <d v="2896-10-12T00:00:00"/>
    <d v="2024-08-11T00:00:00"/>
    <d v="2024-08-13T00:00:00"/>
    <m/>
    <m/>
    <n v="0.25"/>
    <n v="2"/>
    <m/>
    <m/>
    <m/>
  </r>
  <r>
    <x v="0"/>
    <x v="2"/>
    <s v="Menú V3"/>
    <x v="198"/>
    <s v="MXP LEGACY_x000a_TRADE"/>
    <s v="Compromiso Matriz Regional  (Falta Argentina - 2023)"/>
    <s v="ALTA"/>
    <x v="3"/>
    <s v="Funcionalidades Regionales"/>
    <x v="1"/>
    <x v="2"/>
    <x v="6"/>
    <x v="1"/>
    <x v="1"/>
    <x v="4"/>
    <m/>
    <x v="1"/>
    <s v="p15"/>
    <x v="2"/>
    <n v="1"/>
    <n v="2"/>
    <n v="1"/>
    <n v="550"/>
    <m/>
    <n v="1740"/>
    <m/>
    <m/>
    <d v="2024-03-04T00:00:00"/>
    <d v="2024-03-11T00:00:00"/>
    <n v="7"/>
    <d v="2024-03-11T00:00:00"/>
    <d v="2024-03-18T00:00:00"/>
    <n v="362903"/>
    <d v="2024-03-18T00:00:00"/>
    <d v="2024-03-25T00:00:00"/>
    <d v="2024-04-01T00:00:00"/>
    <d v="2024-04-15T00:00:00"/>
    <n v="0.5"/>
    <n v="7"/>
    <s v="PROYECTO REGIONAL"/>
    <m/>
    <m/>
  </r>
  <r>
    <x v="0"/>
    <x v="1"/>
    <m/>
    <x v="199"/>
    <m/>
    <s v="Configuración por proveedor y cuidad para el bloqueo de costo en compras"/>
    <m/>
    <x v="2"/>
    <s v="Mantenimiento"/>
    <x v="3"/>
    <x v="5"/>
    <x v="42"/>
    <x v="22"/>
    <x v="1"/>
    <x v="6"/>
    <m/>
    <x v="2"/>
    <m/>
    <x v="0"/>
    <m/>
    <n v="1"/>
    <n v="1"/>
    <m/>
    <m/>
    <m/>
    <m/>
    <m/>
    <d v="2024-03-11T00:00:00"/>
    <d v="2024-03-22T00:00:00"/>
    <m/>
    <d v="3024-03-26T00:00:00"/>
    <d v="2024-04-02T00:00:00"/>
    <d v="9893-11-28T00:00:00"/>
    <m/>
    <m/>
    <m/>
    <m/>
    <n v="0.25"/>
    <n v="0"/>
    <m/>
    <m/>
    <m/>
  </r>
  <r>
    <x v="0"/>
    <x v="2"/>
    <s v="Kioscos"/>
    <x v="200"/>
    <s v="MXP LEGACY_x000a_TRADE"/>
    <s v="Integrar el API Formas de Pago Deuna"/>
    <s v="BAJA"/>
    <x v="0"/>
    <s v="Proyectos TD 2024"/>
    <x v="2"/>
    <x v="0"/>
    <x v="10"/>
    <x v="4"/>
    <x v="1"/>
    <x v="0"/>
    <m/>
    <x v="3"/>
    <m/>
    <x v="0"/>
    <m/>
    <n v="3"/>
    <n v="1"/>
    <n v="550"/>
    <m/>
    <n v="2290"/>
    <m/>
    <m/>
    <d v="2024-11-04T00:00:00"/>
    <d v="2024-11-11T00:00:00"/>
    <n v="7"/>
    <d v="2024-11-11T00:00:00"/>
    <d v="2024-11-18T00:00:00"/>
    <n v="364863"/>
    <d v="2024-11-18T00:00:00"/>
    <d v="2024-11-25T00:00:00"/>
    <d v="2024-11-01T00:00:00"/>
    <d v="2024-11-22T00:00:00"/>
    <n v="0.75"/>
    <n v="7"/>
    <m/>
    <m/>
    <s v="x"/>
  </r>
  <r>
    <x v="0"/>
    <x v="2"/>
    <s v="APP"/>
    <x v="201"/>
    <s v="MXP LEGACY_x000a_TRADE"/>
    <s v="Habilitar a Maxpoint para que ingrese el pago pagando desde la aplicación con un QR (counter y Kiosco) Chile"/>
    <s v="BAJA"/>
    <x v="3"/>
    <s v="Proyectos TD 2024"/>
    <x v="2"/>
    <x v="4"/>
    <x v="52"/>
    <x v="4"/>
    <x v="1"/>
    <x v="0"/>
    <s v="Q4"/>
    <x v="3"/>
    <s v="p72"/>
    <x v="2"/>
    <m/>
    <n v="9"/>
    <n v="1"/>
    <n v="550"/>
    <m/>
    <n v="5590"/>
    <m/>
    <m/>
    <d v="2024-11-04T00:00:00"/>
    <d v="2024-12-09T00:00:00"/>
    <n v="35"/>
    <d v="2024-12-09T00:00:00"/>
    <d v="2024-12-23T00:00:00"/>
    <n v="365094"/>
    <d v="2024-12-23T00:00:00"/>
    <d v="2025-01-06T00:00:00"/>
    <d v="2024-11-01T00:00:00"/>
    <d v="2025-01-03T00:00:00"/>
    <n v="2.25"/>
    <n v="14"/>
    <s v="ECOMERCE"/>
    <m/>
    <s v="x"/>
  </r>
  <r>
    <x v="0"/>
    <x v="3"/>
    <m/>
    <x v="202"/>
    <m/>
    <s v="Coordinar en un AKS"/>
    <m/>
    <x v="2"/>
    <s v="Funcionalidades Locales"/>
    <x v="1"/>
    <x v="1"/>
    <x v="7"/>
    <x v="5"/>
    <x v="1"/>
    <x v="0"/>
    <m/>
    <x v="2"/>
    <m/>
    <x v="0"/>
    <n v="1"/>
    <n v="2"/>
    <n v="1"/>
    <n v="550"/>
    <m/>
    <n v="1740"/>
    <m/>
    <m/>
    <d v="2024-04-01T00:00:00"/>
    <d v="2024-04-07T00:00:00"/>
    <e v="#REF!"/>
    <d v="2024-04-07T00:00:00"/>
    <d v="2024-04-10T00:00:00"/>
    <d v="2894-03-03T00:00:00"/>
    <d v="2024-04-10T00:00:00"/>
    <d v="2024-04-14T00:00:00"/>
    <m/>
    <m/>
    <n v="0.5"/>
    <n v="4"/>
    <m/>
    <m/>
    <m/>
  </r>
  <r>
    <x v="0"/>
    <x v="1"/>
    <m/>
    <x v="203"/>
    <m/>
    <s v="Revisión de Zetas Fiscales, validación de Asientos Contables de Ventas de SIR"/>
    <m/>
    <x v="2"/>
    <s v="Funcionalidades Locales"/>
    <x v="3"/>
    <x v="1"/>
    <x v="7"/>
    <x v="5"/>
    <x v="1"/>
    <x v="0"/>
    <m/>
    <x v="2"/>
    <m/>
    <x v="2"/>
    <m/>
    <n v="5"/>
    <n v="2"/>
    <n v="400"/>
    <m/>
    <n v="4640"/>
    <m/>
    <m/>
    <d v="2024-05-15T00:00:00"/>
    <d v="2024-07-10T00:00:00"/>
    <e v="#REF!"/>
    <d v="2024-07-10T00:00:00"/>
    <d v="2024-07-24T00:00:00"/>
    <d v="2896-04-04T00:00:00"/>
    <m/>
    <m/>
    <m/>
    <m/>
    <n v="1.25"/>
    <n v="0"/>
    <m/>
    <m/>
    <m/>
  </r>
  <r>
    <x v="0"/>
    <x v="0"/>
    <m/>
    <x v="204"/>
    <m/>
    <s v="Migración de Wendys al MaxPoint Legacy"/>
    <m/>
    <x v="2"/>
    <s v="Funcionalidades Locales"/>
    <x v="3"/>
    <x v="2"/>
    <x v="26"/>
    <x v="18"/>
    <x v="1"/>
    <x v="0"/>
    <m/>
    <x v="2"/>
    <s v="Compra de nuevos POS"/>
    <x v="1"/>
    <n v="1"/>
    <n v="10"/>
    <n v="3"/>
    <n v="550"/>
    <m/>
    <n v="16500"/>
    <m/>
    <m/>
    <d v="2024-06-03T00:00:00"/>
    <d v="2024-06-28T00:00:00"/>
    <e v="#REF!"/>
    <d v="2024-07-01T00:00:00"/>
    <d v="2024-07-05T00:00:00"/>
    <d v="2896-01-13T00:00:00"/>
    <d v="2024-07-08T00:00:00"/>
    <d v="2024-07-12T00:00:00"/>
    <m/>
    <m/>
    <n v="2.5"/>
    <n v="4"/>
    <m/>
    <m/>
    <m/>
  </r>
  <r>
    <x v="0"/>
    <x v="1"/>
    <m/>
    <x v="205"/>
    <m/>
    <s v="Vinculo con los compromisos de la matriz regional"/>
    <m/>
    <x v="3"/>
    <s v="Funcionalidades Locales"/>
    <x v="3"/>
    <x v="2"/>
    <x v="26"/>
    <x v="18"/>
    <x v="1"/>
    <x v="4"/>
    <m/>
    <x v="1"/>
    <m/>
    <x v="2"/>
    <m/>
    <n v="8"/>
    <n v="1"/>
    <n v="450"/>
    <m/>
    <n v="2500"/>
    <m/>
    <m/>
    <d v="2023-09-01T00:00:00"/>
    <d v="2024-03-26T00:00:00"/>
    <e v="#REF!"/>
    <m/>
    <m/>
    <d v="1899-12-30T00:00:00"/>
    <m/>
    <m/>
    <m/>
    <m/>
    <n v="2"/>
    <n v="0"/>
    <s v="El proyecto se inciio el año pasado, por decisión del cliente se retoman pruebas este año"/>
    <m/>
    <m/>
  </r>
  <r>
    <x v="3"/>
    <x v="5"/>
    <m/>
    <x v="206"/>
    <m/>
    <s v="Migrar plataforma B2B a Genexus"/>
    <m/>
    <x v="2"/>
    <s v="Mejoras B2B - Finanzas"/>
    <x v="1"/>
    <x v="3"/>
    <x v="25"/>
    <x v="8"/>
    <x v="1"/>
    <x v="5"/>
    <s v="Q2"/>
    <x v="0"/>
    <m/>
    <x v="1"/>
    <n v="0.15"/>
    <n v="4"/>
    <n v="1"/>
    <n v="1600"/>
    <m/>
    <n v="960"/>
    <m/>
    <m/>
    <m/>
    <m/>
    <m/>
    <m/>
    <m/>
    <m/>
    <m/>
    <m/>
    <m/>
    <m/>
    <n v="1"/>
    <m/>
    <m/>
    <m/>
    <m/>
  </r>
  <r>
    <x v="3"/>
    <x v="5"/>
    <m/>
    <x v="206"/>
    <m/>
    <s v="Migrar plataforma B2B a Genexus"/>
    <m/>
    <x v="2"/>
    <s v="Mejoras B2B - Finanzas"/>
    <x v="1"/>
    <x v="4"/>
    <x v="25"/>
    <x v="12"/>
    <x v="1"/>
    <x v="5"/>
    <s v="Q2"/>
    <x v="0"/>
    <m/>
    <x v="1"/>
    <n v="0.05"/>
    <n v="4"/>
    <n v="1"/>
    <n v="1600"/>
    <m/>
    <n v="320"/>
    <m/>
    <m/>
    <m/>
    <m/>
    <m/>
    <m/>
    <m/>
    <m/>
    <m/>
    <m/>
    <m/>
    <m/>
    <n v="1"/>
    <m/>
    <m/>
    <m/>
    <m/>
  </r>
  <r>
    <x v="3"/>
    <x v="5"/>
    <m/>
    <x v="206"/>
    <m/>
    <s v="Migrar plataforma B2B a Genexus"/>
    <m/>
    <x v="0"/>
    <s v="Mejoras B2B - Finanzas"/>
    <x v="2"/>
    <x v="0"/>
    <x v="25"/>
    <x v="1"/>
    <x v="1"/>
    <x v="5"/>
    <s v="Q3"/>
    <x v="0"/>
    <m/>
    <x v="1"/>
    <n v="0.8"/>
    <n v="4"/>
    <n v="1"/>
    <n v="1600"/>
    <m/>
    <n v="7340"/>
    <m/>
    <m/>
    <m/>
    <m/>
    <n v="0"/>
    <m/>
    <m/>
    <d v="1899-12-30T00:00:00"/>
    <m/>
    <m/>
    <m/>
    <m/>
    <n v="1"/>
    <n v="0"/>
    <m/>
    <m/>
    <m/>
  </r>
  <r>
    <x v="0"/>
    <x v="1"/>
    <m/>
    <x v="207"/>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x v="0"/>
    <s v="Mejoras Contabilidad"/>
    <x v="2"/>
    <x v="0"/>
    <x v="53"/>
    <x v="9"/>
    <x v="2"/>
    <x v="0"/>
    <s v="MEDIA"/>
    <x v="2"/>
    <m/>
    <x v="0"/>
    <m/>
    <n v="2"/>
    <n v="2"/>
    <n v="400"/>
    <m/>
    <n v="2240"/>
    <m/>
    <m/>
    <d v="2024-03-25T00:00:00"/>
    <d v="2024-04-05T00:00:00"/>
    <e v="#REF!"/>
    <d v="2024-04-09T00:00:00"/>
    <d v="2014-04-16T00:00:00"/>
    <d v="2884-03-22T00:00:00"/>
    <m/>
    <m/>
    <m/>
    <m/>
    <n v="0.5"/>
    <n v="0"/>
    <m/>
    <m/>
    <m/>
  </r>
  <r>
    <x v="0"/>
    <x v="1"/>
    <m/>
    <x v="208"/>
    <m/>
    <s v="En el SIR - MODULO CREDITO SIN CUPON, incluir una opción de selección varios clientes"/>
    <m/>
    <x v="0"/>
    <s v="Mejoras Auditoría"/>
    <x v="2"/>
    <x v="0"/>
    <x v="3"/>
    <x v="2"/>
    <x v="2"/>
    <x v="0"/>
    <n v="2"/>
    <x v="2"/>
    <m/>
    <x v="1"/>
    <m/>
    <n v="2"/>
    <n v="1"/>
    <n v="400"/>
    <m/>
    <n v="1440"/>
    <m/>
    <m/>
    <d v="2024-04-29T00:00:00"/>
    <d v="2024-05-10T00:00:00"/>
    <e v="#REF!"/>
    <d v="2024-05-14T00:00:00"/>
    <d v="2024-05-21T00:00:00"/>
    <d v="2894-12-28T00:00:00"/>
    <m/>
    <d v="2024-05-15T00:00:00"/>
    <m/>
    <m/>
    <n v="0.5"/>
    <n v="45427"/>
    <m/>
    <m/>
    <m/>
  </r>
  <r>
    <x v="0"/>
    <x v="2"/>
    <s v="Menú V3"/>
    <x v="209"/>
    <s v="MXP LEGACY_x000a_MXP 2.0_x000a_TRADE"/>
    <s v="Modificadores Por Default Que los modificadores vengan con una opción ya predeterminada, que mxp pueda enviar los modificadores ya establecidos (APP KFC) "/>
    <s v="BAJA"/>
    <x v="0"/>
    <s v="Proyectos TD 2024"/>
    <x v="2"/>
    <x v="0"/>
    <x v="10"/>
    <x v="4"/>
    <x v="1"/>
    <x v="0"/>
    <s v="Q3"/>
    <x v="0"/>
    <s v="p60"/>
    <x v="1"/>
    <n v="1"/>
    <n v="4"/>
    <n v="1"/>
    <n v="550"/>
    <m/>
    <n v="2840"/>
    <m/>
    <m/>
    <d v="2024-08-20T00:00:00"/>
    <d v="2024-09-03T00:00:00"/>
    <n v="14"/>
    <d v="2024-09-03T00:00:00"/>
    <d v="2024-09-10T00:00:00"/>
    <n v="364311"/>
    <d v="2024-09-10T00:00:00"/>
    <d v="2024-09-17T00:00:00"/>
    <d v="2024-08-01T00:00:00"/>
    <d v="2024-08-29T00:00:00"/>
    <n v="1"/>
    <n v="7"/>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3"/>
    <x v="10"/>
    <x v="4"/>
    <x v="1"/>
    <x v="0"/>
    <s v="Q3"/>
    <x v="0"/>
    <s v="p60"/>
    <x v="1"/>
    <n v="1"/>
    <n v="3"/>
    <n v="1"/>
    <n v="550"/>
    <m/>
    <n v="2290"/>
    <m/>
    <m/>
    <d v="2024-09-10T00:00:00"/>
    <d v="2024-09-17T00:00:00"/>
    <n v="7"/>
    <d v="2024-09-17T00:00:00"/>
    <d v="2024-09-24T00:00:00"/>
    <n v="364423"/>
    <d v="2024-09-24T00:00:00"/>
    <d v="2024-10-01T00:00:00"/>
    <d v="2024-09-01T00:00:00"/>
    <d v="2024-09-22T00:00:00"/>
    <n v="0.75"/>
    <n v="7"/>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4"/>
    <x v="10"/>
    <x v="4"/>
    <x v="1"/>
    <x v="0"/>
    <s v="Q3"/>
    <x v="0"/>
    <s v="p60"/>
    <x v="1"/>
    <n v="1"/>
    <n v="5"/>
    <n v="1"/>
    <n v="550"/>
    <m/>
    <n v="3390"/>
    <m/>
    <m/>
    <d v="2024-09-10T00:00:00"/>
    <d v="2024-09-17T00:00:00"/>
    <n v="7"/>
    <d v="2024-09-17T00:00:00"/>
    <d v="2024-09-24T00:00:00"/>
    <n v="364423"/>
    <d v="2024-09-24T00:00:00"/>
    <d v="2024-10-15T00:00:00"/>
    <d v="2024-09-01T00:00:00"/>
    <d v="2024-10-06T00:00:00"/>
    <n v="1.25"/>
    <n v="21"/>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1"/>
    <x v="10"/>
    <x v="4"/>
    <x v="1"/>
    <x v="0"/>
    <s v="Q3"/>
    <x v="0"/>
    <s v="p60"/>
    <x v="1"/>
    <n v="1"/>
    <n v="3"/>
    <n v="1"/>
    <n v="550"/>
    <m/>
    <n v="2290"/>
    <m/>
    <m/>
    <d v="2024-09-10T00:00:00"/>
    <d v="2024-09-17T00:00:00"/>
    <n v="7"/>
    <d v="2024-09-17T00:00:00"/>
    <d v="2024-09-24T00:00:00"/>
    <n v="364423"/>
    <d v="2024-09-24T00:00:00"/>
    <d v="2024-10-01T00:00:00"/>
    <d v="2024-09-01T00:00:00"/>
    <d v="2024-09-22T00:00:00"/>
    <n v="0.75"/>
    <n v="7"/>
    <s v="PROYECTO REGIONAL"/>
    <m/>
    <s v="x"/>
  </r>
  <r>
    <x v="0"/>
    <x v="2"/>
    <s v="Menú V3"/>
    <x v="209"/>
    <s v="MXP LEGACY_x000a_MXP 2.0_x000a_TRADE"/>
    <s v="Modificadores Por Default Que los modificadores vengan con una opción ya predeterminada, que mxp pueda enviar los modificadores ya establecidos (APP KFC) "/>
    <s v="BAJA"/>
    <x v="3"/>
    <s v="Proyectos TD 2024"/>
    <x v="2"/>
    <x v="2"/>
    <x v="10"/>
    <x v="4"/>
    <x v="1"/>
    <x v="0"/>
    <s v="Q3"/>
    <x v="0"/>
    <s v="p60"/>
    <x v="1"/>
    <n v="1"/>
    <n v="3"/>
    <n v="1"/>
    <n v="550"/>
    <m/>
    <n v="2290"/>
    <m/>
    <m/>
    <d v="2024-09-10T00:00:00"/>
    <d v="2024-09-17T00:00:00"/>
    <n v="7"/>
    <d v="2024-09-17T00:00:00"/>
    <d v="2024-09-24T00:00:00"/>
    <n v="364423"/>
    <d v="2024-09-24T00:00:00"/>
    <d v="2024-10-01T00:00:00"/>
    <d v="2024-09-01T00:00:00"/>
    <d v="2024-09-22T00:00:00"/>
    <n v="0.75"/>
    <n v="7"/>
    <s v="PROYECTO REGIONAL"/>
    <m/>
    <s v="x"/>
  </r>
  <r>
    <x v="0"/>
    <x v="1"/>
    <m/>
    <x v="210"/>
    <m/>
    <s v="Desarrollar un modulo de auditoria en el SIR donde se incorpore. Evaluación Auditoria "/>
    <m/>
    <x v="0"/>
    <s v="Mejoras Auditoría"/>
    <x v="2"/>
    <x v="0"/>
    <x v="3"/>
    <x v="2"/>
    <x v="2"/>
    <x v="0"/>
    <n v="3"/>
    <x v="0"/>
    <m/>
    <x v="1"/>
    <m/>
    <n v="4"/>
    <n v="2"/>
    <n v="400"/>
    <m/>
    <n v="3840"/>
    <m/>
    <m/>
    <d v="2024-06-03T00:00:00"/>
    <d v="2024-06-28T00:00:00"/>
    <e v="#REF!"/>
    <d v="2024-07-02T00:00:00"/>
    <d v="2024-07-09T00:00:00"/>
    <d v="2896-01-24T00:00:00"/>
    <m/>
    <m/>
    <m/>
    <m/>
    <n v="1"/>
    <n v="0"/>
    <s v="Sacrificable"/>
    <m/>
    <m/>
  </r>
  <r>
    <x v="0"/>
    <x v="2"/>
    <s v="Motorizado Delivery"/>
    <x v="211"/>
    <s v="MXP LEGACY_x000a_TRADE"/>
    <s v="Nuevo Requerimiento"/>
    <s v="MEDIA"/>
    <x v="2"/>
    <s v="Funcionalidades Locales"/>
    <x v="1"/>
    <x v="4"/>
    <x v="17"/>
    <x v="1"/>
    <x v="1"/>
    <x v="0"/>
    <m/>
    <x v="3"/>
    <s v="p77"/>
    <x v="1"/>
    <m/>
    <n v="9"/>
    <n v="1"/>
    <n v="550"/>
    <m/>
    <n v="5590"/>
    <m/>
    <m/>
    <d v="2024-10-14T00:00:00"/>
    <d v="2024-11-11T00:00:00"/>
    <n v="28"/>
    <d v="2024-11-11T00:00:00"/>
    <d v="2024-11-25T00:00:00"/>
    <n v="364870"/>
    <d v="2024-11-25T00:00:00"/>
    <d v="2024-12-16T00:00:00"/>
    <d v="2024-10-01T00:00:00"/>
    <d v="2024-12-03T00:00:00"/>
    <n v="2.25"/>
    <n v="21"/>
    <s v="Contexto."/>
    <m/>
    <m/>
  </r>
  <r>
    <x v="0"/>
    <x v="0"/>
    <m/>
    <x v="212"/>
    <m/>
    <s v="Pantalla de cobro para facilitar el cobro en varias monedas (Actualmente la conversión se realiza de manera manual por fuera del sistema) - Efectivo - Trazabilidad de retiros por cada moneda."/>
    <m/>
    <x v="2"/>
    <s v="Funcionalidades Locales"/>
    <x v="3"/>
    <x v="1"/>
    <x v="7"/>
    <x v="5"/>
    <x v="1"/>
    <x v="4"/>
    <m/>
    <x v="1"/>
    <m/>
    <x v="2"/>
    <n v="1"/>
    <n v="4"/>
    <n v="3"/>
    <n v="550"/>
    <m/>
    <n v="6600"/>
    <m/>
    <m/>
    <d v="2024-03-04T00:00:00"/>
    <d v="2024-03-22T00:00:00"/>
    <e v="#REF!"/>
    <d v="2024-03-25T00:00:00"/>
    <d v="2024-03-29T00:00:00"/>
    <n v="363012"/>
    <d v="2024-04-01T00:00:00"/>
    <d v="2024-04-03T00:00:00"/>
    <m/>
    <m/>
    <n v="1"/>
    <n v="2"/>
    <m/>
    <m/>
    <m/>
  </r>
  <r>
    <x v="0"/>
    <x v="2"/>
    <s v="Multinube"/>
    <x v="213"/>
    <m/>
    <s v="Implmentación de redundancia en servicio de nube de Google"/>
    <s v="BAJA"/>
    <x v="2"/>
    <s v="Funcionalidades Locales"/>
    <x v="1"/>
    <x v="3"/>
    <x v="11"/>
    <x v="1"/>
    <x v="1"/>
    <x v="0"/>
    <m/>
    <x v="1"/>
    <s v="p31"/>
    <x v="1"/>
    <m/>
    <n v="2"/>
    <n v="1"/>
    <n v="550"/>
    <m/>
    <n v="1740"/>
    <m/>
    <m/>
    <d v="2024-03-04T00:00:00"/>
    <d v="2024-03-11T00:00:00"/>
    <n v="7"/>
    <d v="2024-03-11T00:00:00"/>
    <d v="2024-03-18T00:00:00"/>
    <n v="362903"/>
    <d v="2024-03-18T00:00:00"/>
    <d v="2024-03-18T00:00:00"/>
    <d v="2024-06-01T00:00:00"/>
    <d v="2024-06-15T00:00:00"/>
    <n v="0.5"/>
    <n v="0"/>
    <m/>
    <m/>
    <m/>
  </r>
  <r>
    <x v="2"/>
    <x v="6"/>
    <m/>
    <x v="214"/>
    <m/>
    <m/>
    <m/>
    <x v="0"/>
    <m/>
    <x v="6"/>
    <x v="0"/>
    <x v="25"/>
    <x v="7"/>
    <x v="4"/>
    <x v="5"/>
    <m/>
    <x v="4"/>
    <m/>
    <x v="3"/>
    <m/>
    <m/>
    <m/>
    <m/>
    <m/>
    <n v="640"/>
    <m/>
    <m/>
    <m/>
    <m/>
    <e v="#REF!"/>
    <m/>
    <m/>
    <d v="1899-12-30T00:00:00"/>
    <m/>
    <m/>
    <m/>
    <m/>
    <n v="0"/>
    <n v="0"/>
    <m/>
    <m/>
    <m/>
  </r>
  <r>
    <x v="0"/>
    <x v="1"/>
    <m/>
    <x v="214"/>
    <m/>
    <s v="Homologar con Ecuador la columna de diferencia en el registro de inventario de SIR (revisar si va directo a soporte)"/>
    <m/>
    <x v="2"/>
    <s v="Mantenimiento"/>
    <x v="3"/>
    <x v="1"/>
    <x v="7"/>
    <x v="5"/>
    <x v="1"/>
    <x v="0"/>
    <m/>
    <x v="2"/>
    <m/>
    <x v="0"/>
    <m/>
    <n v="2"/>
    <n v="1"/>
    <m/>
    <m/>
    <m/>
    <m/>
    <m/>
    <d v="2024-03-25T00:00:00"/>
    <d v="2024-04-05T00:00:00"/>
    <e v="#REF!"/>
    <d v="2024-04-09T00:00:00"/>
    <d v="2024-04-16T00:00:00"/>
    <d v="2894-03-23T00:00:00"/>
    <m/>
    <m/>
    <m/>
    <m/>
    <n v="0.5"/>
    <n v="0"/>
    <m/>
    <m/>
    <m/>
  </r>
  <r>
    <x v="1"/>
    <x v="0"/>
    <m/>
    <x v="215"/>
    <m/>
    <s v="Compromiso Matriz Regional  (Ecuador, Colombia, Chile y Argentina)"/>
    <m/>
    <x v="0"/>
    <s v="Pendientes Matriz Regional 2023"/>
    <x v="1"/>
    <x v="0"/>
    <x v="54"/>
    <x v="1"/>
    <x v="1"/>
    <x v="3"/>
    <m/>
    <x v="1"/>
    <m/>
    <x v="0"/>
    <m/>
    <m/>
    <m/>
    <m/>
    <m/>
    <n v="580"/>
    <m/>
    <m/>
    <m/>
    <m/>
    <m/>
    <m/>
    <m/>
    <d v="1899-12-30T00:00:00"/>
    <m/>
    <m/>
    <m/>
    <m/>
    <n v="0"/>
    <n v="0"/>
    <s v="PROYECTO REGIONAL"/>
    <m/>
    <m/>
  </r>
  <r>
    <x v="1"/>
    <x v="0"/>
    <m/>
    <x v="215"/>
    <m/>
    <s v="Compromiso Matriz Regional  (Ecuador, Colombia, Chile y Argentina)"/>
    <m/>
    <x v="3"/>
    <s v="Funcionalidades Regionales"/>
    <x v="3"/>
    <x v="3"/>
    <x v="54"/>
    <x v="8"/>
    <x v="1"/>
    <x v="4"/>
    <m/>
    <x v="1"/>
    <m/>
    <x v="2"/>
    <m/>
    <n v="8"/>
    <n v="1"/>
    <n v="625"/>
    <m/>
    <n v="5000"/>
    <m/>
    <m/>
    <d v="2024-03-04T00:00:00"/>
    <d v="2024-04-11T00:00:00"/>
    <e v="#REF!"/>
    <d v="2024-04-15T00:00:00"/>
    <d v="2024-04-19T00:00:00"/>
    <d v="2894-05-07T00:00:00"/>
    <d v="2024-04-22T00:00:00"/>
    <d v="2024-04-26T00:00:00"/>
    <m/>
    <m/>
    <n v="2"/>
    <n v="4"/>
    <s v="PROYECTO REGIONAL"/>
    <m/>
    <m/>
  </r>
  <r>
    <x v="1"/>
    <x v="0"/>
    <m/>
    <x v="215"/>
    <m/>
    <s v="Compromiso Matriz Regional  (Ecuador, Colombia, Chile y Argentina)"/>
    <m/>
    <x v="3"/>
    <s v="Funcionalidades Regionales"/>
    <x v="3"/>
    <x v="2"/>
    <x v="54"/>
    <x v="18"/>
    <x v="1"/>
    <x v="0"/>
    <m/>
    <x v="1"/>
    <m/>
    <x v="2"/>
    <n v="1"/>
    <n v="12"/>
    <n v="1"/>
    <n v="550"/>
    <m/>
    <n v="6600"/>
    <m/>
    <m/>
    <d v="2024-03-04T00:00:00"/>
    <d v="2024-05-10T00:00:00"/>
    <e v="#REF!"/>
    <d v="2024-05-13T00:00:00"/>
    <d v="2024-05-17T00:00:00"/>
    <d v="2894-12-17T00:00:00"/>
    <d v="2024-05-20T00:00:00"/>
    <d v="2024-05-24T00:00:00"/>
    <m/>
    <m/>
    <n v="3"/>
    <n v="4"/>
    <s v="PROYECTO REGIONAL"/>
    <m/>
    <m/>
  </r>
  <r>
    <x v="0"/>
    <x v="0"/>
    <m/>
    <x v="215"/>
    <m/>
    <s v="de Boletas (Reducción) - Compromiso Matriz Regional  (Ecuador, Colombia, Chile y Argentina)"/>
    <m/>
    <x v="5"/>
    <s v="Funcionalidades Locales"/>
    <x v="3"/>
    <x v="4"/>
    <x v="17"/>
    <x v="12"/>
    <x v="1"/>
    <x v="4"/>
    <m/>
    <x v="2"/>
    <s v="Dependencia de una impresora con el modelo, confirmar el inventario"/>
    <x v="2"/>
    <n v="1"/>
    <n v="1"/>
    <n v="12"/>
    <n v="625"/>
    <m/>
    <n v="7500"/>
    <m/>
    <m/>
    <d v="2024-04-01T00:00:00"/>
    <d v="2024-05-31T00:00:00"/>
    <e v="#REF!"/>
    <d v="2024-06-03T00:00:00"/>
    <d v="2024-06-07T00:00:00"/>
    <d v="2895-06-03T00:00:00"/>
    <d v="2024-06-10T00:00:00"/>
    <d v="2024-06-21T00:00:00"/>
    <m/>
    <m/>
    <n v="0.25"/>
    <n v="11"/>
    <m/>
    <m/>
    <m/>
  </r>
  <r>
    <x v="0"/>
    <x v="2"/>
    <s v="DragonTail"/>
    <x v="216"/>
    <s v="MXP LEGACY_x000a_MXP 2.0_x000a_TRADE"/>
    <s v="Envío del  trackingID hacia TRADE para que se muestre el mapa de seguimiento de dragonTail desde la App"/>
    <s v="ALTA"/>
    <x v="3"/>
    <s v="Funcionalidades Locales"/>
    <x v="1"/>
    <x v="3"/>
    <x v="24"/>
    <x v="1"/>
    <x v="1"/>
    <x v="4"/>
    <m/>
    <x v="1"/>
    <s v="p8"/>
    <x v="2"/>
    <n v="1"/>
    <n v="6"/>
    <n v="1"/>
    <n v="550"/>
    <m/>
    <n v="3940"/>
    <m/>
    <m/>
    <d v="2024-02-05T00:00:00"/>
    <d v="2024-03-04T00:00:00"/>
    <n v="28"/>
    <d v="2024-03-11T00:00:00"/>
    <d v="2024-03-11T00:00:00"/>
    <n v="362896"/>
    <d v="2024-03-18T00:00:00"/>
    <d v="2024-04-01T00:00:00"/>
    <d v="2024-04-01T00:00:00"/>
    <d v="2024-05-13T00:00:00"/>
    <n v="1.5"/>
    <n v="14"/>
    <s v="PROYECTO REGIONAL"/>
    <m/>
    <m/>
  </r>
  <r>
    <x v="0"/>
    <x v="2"/>
    <s v="DragonTail"/>
    <x v="217"/>
    <s v="MXP LEGACY_x000a_MXP 2.0"/>
    <s v="Compromiso Matriz Regional  (Venezuela, Ecuador, Chile, Colombia y Argentina)_x000a_Implementación de KDS en el counter con dragontale para todos los pedido"/>
    <s v="ALTA"/>
    <x v="3"/>
    <s v="Funcionalidades Locales"/>
    <x v="1"/>
    <x v="0"/>
    <x v="24"/>
    <x v="1"/>
    <x v="1"/>
    <x v="4"/>
    <m/>
    <x v="1"/>
    <s v="p8"/>
    <x v="2"/>
    <n v="1"/>
    <n v="6"/>
    <n v="2"/>
    <n v="550"/>
    <m/>
    <n v="7240"/>
    <m/>
    <m/>
    <d v="2024-02-05T00:00:00"/>
    <d v="2024-03-11T00:00:00"/>
    <n v="35"/>
    <d v="2024-03-11T00:00:00"/>
    <d v="2024-03-18T00:00:00"/>
    <n v="362903"/>
    <d v="2024-03-18T00:00:00"/>
    <d v="2024-04-01T00:00:00"/>
    <d v="2024-04-01T00:00:00"/>
    <d v="2024-05-13T00:00:00"/>
    <n v="1.5"/>
    <n v="14"/>
    <s v="PROYECTO REGIONAL"/>
    <m/>
    <m/>
  </r>
  <r>
    <x v="0"/>
    <x v="2"/>
    <s v="DragonTail"/>
    <x v="217"/>
    <s v="MXP LEGACY_x000a_MXP 2.0"/>
    <s v="Compromiso Matriz Regional  (Venezuela, Ecuador, Chile, Colombia y Argentina)   _x000a_Implementación de KDS en el counter con dragontale para todos los pedido, envío de tracking ID"/>
    <s v="ALTA"/>
    <x v="3"/>
    <s v="Proyectos TD 2024"/>
    <x v="2"/>
    <x v="4"/>
    <x v="24"/>
    <x v="4"/>
    <x v="1"/>
    <x v="0"/>
    <m/>
    <x v="3"/>
    <s v="p8"/>
    <x v="2"/>
    <n v="1"/>
    <n v="15"/>
    <n v="1"/>
    <n v="550"/>
    <m/>
    <n v="8890"/>
    <m/>
    <m/>
    <d v="2024-10-07T00:00:00"/>
    <d v="2024-11-04T00:00:00"/>
    <n v="28"/>
    <d v="2024-11-04T00:00:00"/>
    <d v="2024-11-18T00:00:00"/>
    <n v="364814"/>
    <d v="2024-11-18T00:00:00"/>
    <d v="2024-12-09T00:00:00"/>
    <d v="2024-10-01T00:00:00"/>
    <d v="2025-01-14T00:00:00"/>
    <n v="3.75"/>
    <n v="21"/>
    <s v="PROYECTO REGIONAL"/>
    <m/>
    <m/>
  </r>
  <r>
    <x v="0"/>
    <x v="2"/>
    <s v="DragonTail"/>
    <x v="218"/>
    <s v="MXP LEGACY_x000a_MXP 2.0"/>
    <s v="Compromiso Matriz Regional  (Venezuela, Ecuador, Chile, Colombia y Argentina)_x000a_Implementación de KDS en el counter con dragontale para todos los pedido"/>
    <s v="ALTA"/>
    <x v="3"/>
    <s v="Funcionalidades Locales"/>
    <x v="1"/>
    <x v="1"/>
    <x v="24"/>
    <x v="1"/>
    <x v="1"/>
    <x v="4"/>
    <m/>
    <x v="1"/>
    <s v="p8"/>
    <x v="2"/>
    <n v="1"/>
    <n v="6"/>
    <n v="1"/>
    <n v="550"/>
    <m/>
    <n v="3940"/>
    <m/>
    <m/>
    <d v="2024-02-05T00:00:00"/>
    <d v="2024-03-04T00:00:00"/>
    <n v="28"/>
    <d v="2024-03-04T00:00:00"/>
    <d v="2024-03-11T00:00:00"/>
    <n v="362847"/>
    <d v="2024-03-11T00:00:00"/>
    <d v="2024-03-25T00:00:00"/>
    <d v="2024-04-01T00:00:00"/>
    <d v="2024-05-13T00:00:00"/>
    <n v="1.5"/>
    <n v="14"/>
    <s v="PROYECTO REGIONAL"/>
    <m/>
    <m/>
  </r>
  <r>
    <x v="0"/>
    <x v="2"/>
    <s v="Ultimas millas"/>
    <x v="219"/>
    <s v="MXP LEGACY_x000a_TRADE"/>
    <s v="Compromiso Matriz Regional  (Ecuador)"/>
    <s v="BAJA"/>
    <x v="3"/>
    <s v="Funcionalidades Regionales"/>
    <x v="1"/>
    <x v="0"/>
    <x v="6"/>
    <x v="1"/>
    <x v="1"/>
    <x v="4"/>
    <m/>
    <x v="1"/>
    <s v="p9"/>
    <x v="1"/>
    <n v="1"/>
    <n v="3"/>
    <n v="1"/>
    <n v="550"/>
    <m/>
    <n v="2290"/>
    <m/>
    <m/>
    <d v="2024-02-12T00:00:00"/>
    <d v="2024-02-26T00:00:00"/>
    <n v="14"/>
    <d v="2024-02-26T00:00:00"/>
    <d v="2024-03-04T00:00:00"/>
    <n v="362791"/>
    <d v="2024-03-04T00:00:00"/>
    <d v="2024-03-11T00:00:00"/>
    <d v="2024-04-01T00:00:00"/>
    <d v="2024-04-22T00:00:00"/>
    <n v="0.75"/>
    <n v="7"/>
    <s v="PROYECTO REGIONAL"/>
    <m/>
    <m/>
  </r>
  <r>
    <x v="1"/>
    <x v="0"/>
    <m/>
    <x v="220"/>
    <m/>
    <s v="Compromiso Matriz Regional  (Chile Argentina)"/>
    <m/>
    <x v="3"/>
    <s v="Funcionalidades Regionales"/>
    <x v="3"/>
    <x v="2"/>
    <x v="26"/>
    <x v="18"/>
    <x v="1"/>
    <x v="0"/>
    <m/>
    <x v="1"/>
    <s v="programadores en Angular"/>
    <x v="1"/>
    <n v="1"/>
    <n v="4"/>
    <n v="1"/>
    <n v="550"/>
    <m/>
    <n v="2200"/>
    <m/>
    <m/>
    <d v="2024-03-04T00:00:00"/>
    <d v="2024-03-15T00:00:00"/>
    <e v="#REF!"/>
    <d v="2024-03-18T00:00:00"/>
    <d v="2024-03-22T00:00:00"/>
    <d v="2893-09-25T00:00:00"/>
    <d v="2024-03-25T00:00:00"/>
    <d v="2024-03-29T00:00:00"/>
    <m/>
    <m/>
    <n v="1"/>
    <n v="4"/>
    <s v="PROYECTO REGIONAL"/>
    <m/>
    <m/>
  </r>
  <r>
    <x v="1"/>
    <x v="0"/>
    <m/>
    <x v="221"/>
    <m/>
    <s v="Compromiso Matriz Regional  (Argentina"/>
    <m/>
    <x v="3"/>
    <s v="Funcionalidades Regionales"/>
    <x v="3"/>
    <x v="2"/>
    <x v="26"/>
    <x v="18"/>
    <x v="1"/>
    <x v="0"/>
    <m/>
    <x v="2"/>
    <m/>
    <x v="1"/>
    <n v="1"/>
    <n v="8"/>
    <n v="1"/>
    <n v="550"/>
    <m/>
    <n v="4400"/>
    <m/>
    <m/>
    <d v="2024-04-01T00:00:00"/>
    <d v="2024-05-10T00:00:00"/>
    <e v="#REF!"/>
    <d v="2024-05-13T00:00:00"/>
    <d v="2024-05-17T00:00:00"/>
    <d v="2894-12-17T00:00:00"/>
    <d v="2024-05-20T00:00:00"/>
    <d v="2024-05-24T00:00:00"/>
    <m/>
    <m/>
    <n v="2"/>
    <n v="4"/>
    <s v="PROYECTO REGIONAL"/>
    <m/>
    <m/>
  </r>
  <r>
    <x v="0"/>
    <x v="8"/>
    <m/>
    <x v="222"/>
    <m/>
    <s v="Restructura de manejo de Plu´s y MasterPlu"/>
    <m/>
    <x v="0"/>
    <s v="Restructura de manejo de Plu´s y MasterPlu"/>
    <x v="2"/>
    <x v="0"/>
    <x v="55"/>
    <x v="19"/>
    <x v="2"/>
    <x v="0"/>
    <m/>
    <x v="1"/>
    <s v="Validar con la operación si este requerimiento puede esperar a la nueva versión de maxpoint"/>
    <x v="0"/>
    <n v="1"/>
    <n v="5"/>
    <n v="2"/>
    <n v="550"/>
    <m/>
    <n v="5500"/>
    <m/>
    <m/>
    <m/>
    <m/>
    <d v="1899-12-30T00:00:00"/>
    <m/>
    <m/>
    <d v="1899-12-30T00:00:00"/>
    <m/>
    <m/>
    <m/>
    <m/>
    <n v="1.25"/>
    <n v="0"/>
    <m/>
    <m/>
    <m/>
  </r>
  <r>
    <x v="0"/>
    <x v="4"/>
    <m/>
    <x v="223"/>
    <m/>
    <s v="Control de Cupos en Fiona, desarrollo de BOT en SAP para Generación de Asientos y Debitos en Rol para Payroll"/>
    <m/>
    <x v="0"/>
    <m/>
    <x v="2"/>
    <x v="0"/>
    <x v="44"/>
    <x v="23"/>
    <x v="2"/>
    <x v="0"/>
    <m/>
    <x v="4"/>
    <m/>
    <x v="1"/>
    <m/>
    <n v="10"/>
    <n v="1"/>
    <n v="550"/>
    <m/>
    <n v="6140"/>
    <m/>
    <m/>
    <m/>
    <m/>
    <e v="#REF!"/>
    <m/>
    <m/>
    <d v="1899-12-30T00:00:00"/>
    <m/>
    <m/>
    <m/>
    <m/>
    <n v="2.5"/>
    <n v="0"/>
    <m/>
    <m/>
    <m/>
  </r>
  <r>
    <x v="0"/>
    <x v="5"/>
    <m/>
    <x v="224"/>
    <m/>
    <s v="Mediante este desarollo se optimizara el cubicaje del camión y"/>
    <m/>
    <x v="0"/>
    <s v="Control Ocupación Camiones"/>
    <x v="4"/>
    <x v="0"/>
    <x v="12"/>
    <x v="24"/>
    <x v="2"/>
    <x v="0"/>
    <s v="Q2"/>
    <x v="2"/>
    <m/>
    <x v="1"/>
    <n v="1"/>
    <n v="1"/>
    <n v="2"/>
    <n v="1100"/>
    <m/>
    <n v="2200"/>
    <m/>
    <m/>
    <d v="2024-02-07T00:00:00"/>
    <d v="2024-03-07T00:00:00"/>
    <n v="29"/>
    <d v="2024-03-07T00:00:00"/>
    <d v="2024-03-14T00:00:00"/>
    <n v="7"/>
    <d v="2024-03-14T00:00:00"/>
    <d v="2024-03-21T00:00:00"/>
    <m/>
    <m/>
    <n v="0.25"/>
    <n v="7"/>
    <m/>
    <m/>
    <m/>
  </r>
  <r>
    <x v="0"/>
    <x v="2"/>
    <s v="APP"/>
    <x v="225"/>
    <s v="MXP LEGACY_x000a_TRADE"/>
    <s v="Aplica para KFC Ecuador, cuando el motorizado llegue a la casa del cliente"/>
    <s v="BAJA"/>
    <x v="2"/>
    <s v="Funcionalidades Locales"/>
    <x v="0"/>
    <x v="0"/>
    <x v="56"/>
    <x v="25"/>
    <x v="1"/>
    <x v="0"/>
    <m/>
    <x v="0"/>
    <s v="p59"/>
    <x v="2"/>
    <m/>
    <n v="8"/>
    <n v="1"/>
    <n v="550"/>
    <m/>
    <n v="5040"/>
    <m/>
    <m/>
    <d v="2024-09-02T00:00:00"/>
    <d v="2024-09-23T00:00:00"/>
    <n v="21"/>
    <d v="2024-09-23T00:00:00"/>
    <d v="2024-09-30T00:00:00"/>
    <n v="364471"/>
    <d v="2024-09-30T00:00:00"/>
    <d v="2024-10-07T00:00:00"/>
    <d v="2024-09-01T00:00:00"/>
    <d v="2024-10-27T00:00:00"/>
    <n v="2"/>
    <n v="7"/>
    <m/>
    <m/>
    <m/>
  </r>
  <r>
    <x v="0"/>
    <x v="0"/>
    <m/>
    <x v="226"/>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x v="0"/>
    <s v="Celula Operaciones Maxpoint 2024"/>
    <x v="0"/>
    <x v="0"/>
    <x v="33"/>
    <x v="0"/>
    <x v="2"/>
    <x v="0"/>
    <m/>
    <x v="0"/>
    <m/>
    <x v="0"/>
    <n v="1"/>
    <n v="5"/>
    <n v="1"/>
    <n v="550"/>
    <m/>
    <n v="3330"/>
    <m/>
    <m/>
    <d v="2024-08-05T00:00:00"/>
    <d v="2024-09-09T00:00:00"/>
    <e v="#REF!"/>
    <d v="2024-09-10T00:00:00"/>
    <d v="2024-09-24T00:00:00"/>
    <d v="2897-08-13T00:00:00"/>
    <d v="2024-09-25T00:00:00"/>
    <d v="2024-10-09T00:00:00"/>
    <m/>
    <m/>
    <n v="1.25"/>
    <n v="14"/>
    <m/>
    <m/>
    <m/>
  </r>
  <r>
    <x v="0"/>
    <x v="0"/>
    <m/>
    <x v="227"/>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x v="0"/>
    <s v="Celula Operaciones Maxpoint 2024"/>
    <x v="0"/>
    <x v="0"/>
    <x v="33"/>
    <x v="0"/>
    <x v="2"/>
    <x v="0"/>
    <m/>
    <x v="0"/>
    <m/>
    <x v="0"/>
    <n v="1"/>
    <n v="4"/>
    <n v="2"/>
    <n v="550"/>
    <m/>
    <n v="4980"/>
    <m/>
    <m/>
    <d v="2024-08-19T00:00:00"/>
    <d v="2024-09-23T00:00:00"/>
    <e v="#REF!"/>
    <d v="2024-09-24T00:00:00"/>
    <d v="2024-10-08T00:00:00"/>
    <d v="2897-12-03T00:00:00"/>
    <d v="2024-10-09T00:00:00"/>
    <d v="2024-10-23T00:00:00"/>
    <m/>
    <m/>
    <d v="1899-12-31T00:00:00"/>
    <n v="14"/>
    <m/>
    <m/>
    <m/>
  </r>
  <r>
    <x v="0"/>
    <x v="0"/>
    <m/>
    <x v="228"/>
    <m/>
    <s v="Desarrollo de nueva versión de turnero para solucionar problemas en el counter (ligado con la implementación de KDS)"/>
    <m/>
    <x v="3"/>
    <s v="Funcionalidades Regionales"/>
    <x v="3"/>
    <x v="3"/>
    <x v="11"/>
    <x v="8"/>
    <x v="1"/>
    <x v="0"/>
    <m/>
    <x v="2"/>
    <m/>
    <x v="1"/>
    <n v="1"/>
    <n v="4"/>
    <n v="1"/>
    <n v="625"/>
    <m/>
    <n v="2500"/>
    <m/>
    <m/>
    <d v="2024-04-01T00:00:00"/>
    <d v="2024-04-12T00:00:00"/>
    <e v="#REF!"/>
    <d v="2024-04-15T00:00:00"/>
    <d v="2024-04-19T00:00:00"/>
    <d v="2894-05-07T00:00:00"/>
    <d v="2024-04-22T00:00:00"/>
    <d v="2024-04-26T00:00:00"/>
    <m/>
    <m/>
    <n v="1"/>
    <n v="4"/>
    <m/>
    <m/>
    <m/>
  </r>
  <r>
    <x v="1"/>
    <x v="0"/>
    <m/>
    <x v="228"/>
    <m/>
    <s v="Compromiso Matriz Regional  (Chile Argentina)"/>
    <m/>
    <x v="3"/>
    <s v="Funcionalidades Regionales"/>
    <x v="3"/>
    <x v="4"/>
    <x v="57"/>
    <x v="12"/>
    <x v="1"/>
    <x v="4"/>
    <m/>
    <x v="1"/>
    <s v="programadores en Angular"/>
    <x v="1"/>
    <n v="1"/>
    <n v="3"/>
    <n v="1"/>
    <n v="625"/>
    <m/>
    <n v="1875"/>
    <m/>
    <m/>
    <d v="2024-02-05T00:00:00"/>
    <d v="2024-02-23T00:00:00"/>
    <e v="#REF!"/>
    <d v="2024-02-26T00:00:00"/>
    <d v="2024-03-01T00:00:00"/>
    <d v="2893-04-10T00:00:00"/>
    <d v="2024-03-04T00:00:00"/>
    <d v="2024-03-08T00:00:00"/>
    <m/>
    <m/>
    <n v="0.75"/>
    <n v="4"/>
    <s v="PROYECTO REGIONAL"/>
    <m/>
    <m/>
  </r>
  <r>
    <x v="0"/>
    <x v="2"/>
    <s v="Appedir"/>
    <x v="229"/>
    <s v="MXP LEGACY_x000a_TRADE"/>
    <s v="Configurar el envío de menú Upsell y crosssell en APPEDIR"/>
    <s v="MEDIA"/>
    <x v="0"/>
    <s v="Proyectos TD 2024"/>
    <x v="2"/>
    <x v="0"/>
    <x v="10"/>
    <x v="4"/>
    <x v="1"/>
    <x v="0"/>
    <s v="Q1"/>
    <x v="2"/>
    <m/>
    <x v="1"/>
    <m/>
    <n v="5"/>
    <n v="1"/>
    <n v="550"/>
    <m/>
    <n v="3390"/>
    <m/>
    <m/>
    <d v="2024-04-15T00:00:00"/>
    <d v="2024-05-06T00:00:00"/>
    <n v="21"/>
    <d v="2024-05-06T00:00:00"/>
    <d v="2024-05-13T00:00:00"/>
    <n v="363351"/>
    <d v="2024-05-13T00:00:00"/>
    <d v="2024-05-20T00:00:00"/>
    <d v="2024-05-01T00:00:00"/>
    <d v="2024-06-05T00:00:00"/>
    <n v="1.25"/>
    <n v="7"/>
    <s v="ECOMERCE"/>
    <m/>
    <s v="x"/>
  </r>
  <r>
    <x v="0"/>
    <x v="0"/>
    <m/>
    <x v="230"/>
    <s v="MXP 2.0"/>
    <s v="Generar un reporte en MAX POINT, donde se pueda visulizar los retiros, arqueos y desmotanjes por usuarios. "/>
    <m/>
    <x v="0"/>
    <s v="Mejoras Maxpoint Auditoría 2024"/>
    <x v="2"/>
    <x v="0"/>
    <x v="3"/>
    <x v="2"/>
    <x v="2"/>
    <x v="0"/>
    <n v="1"/>
    <x v="2"/>
    <m/>
    <x v="0"/>
    <n v="1"/>
    <n v="3"/>
    <n v="1"/>
    <n v="550"/>
    <m/>
    <n v="2230"/>
    <m/>
    <m/>
    <d v="2024-05-06T00:00:00"/>
    <d v="2024-05-27T00:00:00"/>
    <d v="1900-01-20T00:00:00"/>
    <d v="2024-05-18T00:00:00"/>
    <d v="2024-06-11T00:00:00"/>
    <d v="2895-02-15T00:00:00"/>
    <d v="2024-06-12T00:00:00"/>
    <d v="2024-06-26T00:00:00"/>
    <m/>
    <m/>
    <n v="0.75"/>
    <n v="14"/>
    <m/>
    <m/>
    <m/>
  </r>
  <r>
    <x v="0"/>
    <x v="0"/>
    <m/>
    <x v="231"/>
    <m/>
    <s v="Al reporte de transacciones MAX POINT,  Incluir UN REPORTE DE LA VENTA DE BASKIN Y CINNABON con todas las transacciones"/>
    <m/>
    <x v="0"/>
    <s v="Mejoras Maxpoint Auditoría 2024"/>
    <x v="2"/>
    <x v="0"/>
    <x v="3"/>
    <x v="2"/>
    <x v="2"/>
    <x v="0"/>
    <s v="Q2"/>
    <x v="2"/>
    <m/>
    <x v="0"/>
    <n v="1"/>
    <n v="3"/>
    <n v="1"/>
    <n v="550"/>
    <m/>
    <n v="2230"/>
    <m/>
    <m/>
    <d v="2024-06-25T00:00:00"/>
    <d v="2024-07-16T00:00:00"/>
    <d v="1900-01-20T00:00:00"/>
    <d v="2024-07-17T00:00:00"/>
    <d v="2024-07-31T00:00:00"/>
    <d v="2896-05-30T00:00:00"/>
    <d v="2024-08-01T00:00:00"/>
    <d v="2024-08-15T00:00:00"/>
    <m/>
    <m/>
    <n v="0.75"/>
    <n v="14"/>
    <m/>
    <m/>
    <m/>
  </r>
  <r>
    <x v="0"/>
    <x v="0"/>
    <m/>
    <x v="232"/>
    <s v="MXP 2.0"/>
    <s v="Nuevo servicio de tarjetas por api netcore"/>
    <m/>
    <x v="0"/>
    <s v="Servicio de tarjetas en netCore"/>
    <x v="0"/>
    <x v="0"/>
    <x v="36"/>
    <x v="0"/>
    <x v="2"/>
    <x v="0"/>
    <m/>
    <x v="2"/>
    <m/>
    <x v="2"/>
    <n v="1"/>
    <n v="8"/>
    <n v="2"/>
    <n v="550"/>
    <m/>
    <n v="27000"/>
    <m/>
    <m/>
    <d v="2024-04-01T00:00:00"/>
    <d v="2024-05-27T00:00:00"/>
    <d v="1900-02-24T00:00:00"/>
    <d v="2024-05-28T00:00:00"/>
    <d v="2024-06-11T00:00:00"/>
    <d v="2895-04-26T00:00:00"/>
    <d v="2024-06-12T00:00:00"/>
    <d v="2024-07-10T00:00:00"/>
    <m/>
    <m/>
    <n v="2"/>
    <n v="28"/>
    <s v="Identificado Grupo de Soporte"/>
    <m/>
    <m/>
  </r>
  <r>
    <x v="0"/>
    <x v="0"/>
    <m/>
    <x v="233"/>
    <s v="MXP 2.0"/>
    <s v="Ver Anexo A2"/>
    <m/>
    <x v="0"/>
    <s v="Celula Operaciones Maxpoint 2024"/>
    <x v="0"/>
    <x v="0"/>
    <x v="0"/>
    <x v="0"/>
    <x v="2"/>
    <x v="0"/>
    <m/>
    <x v="2"/>
    <m/>
    <x v="1"/>
    <n v="1"/>
    <n v="5"/>
    <n v="2"/>
    <n v="550"/>
    <m/>
    <n v="6080"/>
    <m/>
    <m/>
    <d v="2024-04-01T00:00:00"/>
    <d v="2024-05-06T00:00:00"/>
    <e v="#REF!"/>
    <d v="2024-05-07T00:00:00"/>
    <d v="2024-05-21T00:00:00"/>
    <d v="2894-11-09T00:00:00"/>
    <d v="2024-05-22T00:00:00"/>
    <d v="2024-06-05T00:00:00"/>
    <m/>
    <m/>
    <n v="1.25"/>
    <n v="14"/>
    <m/>
    <m/>
    <m/>
  </r>
  <r>
    <x v="0"/>
    <x v="0"/>
    <m/>
    <x v="234"/>
    <m/>
    <s v="El negocio requiere añadir a su flujo de facturación el incremento del secuencial de facturas simplificadas centralizado por empresa."/>
    <m/>
    <x v="2"/>
    <m/>
    <x v="3"/>
    <x v="5"/>
    <x v="42"/>
    <x v="22"/>
    <x v="1"/>
    <x v="0"/>
    <m/>
    <x v="1"/>
    <m/>
    <x v="2"/>
    <n v="1"/>
    <n v="4"/>
    <n v="1"/>
    <n v="625"/>
    <m/>
    <n v="2500"/>
    <m/>
    <m/>
    <d v="2024-03-03T00:00:00"/>
    <d v="2024-03-15T00:00:00"/>
    <e v="#REF!"/>
    <d v="2024-03-18T00:00:00"/>
    <d v="2024-03-22T00:00:00"/>
    <d v="2893-09-25T00:00:00"/>
    <d v="2024-03-25T00:00:00"/>
    <d v="2024-03-29T00:00:00"/>
    <m/>
    <m/>
    <n v="1"/>
    <n v="4"/>
    <m/>
    <m/>
    <m/>
  </r>
  <r>
    <x v="0"/>
    <x v="0"/>
    <m/>
    <x v="235"/>
    <m/>
    <s v="Reportes a pedido de auditoría"/>
    <m/>
    <x v="2"/>
    <s v="Funcionalidades Locales"/>
    <x v="3"/>
    <x v="3"/>
    <x v="11"/>
    <x v="8"/>
    <x v="1"/>
    <x v="0"/>
    <m/>
    <x v="2"/>
    <m/>
    <x v="0"/>
    <n v="1"/>
    <n v="4"/>
    <n v="2"/>
    <n v="625"/>
    <m/>
    <n v="5000"/>
    <m/>
    <m/>
    <d v="2024-04-01T00:00:00"/>
    <d v="2024-04-12T00:00:00"/>
    <e v="#REF!"/>
    <d v="2024-04-15T00:00:00"/>
    <d v="2024-04-19T00:00:00"/>
    <d v="2894-05-07T00:00:00"/>
    <d v="2024-04-22T00:00:00"/>
    <d v="2024-04-26T00:00:00"/>
    <m/>
    <m/>
    <d v="1899-12-31T00:00:00"/>
    <n v="4"/>
    <m/>
    <m/>
    <m/>
  </r>
  <r>
    <x v="0"/>
    <x v="5"/>
    <m/>
    <x v="236"/>
    <m/>
    <s v="Mejorar los desarrollos en SAP"/>
    <m/>
    <x v="0"/>
    <s v="Mejorar los desarrollos en SAP"/>
    <x v="1"/>
    <x v="0"/>
    <x v="58"/>
    <x v="1"/>
    <x v="2"/>
    <x v="0"/>
    <s v="Q3"/>
    <x v="0"/>
    <m/>
    <x v="2"/>
    <n v="1"/>
    <n v="24"/>
    <n v="2"/>
    <n v="500"/>
    <m/>
    <n v="24000"/>
    <m/>
    <m/>
    <d v="2024-02-28T00:00:00"/>
    <d v="2024-08-28T00:00:00"/>
    <n v="182"/>
    <m/>
    <m/>
    <n v="0"/>
    <m/>
    <m/>
    <m/>
    <m/>
    <n v="6"/>
    <n v="0"/>
    <s v="PROYECTO REGIONAL"/>
    <m/>
    <m/>
  </r>
  <r>
    <x v="0"/>
    <x v="0"/>
    <m/>
    <x v="237"/>
    <s v="MXP 2.0"/>
    <s v="Ver Anexo A2_x000a_Al ingresar a max point tarda en cargar para el ingreso de claves"/>
    <m/>
    <x v="0"/>
    <s v="Celula Operaciones Maxpoint 2024"/>
    <x v="0"/>
    <x v="0"/>
    <x v="0"/>
    <x v="0"/>
    <x v="2"/>
    <x v="0"/>
    <n v="1"/>
    <x v="2"/>
    <m/>
    <x v="0"/>
    <n v="1"/>
    <n v="3"/>
    <n v="1"/>
    <n v="550"/>
    <m/>
    <n v="2230"/>
    <m/>
    <m/>
    <d v="2024-05-02T00:00:00"/>
    <d v="2024-05-30T00:00:00"/>
    <d v="2024-05-31T00:00:00"/>
    <d v="2024-06-14T00:00:00"/>
    <d v="2024-06-15T00:00:00"/>
    <d v="2024-06-29T00:00:00"/>
    <d v="2024-05-08T00:00:00"/>
    <d v="2024-05-22T00:00:00"/>
    <m/>
    <m/>
    <n v="0.75"/>
    <n v="14"/>
    <s v="Célula Operaciones"/>
    <m/>
    <m/>
  </r>
  <r>
    <x v="0"/>
    <x v="0"/>
    <m/>
    <x v="238"/>
    <s v="MXP 2.0"/>
    <s v="Ver Anexo A2_x000a_No hay busqueda compleja de productos por nombres "/>
    <m/>
    <x v="0"/>
    <s v="Celula Operaciones Maxpoint 2024"/>
    <x v="0"/>
    <x v="0"/>
    <x v="0"/>
    <x v="0"/>
    <x v="2"/>
    <x v="0"/>
    <n v="4"/>
    <x v="0"/>
    <m/>
    <x v="0"/>
    <n v="1"/>
    <n v="2"/>
    <n v="1"/>
    <n v="550"/>
    <m/>
    <n v="1680"/>
    <m/>
    <m/>
    <d v="2024-07-01T00:00:00"/>
    <d v="2024-08-05T00:00:00"/>
    <d v="2024-08-06T00:00:00"/>
    <d v="2024-08-20T00:00:00"/>
    <d v="2024-08-21T00:00:00"/>
    <d v="2024-09-04T00:00:00"/>
    <d v="2024-06-19T00:00:00"/>
    <d v="2024-07-03T00:00:00"/>
    <m/>
    <m/>
    <n v="0.5"/>
    <n v="14"/>
    <s v="Célula Operaciones"/>
    <m/>
    <m/>
  </r>
  <r>
    <x v="3"/>
    <x v="5"/>
    <m/>
    <x v="239"/>
    <m/>
    <s v="Mejorar, Optimizar los tableros existentes de RPA"/>
    <m/>
    <x v="0"/>
    <s v="Mantenimiento procesos RPA"/>
    <x v="2"/>
    <x v="0"/>
    <x v="19"/>
    <x v="14"/>
    <x v="2"/>
    <x v="5"/>
    <s v="Q3"/>
    <x v="0"/>
    <m/>
    <x v="1"/>
    <n v="1"/>
    <n v="24"/>
    <n v="1"/>
    <n v="150"/>
    <m/>
    <n v="3600"/>
    <m/>
    <m/>
    <d v="2024-04-01T00:00:00"/>
    <d v="2024-10-31T00:00:00"/>
    <n v="213"/>
    <m/>
    <m/>
    <d v="1899-12-30T00:00:00"/>
    <m/>
    <m/>
    <m/>
    <m/>
    <n v="6"/>
    <n v="0"/>
    <m/>
    <m/>
    <m/>
  </r>
  <r>
    <x v="0"/>
    <x v="1"/>
    <m/>
    <x v="240"/>
    <m/>
    <s v="Creación de ordenes de compra en SIR para proveedores externos, validar integración con proveedor y solicitud de productos por sabores"/>
    <m/>
    <x v="0"/>
    <s v="Mejoras Contabilidad"/>
    <x v="2"/>
    <x v="0"/>
    <x v="13"/>
    <x v="9"/>
    <x v="2"/>
    <x v="7"/>
    <s v="ALTA"/>
    <x v="2"/>
    <m/>
    <x v="1"/>
    <m/>
    <n v="5"/>
    <n v="2"/>
    <n v="450"/>
    <m/>
    <n v="5140"/>
    <m/>
    <m/>
    <d v="2024-04-29T00:00:00"/>
    <d v="2024-05-24T00:00:00"/>
    <e v="#REF!"/>
    <d v="2024-05-21T00:00:00"/>
    <d v="2024-05-31T00:00:00"/>
    <d v="2895-02-25T00:00:00"/>
    <m/>
    <d v="2024-05-31T00:00:00"/>
    <m/>
    <m/>
    <n v="1.25"/>
    <n v="45443"/>
    <m/>
    <m/>
    <m/>
  </r>
  <r>
    <x v="0"/>
    <x v="2"/>
    <s v="Tracking"/>
    <x v="241"/>
    <s v="MXP LEGACY_x000a_TRADE"/>
    <s v="Aplica para KFC Ecuador"/>
    <s v="BAJA"/>
    <x v="2"/>
    <s v="Funcionalidades Locales"/>
    <x v="0"/>
    <x v="0"/>
    <x v="56"/>
    <x v="25"/>
    <x v="1"/>
    <x v="0"/>
    <m/>
    <x v="0"/>
    <s v="p58"/>
    <x v="2"/>
    <m/>
    <n v="8"/>
    <n v="1"/>
    <n v="550"/>
    <m/>
    <n v="5040"/>
    <m/>
    <m/>
    <d v="2024-08-12T00:00:00"/>
    <d v="2024-09-23T00:00:00"/>
    <n v="42"/>
    <d v="2024-09-23T00:00:00"/>
    <d v="2024-09-30T00:00:00"/>
    <n v="364471"/>
    <d v="2024-09-30T00:00:00"/>
    <d v="2024-10-07T00:00:00"/>
    <d v="2024-08-01T00:00:00"/>
    <d v="2024-09-26T00:00:00"/>
    <n v="2"/>
    <n v="7"/>
    <m/>
    <m/>
    <m/>
  </r>
  <r>
    <x v="1"/>
    <x v="5"/>
    <m/>
    <x v="242"/>
    <m/>
    <m/>
    <m/>
    <x v="0"/>
    <s v="Respaldo Digital Mayor Contable"/>
    <x v="2"/>
    <x v="0"/>
    <x v="13"/>
    <x v="9"/>
    <x v="1"/>
    <x v="4"/>
    <s v="Q2"/>
    <x v="2"/>
    <m/>
    <x v="2"/>
    <n v="1"/>
    <m/>
    <m/>
    <m/>
    <m/>
    <n v="0"/>
    <m/>
    <m/>
    <m/>
    <m/>
    <n v="0"/>
    <m/>
    <m/>
    <n v="0"/>
    <m/>
    <m/>
    <m/>
    <m/>
    <d v="1899-12-30T00:00:00"/>
    <n v="0"/>
    <m/>
    <m/>
    <m/>
  </r>
  <r>
    <x v="0"/>
    <x v="3"/>
    <m/>
    <x v="243"/>
    <m/>
    <s v="Implementación de Payrol e Integraciones, Se puso un macro pero este proyecto maneja los costos de Dennis y Sabri"/>
    <m/>
    <x v="2"/>
    <s v="Funcionalidades Locales"/>
    <x v="1"/>
    <x v="1"/>
    <x v="7"/>
    <x v="5"/>
    <x v="1"/>
    <x v="2"/>
    <m/>
    <x v="2"/>
    <m/>
    <x v="2"/>
    <n v="0"/>
    <n v="32"/>
    <n v="2"/>
    <n v="700"/>
    <m/>
    <n v="0"/>
    <m/>
    <m/>
    <d v="2024-04-01T00:00:00"/>
    <d v="2024-12-14T00:00:00"/>
    <e v="#REF!"/>
    <d v="2024-12-14T00:00:00"/>
    <d v="2024-12-21T00:00:00"/>
    <n v="365127"/>
    <d v="2024-12-21T00:00:00"/>
    <d v="2024-12-28T00:00:00"/>
    <m/>
    <m/>
    <d v="1900-01-07T00:00:00"/>
    <n v="7"/>
    <s v="Cancelado el 40%"/>
    <m/>
    <m/>
  </r>
  <r>
    <x v="0"/>
    <x v="3"/>
    <m/>
    <x v="244"/>
    <m/>
    <s v="Redimencionamiento de requerimiento para control de cupos en Planta"/>
    <m/>
    <x v="0"/>
    <s v="Talento Humano Planta"/>
    <x v="4"/>
    <x v="0"/>
    <x v="12"/>
    <x v="11"/>
    <x v="2"/>
    <x v="0"/>
    <m/>
    <x v="0"/>
    <m/>
    <x v="1"/>
    <n v="1"/>
    <n v="5"/>
    <n v="1"/>
    <n v="550"/>
    <m/>
    <n v="2750"/>
    <m/>
    <m/>
    <d v="2024-07-01T00:00:00"/>
    <d v="2024-08-01T00:00:00"/>
    <n v="31"/>
    <d v="2024-08-01T00:00:00"/>
    <d v="2024-08-07T00:00:00"/>
    <n v="6"/>
    <d v="2024-08-07T00:00:00"/>
    <d v="2024-08-14T00:00:00"/>
    <m/>
    <m/>
    <n v="1.25"/>
    <n v="7"/>
    <m/>
    <m/>
    <m/>
  </r>
  <r>
    <x v="0"/>
    <x v="3"/>
    <m/>
    <x v="245"/>
    <m/>
    <s v="Generar aplicación para dar seguimiento reclamos a proveedores, conexión con SAP para obtener código de material y código de proveedor"/>
    <m/>
    <x v="0"/>
    <s v="Calidad Planta"/>
    <x v="2"/>
    <x v="0"/>
    <x v="59"/>
    <x v="26"/>
    <x v="2"/>
    <x v="0"/>
    <m/>
    <x v="0"/>
    <m/>
    <x v="1"/>
    <m/>
    <n v="15"/>
    <n v="1"/>
    <n v="550"/>
    <m/>
    <n v="8890"/>
    <m/>
    <m/>
    <d v="2024-07-01T00:00:00"/>
    <d v="2024-09-14T00:00:00"/>
    <e v="#REF!"/>
    <d v="2024-09-14T00:00:00"/>
    <d v="2024-09-21T00:00:00"/>
    <d v="2897-09-07T00:00:00"/>
    <d v="2024-09-21T00:00:00"/>
    <d v="2024-10-01T00:00:00"/>
    <m/>
    <m/>
    <n v="3.75"/>
    <n v="10"/>
    <m/>
    <m/>
    <m/>
  </r>
  <r>
    <x v="0"/>
    <x v="2"/>
    <s v="APP"/>
    <x v="246"/>
    <s v="MXP LEGACY_x000a_TRADE"/>
    <s v="Receptar pedidos "/>
    <s v="BAJA"/>
    <x v="0"/>
    <s v="Proyectos TD 2024"/>
    <x v="2"/>
    <x v="0"/>
    <x v="10"/>
    <x v="4"/>
    <x v="1"/>
    <x v="0"/>
    <s v="Q3"/>
    <x v="3"/>
    <s v="p48"/>
    <x v="2"/>
    <m/>
    <n v="12"/>
    <n v="2"/>
    <n v="550"/>
    <m/>
    <n v="13840"/>
    <m/>
    <m/>
    <d v="2024-10-21T00:00:00"/>
    <d v="2024-11-25T00:00:00"/>
    <n v="35"/>
    <d v="2024-11-25T00:00:00"/>
    <d v="2024-12-09T00:00:00"/>
    <n v="364982"/>
    <d v="2024-12-09T00:00:00"/>
    <d v="2024-12-16T00:00:00"/>
    <d v="2024-10-01T00:00:00"/>
    <d v="2024-12-24T00:00:00"/>
    <n v="3"/>
    <n v="7"/>
    <s v="ECOMERCE"/>
    <m/>
    <m/>
  </r>
  <r>
    <x v="1"/>
    <x v="1"/>
    <m/>
    <x v="247"/>
    <m/>
    <s v="Ver Anexo A4"/>
    <m/>
    <x v="0"/>
    <s v="Célula de Operaciones SIR 2023"/>
    <x v="0"/>
    <x v="0"/>
    <x v="1"/>
    <x v="0"/>
    <x v="1"/>
    <x v="0"/>
    <n v="8"/>
    <x v="2"/>
    <m/>
    <x v="2"/>
    <m/>
    <n v="3"/>
    <n v="5"/>
    <n v="400"/>
    <m/>
    <n v="6640"/>
    <m/>
    <m/>
    <m/>
    <m/>
    <e v="#REF!"/>
    <m/>
    <m/>
    <d v="1899-12-30T00:00:00"/>
    <m/>
    <m/>
    <m/>
    <m/>
    <n v="0.75"/>
    <n v="0"/>
    <s v="Célula Operaciones"/>
    <m/>
    <m/>
  </r>
  <r>
    <x v="1"/>
    <x v="1"/>
    <m/>
    <x v="248"/>
    <m/>
    <s v="Ver Anexo A4"/>
    <m/>
    <x v="0"/>
    <s v="Célula de Operaciones SIR 2024"/>
    <x v="0"/>
    <x v="0"/>
    <x v="1"/>
    <x v="0"/>
    <x v="2"/>
    <x v="0"/>
    <n v="20"/>
    <x v="3"/>
    <m/>
    <x v="2"/>
    <m/>
    <n v="8"/>
    <n v="1"/>
    <n v="400"/>
    <m/>
    <n v="3840"/>
    <m/>
    <m/>
    <m/>
    <m/>
    <e v="#REF!"/>
    <m/>
    <m/>
    <d v="1899-12-30T00:00:00"/>
    <m/>
    <m/>
    <m/>
    <m/>
    <n v="2"/>
    <n v="0"/>
    <m/>
    <m/>
    <m/>
  </r>
  <r>
    <x v="0"/>
    <x v="0"/>
    <m/>
    <x v="249"/>
    <s v="MXP 2.0"/>
    <s v="Ver Anexo A2_x000a_Al realizar facturas hay cedulas de extranjeros que no permite ingresar"/>
    <m/>
    <x v="0"/>
    <s v="Celula Operaciones Maxpoint 2024"/>
    <x v="0"/>
    <x v="0"/>
    <x v="0"/>
    <x v="0"/>
    <x v="2"/>
    <x v="0"/>
    <n v="3"/>
    <x v="2"/>
    <m/>
    <x v="0"/>
    <n v="1"/>
    <n v="4"/>
    <n v="1"/>
    <n v="550"/>
    <m/>
    <n v="2780"/>
    <m/>
    <m/>
    <d v="2024-05-06T00:00:00"/>
    <d v="2024-05-27T00:00:00"/>
    <d v="2024-05-28T00:00:00"/>
    <d v="2024-06-11T00:00:00"/>
    <d v="2024-06-12T00:00:00"/>
    <d v="2024-06-26T00:00:00"/>
    <d v="2024-05-15T00:00:00"/>
    <d v="2024-05-29T00:00:00"/>
    <m/>
    <m/>
    <n v="1"/>
    <n v="14"/>
    <s v="Célula Operaciones"/>
    <m/>
    <m/>
  </r>
  <r>
    <x v="0"/>
    <x v="5"/>
    <m/>
    <x v="250"/>
    <m/>
    <s v="Contar con sistema de despacho mediante consolidacion de lotes Packing"/>
    <m/>
    <x v="0"/>
    <s v="Optimización Procesos Plantas"/>
    <x v="4"/>
    <x v="0"/>
    <x v="12"/>
    <x v="27"/>
    <x v="2"/>
    <x v="0"/>
    <s v="Q2"/>
    <x v="0"/>
    <m/>
    <x v="1"/>
    <n v="1"/>
    <n v="3"/>
    <n v="2"/>
    <n v="1100"/>
    <m/>
    <n v="6600"/>
    <m/>
    <m/>
    <m/>
    <m/>
    <n v="0"/>
    <m/>
    <m/>
    <n v="0"/>
    <m/>
    <m/>
    <m/>
    <m/>
    <n v="0.75"/>
    <n v="0"/>
    <m/>
    <m/>
    <m/>
  </r>
  <r>
    <x v="0"/>
    <x v="2"/>
    <s v="Motorizado Delivery"/>
    <x v="251"/>
    <s v="MXP LEGACY"/>
    <s v="Nuevo Requerimiento (Ya levantado a Juan Daniel, documentación adjunta)"/>
    <s v="MEDIA"/>
    <x v="2"/>
    <s v="Funcionalidades Regionales"/>
    <x v="1"/>
    <x v="4"/>
    <x v="17"/>
    <x v="1"/>
    <x v="1"/>
    <x v="0"/>
    <m/>
    <x v="0"/>
    <m/>
    <x v="2"/>
    <n v="1"/>
    <n v="10"/>
    <n v="3"/>
    <n v="625"/>
    <m/>
    <n v="18750"/>
    <m/>
    <m/>
    <d v="2024-07-15T00:00:00"/>
    <d v="2024-07-22T00:00:00"/>
    <n v="7"/>
    <d v="2024-07-22T00:00:00"/>
    <d v="2024-07-29T00:00:00"/>
    <n v="363967"/>
    <d v="2024-07-29T00:00:00"/>
    <d v="2024-08-19T00:00:00"/>
    <d v="2024-07-01T00:00:00"/>
    <d v="2024-09-09T00:00:00"/>
    <n v="2.5"/>
    <n v="21"/>
    <m/>
    <m/>
    <m/>
  </r>
  <r>
    <x v="0"/>
    <x v="5"/>
    <m/>
    <x v="252"/>
    <m/>
    <s v="Implementar la Planificación de Producción para Plantas (Master Production Schedule)"/>
    <m/>
    <x v="0"/>
    <s v="Implementacion Modelo MPS Plantas"/>
    <x v="4"/>
    <x v="0"/>
    <x v="12"/>
    <x v="28"/>
    <x v="2"/>
    <x v="0"/>
    <s v="Q3"/>
    <x v="0"/>
    <m/>
    <x v="1"/>
    <n v="1"/>
    <n v="6"/>
    <n v="1"/>
    <n v="1100"/>
    <m/>
    <n v="6600"/>
    <m/>
    <m/>
    <d v="2024-04-07T00:00:00"/>
    <d v="2024-05-28T00:00:00"/>
    <n v="51"/>
    <d v="2024-05-28T00:00:00"/>
    <d v="2024-05-28T00:00:00"/>
    <n v="0"/>
    <d v="2024-05-28T00:00:00"/>
    <d v="2024-06-28T00:00:00"/>
    <m/>
    <m/>
    <n v="1.5"/>
    <n v="31"/>
    <m/>
    <m/>
    <m/>
  </r>
  <r>
    <x v="0"/>
    <x v="1"/>
    <m/>
    <x v="253"/>
    <m/>
    <s v="Ver Anexo A4"/>
    <m/>
    <x v="0"/>
    <s v="Célula de Operaciones SIR 2024"/>
    <x v="0"/>
    <x v="0"/>
    <x v="1"/>
    <x v="0"/>
    <x v="2"/>
    <x v="0"/>
    <n v="23"/>
    <x v="3"/>
    <m/>
    <x v="2"/>
    <m/>
    <n v="8"/>
    <n v="2"/>
    <n v="450"/>
    <m/>
    <n v="7840"/>
    <m/>
    <m/>
    <d v="2024-09-23T00:00:00"/>
    <d v="2024-11-08T00:00:00"/>
    <e v="#REF!"/>
    <d v="2024-11-12T00:00:00"/>
    <d v="2024-11-19T00:00:00"/>
    <d v="2898-12-23T00:00:00"/>
    <m/>
    <m/>
    <m/>
    <m/>
    <n v="2"/>
    <n v="0"/>
    <s v="Célula Operaciones"/>
    <m/>
    <m/>
  </r>
  <r>
    <x v="0"/>
    <x v="3"/>
    <m/>
    <x v="254"/>
    <m/>
    <s v="Nuevo Requerimiento - Levantar"/>
    <m/>
    <x v="2"/>
    <s v="Funcionalidades Locales"/>
    <x v="3"/>
    <x v="4"/>
    <x v="17"/>
    <x v="12"/>
    <x v="1"/>
    <x v="0"/>
    <s v="Q4"/>
    <x v="3"/>
    <s v="Proyecto Elearning"/>
    <x v="2"/>
    <m/>
    <n v="8"/>
    <n v="2"/>
    <n v="550"/>
    <m/>
    <n v="8800"/>
    <n v="364"/>
    <m/>
    <d v="2024-05-20T00:00:00"/>
    <d v="2024-05-27T00:00:00"/>
    <e v="#REF!"/>
    <d v="2024-11-01T00:00:00"/>
    <d v="2024-11-30T00:00:00"/>
    <d v="2898-10-18T00:00:00"/>
    <d v="2024-11-30T00:00:00"/>
    <d v="2024-12-15T00:00:00"/>
    <m/>
    <m/>
    <n v="2"/>
    <n v="15"/>
    <m/>
    <m/>
    <m/>
  </r>
  <r>
    <x v="0"/>
    <x v="3"/>
    <m/>
    <x v="255"/>
    <m/>
    <s v="Fase de despliegue a Paises para E-Learning"/>
    <m/>
    <x v="2"/>
    <s v="Funcionalidades Locales"/>
    <x v="1"/>
    <x v="1"/>
    <x v="7"/>
    <x v="5"/>
    <x v="1"/>
    <x v="0"/>
    <m/>
    <x v="3"/>
    <m/>
    <x v="2"/>
    <n v="1"/>
    <n v="6"/>
    <n v="1"/>
    <n v="550"/>
    <m/>
    <n v="3940"/>
    <n v="364"/>
    <m/>
    <d v="2024-10-01T00:00:00"/>
    <d v="2025-11-01T00:00:00"/>
    <e v="#REF!"/>
    <d v="2024-11-01T00:00:00"/>
    <d v="2024-11-07T00:00:00"/>
    <d v="2898-09-25T00:00:00"/>
    <d v="2024-11-07T00:00:00"/>
    <d v="2024-11-07T00:00:00"/>
    <m/>
    <m/>
    <d v="1899-12-31T12:00:00"/>
    <n v="0"/>
    <m/>
    <m/>
    <m/>
  </r>
  <r>
    <x v="0"/>
    <x v="3"/>
    <m/>
    <x v="256"/>
    <m/>
    <s v="herramienta que permita entrenar al personal operativo para ejecución de procesos productivos. - Relación con solicitud de capacitación otras marcas (Español)"/>
    <m/>
    <x v="0"/>
    <s v="Elearning Varios Clientes"/>
    <x v="4"/>
    <x v="0"/>
    <x v="60"/>
    <x v="21"/>
    <x v="2"/>
    <x v="0"/>
    <m/>
    <x v="3"/>
    <m/>
    <x v="2"/>
    <m/>
    <n v="8"/>
    <n v="1"/>
    <n v="1000"/>
    <m/>
    <n v="8640"/>
    <n v="4000"/>
    <m/>
    <d v="2024-08-14T00:00:00"/>
    <d v="2024-09-21T00:00:00"/>
    <e v="#REF!"/>
    <d v="2024-09-21T00:00:00"/>
    <d v="2024-10-07T00:00:00"/>
    <d v="2897-11-11T00:00:00"/>
    <d v="2024-10-07T00:00:00"/>
    <d v="2024-10-21T00:00:00"/>
    <m/>
    <m/>
    <n v="2"/>
    <n v="14"/>
    <m/>
    <m/>
    <m/>
  </r>
  <r>
    <x v="0"/>
    <x v="3"/>
    <m/>
    <x v="257"/>
    <m/>
    <s v="Desarrollo interno de plataforma Elearning, actualmente se tiene un proveedor externo con un costo de 20 usd por local (presupuesto anual 86 k anual)"/>
    <m/>
    <x v="0"/>
    <s v="Elearning Varios Clientes"/>
    <x v="0"/>
    <x v="0"/>
    <x v="61"/>
    <x v="29"/>
    <x v="1"/>
    <x v="0"/>
    <s v="Q1"/>
    <x v="0"/>
    <m/>
    <x v="2"/>
    <m/>
    <n v="30"/>
    <n v="3"/>
    <n v="750"/>
    <m/>
    <n v="70000"/>
    <n v="364"/>
    <m/>
    <d v="2024-03-14T00:00:00"/>
    <d v="2024-07-14T00:00:00"/>
    <e v="#REF!"/>
    <d v="2024-07-14T00:00:00"/>
    <d v="2024-08-14T00:00:00"/>
    <d v="2896-05-23T00:00:00"/>
    <d v="2024-08-14T00:00:00"/>
    <d v="2024-09-14T00:00:00"/>
    <m/>
    <m/>
    <n v="7.5"/>
    <n v="31"/>
    <m/>
    <s v="Con datos del costo actual a proveedor"/>
    <m/>
  </r>
  <r>
    <x v="0"/>
    <x v="1"/>
    <m/>
    <x v="258"/>
    <m/>
    <m/>
    <m/>
    <x v="0"/>
    <s v="Mantenimiento"/>
    <x v="1"/>
    <x v="0"/>
    <x v="31"/>
    <x v="30"/>
    <x v="1"/>
    <x v="0"/>
    <m/>
    <x v="0"/>
    <m/>
    <x v="2"/>
    <m/>
    <n v="6"/>
    <n v="2"/>
    <n v="450"/>
    <m/>
    <n v="6040"/>
    <m/>
    <m/>
    <d v="2024-08-19T00:00:00"/>
    <d v="2024-09-27T00:00:00"/>
    <e v="#REF!"/>
    <d v="2024-10-01T00:00:00"/>
    <d v="2024-10-07T00:00:00"/>
    <d v="2898-01-20T00:00:00"/>
    <m/>
    <m/>
    <m/>
    <m/>
    <n v="1.5"/>
    <n v="0"/>
    <m/>
    <m/>
    <m/>
  </r>
  <r>
    <x v="0"/>
    <x v="3"/>
    <m/>
    <x v="259"/>
    <m/>
    <s v="Flujo de firma digital para contratos. (Revisar alcance a nivel corporativo) pendiente levantar a fondo, ya existe una herramienta de firma, requiere una licencia Anual y se ha dejado de pagar, se tiene que gestionar retomar este tema, (MERCADEO OTRAS MARCAS)"/>
    <m/>
    <x v="0"/>
    <s v="Firma Digitales Contratos"/>
    <x v="2"/>
    <x v="0"/>
    <x v="20"/>
    <x v="15"/>
    <x v="2"/>
    <x v="0"/>
    <s v="Q3"/>
    <x v="2"/>
    <m/>
    <x v="1"/>
    <m/>
    <n v="0"/>
    <n v="0"/>
    <n v="0"/>
    <m/>
    <n v="4800"/>
    <m/>
    <m/>
    <d v="2024-08-14T00:00:00"/>
    <d v="2024-09-14T00:00:00"/>
    <e v="#REF!"/>
    <d v="2024-09-14T00:00:00"/>
    <d v="2024-09-21T00:00:00"/>
    <d v="2897-09-07T00:00:00"/>
    <d v="2024-09-21T00:00:00"/>
    <d v="2024-09-28T00:00:00"/>
    <m/>
    <m/>
    <n v="0"/>
    <n v="7"/>
    <s v="Pendiente Conversar con proveedor"/>
    <m/>
    <m/>
  </r>
  <r>
    <x v="0"/>
    <x v="5"/>
    <m/>
    <x v="260"/>
    <m/>
    <s v="En lugar del costo de negociación se trabaje con: costo de compra,  variables (transporte internacional, aranceles, aduana, bodega, agente afianzado, transporte interno) y  costo final (suma de costo de compra + variables)"/>
    <m/>
    <x v="0"/>
    <s v="Control Costos Productos Importados"/>
    <x v="2"/>
    <x v="0"/>
    <x v="15"/>
    <x v="10"/>
    <x v="2"/>
    <x v="0"/>
    <s v="Q2"/>
    <x v="2"/>
    <m/>
    <x v="2"/>
    <n v="1"/>
    <n v="2"/>
    <n v="1"/>
    <n v="1280"/>
    <m/>
    <n v="2560"/>
    <m/>
    <m/>
    <d v="2024-04-07T00:00:00"/>
    <d v="2024-05-14T00:00:00"/>
    <n v="37"/>
    <d v="2024-05-14T00:00:00"/>
    <d v="2024-05-21T00:00:00"/>
    <n v="7"/>
    <d v="2024-05-21T00:00:00"/>
    <d v="2024-05-28T00:00:00"/>
    <m/>
    <m/>
    <n v="0.5"/>
    <n v="7"/>
    <m/>
    <m/>
    <m/>
  </r>
  <r>
    <x v="0"/>
    <x v="0"/>
    <m/>
    <x v="261"/>
    <m/>
    <s v="Nuevo Requerimiento (Ya levantado a Juan Daniel, documentación adjunta)"/>
    <m/>
    <x v="2"/>
    <s v="Funcionalidades Locales"/>
    <x v="3"/>
    <x v="4"/>
    <x v="17"/>
    <x v="12"/>
    <x v="1"/>
    <x v="4"/>
    <m/>
    <x v="1"/>
    <s v="Ambientes de desarrollo, y pinpad de test."/>
    <x v="1"/>
    <n v="1"/>
    <n v="3"/>
    <n v="1"/>
    <n v="625"/>
    <m/>
    <n v="1875"/>
    <m/>
    <m/>
    <d v="2024-03-04T00:00:00"/>
    <d v="2024-03-15T00:00:00"/>
    <e v="#REF!"/>
    <d v="2024-03-18T00:00:00"/>
    <d v="2024-03-22T00:00:00"/>
    <d v="2893-09-25T00:00:00"/>
    <d v="2024-03-25T00:00:00"/>
    <d v="2024-03-29T00:00:00"/>
    <m/>
    <m/>
    <n v="0.75"/>
    <n v="4"/>
    <m/>
    <m/>
    <m/>
  </r>
  <r>
    <x v="0"/>
    <x v="2"/>
    <s v="Pickup"/>
    <x v="262"/>
    <s v="MXP LEGACY_x000a_MXP 2.0_x000a_TRADE"/>
    <s v="Envío de menú y recepción en la terminal de autorápido "/>
    <s v="BAJA"/>
    <x v="0"/>
    <s v="Proyectos TD 2024"/>
    <x v="2"/>
    <x v="0"/>
    <x v="10"/>
    <x v="4"/>
    <x v="1"/>
    <x v="0"/>
    <s v="Q3"/>
    <x v="0"/>
    <s v="p49"/>
    <x v="1"/>
    <m/>
    <n v="2"/>
    <n v="1"/>
    <n v="550"/>
    <m/>
    <n v="1740"/>
    <m/>
    <m/>
    <d v="2024-08-19T00:00:00"/>
    <d v="2024-08-19T00:00:00"/>
    <n v="0"/>
    <d v="2024-08-19T00:00:00"/>
    <d v="2024-08-26T00:00:00"/>
    <n v="364191"/>
    <d v="2024-08-26T00:00:00"/>
    <d v="2024-09-02T00:00:00"/>
    <d v="2024-08-01T00:00:00"/>
    <d v="2024-08-15T00:00:00"/>
    <n v="0.5"/>
    <n v="7"/>
    <s v="ECOMERCE"/>
    <m/>
    <s v="x"/>
  </r>
  <r>
    <x v="0"/>
    <x v="2"/>
    <s v="Appedir"/>
    <x v="263"/>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x v="0"/>
    <s v="Proyectos TD 2024"/>
    <x v="2"/>
    <x v="0"/>
    <x v="10"/>
    <x v="4"/>
    <x v="1"/>
    <x v="0"/>
    <s v="Q3"/>
    <x v="3"/>
    <s v="p55"/>
    <x v="0"/>
    <m/>
    <n v="1"/>
    <n v="1"/>
    <n v="550"/>
    <m/>
    <n v="1190"/>
    <m/>
    <m/>
    <d v="2024-11-04T00:00:00"/>
    <d v="2024-11-11T00:00:00"/>
    <n v="7"/>
    <d v="2024-11-11T00:00:00"/>
    <d v="2024-11-18T00:00:00"/>
    <n v="364863"/>
    <d v="2024-11-18T00:00:00"/>
    <d v="2024-11-18T00:00:00"/>
    <d v="2024-11-01T00:00:00"/>
    <d v="2024-11-08T00:00:00"/>
    <n v="0.25"/>
    <n v="0"/>
    <s v="ECOMERCE"/>
    <m/>
    <s v="x"/>
  </r>
  <r>
    <x v="0"/>
    <x v="2"/>
    <s v="Formas de Pago"/>
    <x v="264"/>
    <s v="MXP LEGACY_x000a_TRADE"/>
    <s v="Implementación OneClick Checkout Chile Transbank; Pruebas y códigos de forma de pago "/>
    <s v="MEDIA"/>
    <x v="2"/>
    <s v="Proyectos TD 2024"/>
    <x v="2"/>
    <x v="4"/>
    <x v="10"/>
    <x v="4"/>
    <x v="1"/>
    <x v="0"/>
    <e v="#N/A"/>
    <x v="2"/>
    <m/>
    <x v="0"/>
    <m/>
    <n v="5"/>
    <n v="1"/>
    <n v="550"/>
    <m/>
    <n v="3390"/>
    <m/>
    <m/>
    <d v="2024-05-28T00:00:00"/>
    <d v="2024-06-04T00:00:00"/>
    <n v="7"/>
    <d v="2024-06-04T00:00:00"/>
    <d v="2024-06-11T00:00:00"/>
    <n v="363583"/>
    <d v="2024-06-11T00:00:00"/>
    <d v="2024-07-02T00:00:00"/>
    <d v="2024-05-01T00:00:00"/>
    <d v="2024-06-05T00:00:00"/>
    <n v="1.25"/>
    <n v="21"/>
    <s v="ECOMERCE"/>
    <m/>
    <s v="x"/>
  </r>
  <r>
    <x v="0"/>
    <x v="2"/>
    <s v="Kioscos"/>
    <x v="265"/>
    <s v="MXP LEGACY_x000a_TRADE"/>
    <s v="Requerimiento adicional. Aprobado por marketing"/>
    <m/>
    <x v="0"/>
    <m/>
    <x v="6"/>
    <x v="0"/>
    <x v="25"/>
    <x v="31"/>
    <x v="4"/>
    <x v="4"/>
    <m/>
    <x v="2"/>
    <m/>
    <x v="0"/>
    <n v="1"/>
    <n v="4"/>
    <n v="1"/>
    <n v="550"/>
    <m/>
    <n v="2840"/>
    <m/>
    <m/>
    <d v="2024-03-21T00:00:00"/>
    <m/>
    <e v="#REF!"/>
    <m/>
    <m/>
    <d v="1899-12-30T00:00:00"/>
    <m/>
    <d v="2024-04-12T00:00:00"/>
    <d v="2024-03-21T00:00:00"/>
    <d v="2024-04-18T00:00:00"/>
    <n v="1"/>
    <n v="45394"/>
    <s v="PROYECTO LOCAL"/>
    <m/>
    <m/>
  </r>
  <r>
    <x v="0"/>
    <x v="5"/>
    <m/>
    <x v="266"/>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x v="0"/>
    <s v="Optimización Procesos Plantas"/>
    <x v="4"/>
    <x v="0"/>
    <x v="12"/>
    <x v="27"/>
    <x v="2"/>
    <x v="0"/>
    <s v="Q2"/>
    <x v="2"/>
    <m/>
    <x v="1"/>
    <n v="1"/>
    <n v="3"/>
    <n v="1"/>
    <n v="1100"/>
    <m/>
    <n v="3300"/>
    <m/>
    <m/>
    <d v="2024-02-07T00:00:00"/>
    <d v="2024-03-07T00:00:00"/>
    <n v="29"/>
    <d v="2024-03-14T00:00:00"/>
    <d v="2024-03-14T00:00:00"/>
    <n v="0"/>
    <d v="2024-03-14T00:00:00"/>
    <d v="2024-03-21T00:00:00"/>
    <m/>
    <m/>
    <n v="0.75"/>
    <n v="7"/>
    <m/>
    <m/>
    <m/>
  </r>
  <r>
    <x v="0"/>
    <x v="5"/>
    <m/>
    <x v="267"/>
    <m/>
    <s v="Hacer el registro con una matriz y revisar el debito con Robot que usa actualmente tesoreria"/>
    <m/>
    <x v="0"/>
    <s v="RPA: Cruce Suministros"/>
    <x v="2"/>
    <x v="0"/>
    <x v="12"/>
    <x v="9"/>
    <x v="2"/>
    <x v="0"/>
    <s v="Q2"/>
    <x v="2"/>
    <m/>
    <x v="1"/>
    <n v="1"/>
    <n v="4"/>
    <n v="1"/>
    <n v="1600"/>
    <m/>
    <n v="6400"/>
    <m/>
    <m/>
    <d v="2024-04-07T00:00:00"/>
    <d v="2024-05-07T00:00:00"/>
    <n v="30"/>
    <d v="2024-05-07T00:00:00"/>
    <d v="2024-05-07T00:00:00"/>
    <n v="0"/>
    <d v="2024-05-07T00:00:00"/>
    <d v="2024-05-21T00:00:00"/>
    <m/>
    <m/>
    <n v="1"/>
    <n v="14"/>
    <m/>
    <m/>
    <m/>
  </r>
  <r>
    <x v="0"/>
    <x v="2"/>
    <s v="Pickup"/>
    <x v="268"/>
    <s v="MXP LEGACY_x000a_MXP 2.0_x000a_TRADE"/>
    <s v="Recepción de descuentos desde inyección V3 hacia Pickup en las tiendas"/>
    <s v="ALTA"/>
    <x v="0"/>
    <s v="Proyectos TD 2024"/>
    <x v="2"/>
    <x v="0"/>
    <x v="6"/>
    <x v="4"/>
    <x v="1"/>
    <x v="4"/>
    <m/>
    <x v="1"/>
    <s v="p10"/>
    <x v="2"/>
    <n v="1"/>
    <n v="4"/>
    <n v="1"/>
    <n v="550"/>
    <m/>
    <n v="2840"/>
    <m/>
    <m/>
    <d v="2024-02-19T00:00:00"/>
    <d v="2024-02-26T00:00:00"/>
    <n v="7"/>
    <d v="2024-02-26T00:00:00"/>
    <d v="2024-03-04T00:00:00"/>
    <n v="362791"/>
    <d v="2024-03-04T00:00:00"/>
    <d v="2024-03-11T00:00:00"/>
    <d v="2024-04-01T00:00:00"/>
    <d v="2024-04-29T00:00:00"/>
    <n v="1"/>
    <n v="7"/>
    <s v="PROYECTO REGIONAL"/>
    <m/>
    <s v="x"/>
  </r>
  <r>
    <x v="0"/>
    <x v="2"/>
    <s v="Pickup"/>
    <x v="268"/>
    <s v="MXP LEGACY_x000a_MXP 2.0_x000a_TRADE"/>
    <s v="Recepción de descuentos desde inyección V3 hacia Pickup en las tiendas"/>
    <s v="ALTA"/>
    <x v="3"/>
    <s v="Proyectos TD 2024"/>
    <x v="2"/>
    <x v="4"/>
    <x v="6"/>
    <x v="4"/>
    <x v="1"/>
    <x v="0"/>
    <m/>
    <x v="2"/>
    <m/>
    <x v="2"/>
    <n v="1"/>
    <n v="6"/>
    <n v="1"/>
    <n v="550"/>
    <m/>
    <n v="3940"/>
    <m/>
    <m/>
    <d v="2024-03-25T00:00:00"/>
    <d v="2024-04-08T00:00:00"/>
    <n v="14"/>
    <d v="2024-04-08T00:00:00"/>
    <d v="2024-04-15T00:00:00"/>
    <n v="363127"/>
    <d v="2024-04-15T00:00:00"/>
    <d v="2024-05-06T00:00:00"/>
    <d v="2024-05-01T00:00:00"/>
    <d v="2024-06-12T00:00:00"/>
    <n v="1.5"/>
    <n v="21"/>
    <m/>
    <m/>
    <s v="x"/>
  </r>
  <r>
    <x v="0"/>
    <x v="2"/>
    <s v="Pickup"/>
    <x v="268"/>
    <s v="MXP LEGACY_x000a_MXP 2.0_x000a_TRADE"/>
    <s v="Recepción de descuentos desde inyección V3 hacia Pickup en las tiendas"/>
    <s v="ALTA"/>
    <x v="3"/>
    <s v="Proyectos TD 2024"/>
    <x v="2"/>
    <x v="3"/>
    <x v="6"/>
    <x v="4"/>
    <x v="1"/>
    <x v="4"/>
    <m/>
    <x v="1"/>
    <s v="p10"/>
    <x v="2"/>
    <n v="1"/>
    <n v="4"/>
    <n v="1"/>
    <n v="550"/>
    <m/>
    <n v="2840"/>
    <m/>
    <m/>
    <d v="2024-03-11T00:00:00"/>
    <d v="2024-03-18T00:00:00"/>
    <n v="7"/>
    <d v="2024-03-18T00:00:00"/>
    <d v="2024-03-25T00:00:00"/>
    <n v="362959"/>
    <d v="2024-03-25T00:00:00"/>
    <d v="2024-04-01T00:00:00"/>
    <d v="2024-04-01T00:00:00"/>
    <d v="2024-04-29T00:00:00"/>
    <n v="1"/>
    <n v="7"/>
    <s v="PROYECTO REGIONAL"/>
    <m/>
    <s v="x"/>
  </r>
  <r>
    <x v="0"/>
    <x v="2"/>
    <s v="Pickup"/>
    <x v="268"/>
    <s v="MXP LEGACY_x000a_MXP 2.0_x000a_TRADE"/>
    <s v="Recepción de descuentos desde inyección V3 hacia Pickup en las tiendas"/>
    <s v="ALTA"/>
    <x v="3"/>
    <s v="Proyectos TD 2024"/>
    <x v="2"/>
    <x v="2"/>
    <x v="6"/>
    <x v="4"/>
    <x v="1"/>
    <x v="0"/>
    <m/>
    <x v="1"/>
    <s v="p10"/>
    <x v="2"/>
    <n v="1"/>
    <n v="4"/>
    <n v="1"/>
    <n v="550"/>
    <m/>
    <n v="2840"/>
    <m/>
    <m/>
    <d v="2024-03-04T00:00:00"/>
    <d v="2024-03-18T00:00:00"/>
    <n v="14"/>
    <d v="2024-03-18T00:00:00"/>
    <d v="2024-03-25T00:00:00"/>
    <n v="362959"/>
    <d v="2024-03-25T00:00:00"/>
    <d v="2024-04-01T00:00:00"/>
    <d v="2024-06-01T00:00:00"/>
    <d v="2024-06-29T00:00:00"/>
    <n v="1"/>
    <n v="7"/>
    <s v="PROYECTO REGIONAL"/>
    <m/>
    <s v="x"/>
  </r>
  <r>
    <x v="0"/>
    <x v="2"/>
    <s v="Pickup"/>
    <x v="268"/>
    <s v="MXP LEGACY_x000a_MXP 2.0_x000a_TRADE"/>
    <s v="Recepción de descuentos desde inyección V3 hacia Pickup en las tiendas"/>
    <s v="ALTA"/>
    <x v="3"/>
    <s v="Proyectos TD 2024"/>
    <x v="2"/>
    <x v="1"/>
    <x v="6"/>
    <x v="4"/>
    <x v="1"/>
    <x v="0"/>
    <m/>
    <x v="1"/>
    <m/>
    <x v="2"/>
    <n v="1"/>
    <n v="4"/>
    <n v="1"/>
    <n v="550"/>
    <m/>
    <n v="2840"/>
    <m/>
    <m/>
    <d v="2024-03-04T00:00:00"/>
    <d v="2024-03-18T00:00:00"/>
    <n v="14"/>
    <d v="2024-03-18T00:00:00"/>
    <d v="2024-03-25T00:00:00"/>
    <n v="362959"/>
    <d v="2024-03-25T00:00:00"/>
    <d v="2024-04-01T00:00:00"/>
    <d v="2024-04-01T00:00:00"/>
    <d v="2024-04-29T00:00:00"/>
    <n v="1"/>
    <n v="7"/>
    <m/>
    <m/>
    <s v="x"/>
  </r>
  <r>
    <x v="0"/>
    <x v="2"/>
    <s v="API Inyección v3"/>
    <x v="269"/>
    <s v="MXP LEGACY_x000a_TRADE"/>
    <m/>
    <s v="ALTA"/>
    <x v="3"/>
    <s v="Funcionalidades Regionales"/>
    <x v="1"/>
    <x v="0"/>
    <x v="6"/>
    <x v="1"/>
    <x v="1"/>
    <x v="4"/>
    <m/>
    <x v="1"/>
    <s v="p11"/>
    <x v="2"/>
    <n v="1"/>
    <n v="3"/>
    <n v="1"/>
    <n v="550"/>
    <m/>
    <n v="2290"/>
    <m/>
    <m/>
    <d v="2024-02-05T00:00:00"/>
    <d v="2024-02-05T00:00:00"/>
    <n v="0"/>
    <d v="2024-02-05T00:00:00"/>
    <d v="2024-02-19T00:00:00"/>
    <n v="362630"/>
    <d v="2024-02-19T00:00:00"/>
    <d v="2024-02-26T00:00:00"/>
    <d v="2024-04-01T00:00:00"/>
    <d v="2024-04-22T00:00:00"/>
    <n v="0.75"/>
    <n v="7"/>
    <s v="PROYECTO REGIONAL"/>
    <m/>
    <m/>
  </r>
  <r>
    <x v="0"/>
    <x v="2"/>
    <s v="API Inyección v3"/>
    <x v="269"/>
    <s v="MXP LEGACY_x000a_TRADE"/>
    <m/>
    <s v="ALTA"/>
    <x v="3"/>
    <s v="Funcionalidades Regionales"/>
    <x v="1"/>
    <x v="1"/>
    <x v="6"/>
    <x v="1"/>
    <x v="1"/>
    <x v="0"/>
    <m/>
    <x v="1"/>
    <s v="p11"/>
    <x v="2"/>
    <n v="1"/>
    <n v="3"/>
    <n v="1"/>
    <n v="550"/>
    <m/>
    <n v="2290"/>
    <m/>
    <m/>
    <d v="2024-03-04T00:00:00"/>
    <d v="2024-03-04T00:00:00"/>
    <n v="0"/>
    <d v="2024-03-04T00:00:00"/>
    <d v="2024-03-18T00:00:00"/>
    <n v="362854"/>
    <d v="2024-03-18T00:00:00"/>
    <d v="2024-03-25T00:00:00"/>
    <d v="2024-04-01T00:00:00"/>
    <d v="2024-04-22T00:00:00"/>
    <n v="0.75"/>
    <n v="7"/>
    <s v="PROYECTO REGIONAL"/>
    <m/>
    <s v="x"/>
  </r>
  <r>
    <x v="0"/>
    <x v="2"/>
    <s v="API Inyección v3"/>
    <x v="269"/>
    <s v="MXP LEGACY_x000a_TRADE"/>
    <m/>
    <s v="ALTA"/>
    <x v="3"/>
    <s v="Funcionalidades Regionales"/>
    <x v="1"/>
    <x v="2"/>
    <x v="6"/>
    <x v="1"/>
    <x v="1"/>
    <x v="0"/>
    <m/>
    <x v="1"/>
    <s v="p11"/>
    <x v="2"/>
    <n v="1"/>
    <n v="3"/>
    <n v="1"/>
    <n v="550"/>
    <m/>
    <n v="2290"/>
    <m/>
    <m/>
    <d v="2024-03-18T00:00:00"/>
    <d v="2024-03-18T00:00:00"/>
    <n v="0"/>
    <d v="2024-03-18T00:00:00"/>
    <d v="2024-03-25T00:00:00"/>
    <n v="362959"/>
    <d v="2024-03-25T00:00:00"/>
    <d v="2024-04-01T00:00:00"/>
    <d v="2024-05-01T00:00:00"/>
    <d v="2024-05-22T00:00:00"/>
    <n v="0.75"/>
    <n v="7"/>
    <s v="PROYECTO REGIONAL"/>
    <m/>
    <m/>
  </r>
  <r>
    <x v="0"/>
    <x v="5"/>
    <m/>
    <x v="270"/>
    <m/>
    <m/>
    <m/>
    <x v="0"/>
    <m/>
    <x v="2"/>
    <x v="0"/>
    <x v="13"/>
    <x v="11"/>
    <x v="0"/>
    <x v="5"/>
    <m/>
    <x v="4"/>
    <m/>
    <x v="3"/>
    <m/>
    <m/>
    <m/>
    <m/>
    <m/>
    <n v="21300"/>
    <m/>
    <m/>
    <m/>
    <m/>
    <e v="#REF!"/>
    <m/>
    <m/>
    <d v="1899-12-30T00:00:00"/>
    <m/>
    <m/>
    <m/>
    <m/>
    <n v="0"/>
    <n v="0"/>
    <m/>
    <m/>
    <m/>
  </r>
  <r>
    <x v="0"/>
    <x v="2"/>
    <s v="API Inyección v3"/>
    <x v="271"/>
    <s v="MXP LEGACY_x000a_TRADE"/>
    <s v="Compromiso Matriz Regional  (Argentina"/>
    <s v="MEDIA"/>
    <x v="3"/>
    <s v="Funcionalidades Regionales"/>
    <x v="1"/>
    <x v="2"/>
    <x v="6"/>
    <x v="1"/>
    <x v="1"/>
    <x v="0"/>
    <m/>
    <x v="1"/>
    <s v="p12"/>
    <x v="1"/>
    <n v="1"/>
    <n v="4"/>
    <n v="1"/>
    <n v="550"/>
    <m/>
    <n v="2840"/>
    <m/>
    <m/>
    <d v="2024-03-04T00:00:00"/>
    <d v="2024-03-18T00:00:00"/>
    <n v="14"/>
    <d v="2024-03-18T00:00:00"/>
    <d v="2024-03-25T00:00:00"/>
    <n v="362959"/>
    <d v="2024-03-25T00:00:00"/>
    <d v="2024-04-01T00:00:00"/>
    <d v="2024-05-01T00:00:00"/>
    <d v="2024-05-29T00:00:00"/>
    <n v="1"/>
    <n v="7"/>
    <s v="PROYECTO REGIONAL"/>
    <m/>
    <m/>
  </r>
  <r>
    <x v="0"/>
    <x v="2"/>
    <s v="API Inyección v3"/>
    <x v="272"/>
    <s v="MXP LEGACY_x000a_TRADE"/>
    <s v="Compromiso Matriz Regional  (Argentina - 2023"/>
    <s v="ALTA"/>
    <x v="3"/>
    <s v="Funcionalidades Regionales"/>
    <x v="1"/>
    <x v="2"/>
    <x v="6"/>
    <x v="1"/>
    <x v="1"/>
    <x v="0"/>
    <m/>
    <x v="2"/>
    <m/>
    <x v="2"/>
    <n v="1"/>
    <n v="6"/>
    <n v="1"/>
    <n v="550"/>
    <m/>
    <n v="3940"/>
    <m/>
    <m/>
    <d v="2024-03-18T00:00:00"/>
    <d v="2024-04-15T00:00:00"/>
    <n v="28"/>
    <d v="2024-04-15T00:00:00"/>
    <d v="2024-04-22T00:00:00"/>
    <n v="363183"/>
    <d v="2024-04-22T00:00:00"/>
    <d v="2024-04-29T00:00:00"/>
    <d v="2024-05-01T00:00:00"/>
    <d v="2024-06-12T00:00:00"/>
    <n v="1.5"/>
    <n v="7"/>
    <s v="PROYECTO REGIONAL"/>
    <m/>
    <m/>
  </r>
  <r>
    <x v="1"/>
    <x v="0"/>
    <m/>
    <x v="272"/>
    <m/>
    <s v="Herramienta para CDC que permite ver todos los pedidos de domicilio, incluye tranking y ubicación del motorizado. no supero el piloto por carga "/>
    <m/>
    <x v="2"/>
    <s v="Funcionalidades Regionales"/>
    <x v="3"/>
    <x v="3"/>
    <x v="11"/>
    <x v="8"/>
    <x v="1"/>
    <x v="4"/>
    <m/>
    <x v="1"/>
    <m/>
    <x v="2"/>
    <n v="1"/>
    <n v="4"/>
    <n v="2"/>
    <n v="625"/>
    <m/>
    <n v="5000"/>
    <m/>
    <m/>
    <d v="2023-12-17T00:00:00"/>
    <d v="2024-02-02T00:00:00"/>
    <e v="#REF!"/>
    <d v="2024-02-04T00:00:00"/>
    <d v="2024-02-09T00:00:00"/>
    <d v="2892-10-17T00:00:00"/>
    <d v="2024-02-11T00:00:00"/>
    <d v="2024-02-15T00:00:00"/>
    <m/>
    <m/>
    <n v="1"/>
    <n v="4"/>
    <m/>
    <m/>
    <m/>
  </r>
  <r>
    <x v="0"/>
    <x v="0"/>
    <m/>
    <x v="273"/>
    <s v="MXP 2.0"/>
    <s v="- Actualmente se realiza ingreso mensual en la caja  (se registra en menú llamadas)_x000a_- Dolce Incontro: no dispones de botón de pago, se utiliza salón_x000a_ - Botones de Pago Inyección (Otros Agregadores Provincias): "/>
    <m/>
    <x v="0"/>
    <s v="Celula Operaciones Maxpoint 2024"/>
    <x v="0"/>
    <x v="0"/>
    <x v="33"/>
    <x v="0"/>
    <x v="2"/>
    <x v="0"/>
    <m/>
    <x v="0"/>
    <s v="Se necesita mayor contexto del cliente"/>
    <x v="0"/>
    <n v="1"/>
    <n v="5"/>
    <n v="1"/>
    <n v="550"/>
    <m/>
    <n v="3330"/>
    <m/>
    <m/>
    <d v="2024-07-01T00:00:00"/>
    <d v="2024-08-05T00:00:00"/>
    <e v="#REF!"/>
    <d v="2024-08-06T00:00:00"/>
    <d v="2024-08-20T00:00:00"/>
    <d v="2896-11-06T00:00:00"/>
    <d v="2024-08-21T00:00:00"/>
    <d v="2024-09-04T00:00:00"/>
    <m/>
    <m/>
    <n v="1.25"/>
    <n v="14"/>
    <m/>
    <m/>
    <m/>
  </r>
  <r>
    <x v="0"/>
    <x v="1"/>
    <m/>
    <x v="274"/>
    <m/>
    <s v="Ver Anexo A4"/>
    <m/>
    <x v="0"/>
    <s v="Célula de Operaciones SIR 2024"/>
    <x v="0"/>
    <x v="0"/>
    <x v="1"/>
    <x v="0"/>
    <x v="2"/>
    <x v="0"/>
    <n v="11"/>
    <x v="0"/>
    <m/>
    <x v="2"/>
    <m/>
    <n v="8"/>
    <n v="2"/>
    <n v="450"/>
    <m/>
    <n v="7840"/>
    <m/>
    <m/>
    <d v="2024-08-12T00:00:00"/>
    <d v="2024-10-04T00:00:00"/>
    <e v="#REF!"/>
    <d v="2014-10-08T00:00:00"/>
    <d v="2024-10-22T00:00:00"/>
    <d v="2828-03-21T00:00:00"/>
    <m/>
    <m/>
    <m/>
    <m/>
    <n v="2"/>
    <n v="0"/>
    <s v="Célula Operaciones"/>
    <m/>
    <m/>
  </r>
  <r>
    <x v="0"/>
    <x v="5"/>
    <m/>
    <x v="275"/>
    <m/>
    <s v="Capacitacion Prorrateos - Automatizacion de descuentos, LA FAC QUEDA EN UNA CUENTA TRANSITORIA Y SE GENERAN LAS FACTURAS A CADA UNO DE LOS PROVEEDORES. lUEGO DESDE FIONA SE INTEGRE CON SAP Y GENERE ASIENTEO CONTABLE_x000a_uN DIA L MES 2 PAX NACIONAL"/>
    <m/>
    <x v="0"/>
    <s v="Optimización Procesos Plantas"/>
    <x v="4"/>
    <x v="0"/>
    <x v="12"/>
    <x v="9"/>
    <x v="0"/>
    <x v="0"/>
    <s v="Q2"/>
    <x v="2"/>
    <m/>
    <x v="1"/>
    <n v="1"/>
    <n v="4"/>
    <n v="1"/>
    <n v="1100"/>
    <m/>
    <n v="4400"/>
    <m/>
    <m/>
    <m/>
    <m/>
    <n v="0"/>
    <m/>
    <m/>
    <n v="0"/>
    <m/>
    <m/>
    <m/>
    <m/>
    <n v="1"/>
    <n v="0"/>
    <m/>
    <m/>
    <m/>
  </r>
  <r>
    <x v="0"/>
    <x v="3"/>
    <m/>
    <x v="276"/>
    <m/>
    <s v="Esquema de administración - kfc_x000a_Migración de bases a la nube_x000a_reingeniería funcional_x000a_"/>
    <m/>
    <x v="0"/>
    <s v="Reingeniería Payroll - Cambio a AKS"/>
    <x v="2"/>
    <x v="0"/>
    <x v="62"/>
    <x v="32"/>
    <x v="2"/>
    <x v="0"/>
    <m/>
    <x v="0"/>
    <m/>
    <x v="2"/>
    <m/>
    <n v="8"/>
    <n v="1"/>
    <n v="1000"/>
    <m/>
    <n v="8640"/>
    <m/>
    <m/>
    <m/>
    <m/>
    <e v="#REF!"/>
    <m/>
    <m/>
    <d v="1899-12-30T00:00:00"/>
    <m/>
    <m/>
    <m/>
    <m/>
    <n v="2"/>
    <n v="0"/>
    <m/>
    <m/>
    <m/>
  </r>
  <r>
    <x v="0"/>
    <x v="0"/>
    <m/>
    <x v="277"/>
    <m/>
    <s v="Nuevo Requerimiento de mejoras de rendimiento y seguridades."/>
    <m/>
    <x v="5"/>
    <s v="Mantenimiento"/>
    <x v="1"/>
    <x v="4"/>
    <x v="17"/>
    <x v="12"/>
    <x v="1"/>
    <x v="4"/>
    <m/>
    <x v="2"/>
    <s v="Depende del análisis ed Dytrace, para establecer el plan. Validar si es a nivel de server o caja."/>
    <x v="2"/>
    <n v="1"/>
    <n v="1"/>
    <n v="10"/>
    <n v="625"/>
    <m/>
    <n v="6250"/>
    <m/>
    <m/>
    <d v="2024-04-01T00:00:00"/>
    <d v="2024-05-17T00:00:00"/>
    <e v="#REF!"/>
    <d v="2024-05-20T00:00:00"/>
    <d v="2024-05-24T00:00:00"/>
    <d v="2895-02-11T00:00:00"/>
    <d v="2024-05-27T00:00:00"/>
    <d v="2024-05-31T00:00:00"/>
    <m/>
    <m/>
    <n v="0.25"/>
    <n v="4"/>
    <m/>
    <m/>
    <m/>
  </r>
  <r>
    <x v="0"/>
    <x v="0"/>
    <m/>
    <x v="277"/>
    <m/>
    <s v="Implementación de Dynatrace, analisis  de resultados y ejecución del plan de acción."/>
    <m/>
    <x v="3"/>
    <s v="Mantenimiento"/>
    <x v="1"/>
    <x v="1"/>
    <x v="7"/>
    <x v="5"/>
    <x v="1"/>
    <x v="0"/>
    <m/>
    <x v="0"/>
    <m/>
    <x v="2"/>
    <n v="1"/>
    <n v="8"/>
    <n v="1"/>
    <n v="550"/>
    <m/>
    <n v="4400"/>
    <m/>
    <m/>
    <d v="2024-07-01T00:00:00"/>
    <d v="2024-08-16T00:00:00"/>
    <e v="#REF!"/>
    <d v="2024-08-19T00:00:00"/>
    <d v="2024-08-23T00:00:00"/>
    <d v="2897-02-08T00:00:00"/>
    <d v="2024-08-26T00:00:00"/>
    <d v="2024-08-28T00:00:00"/>
    <m/>
    <m/>
    <n v="2"/>
    <n v="2"/>
    <m/>
    <m/>
    <m/>
  </r>
  <r>
    <x v="3"/>
    <x v="0"/>
    <m/>
    <x v="277"/>
    <m/>
    <s v="Implementación de Dynatrace, analisis  de resultados y ejecución del plan de acción."/>
    <m/>
    <x v="3"/>
    <s v="Mantenimiento"/>
    <x v="1"/>
    <x v="2"/>
    <x v="26"/>
    <x v="18"/>
    <x v="1"/>
    <x v="0"/>
    <m/>
    <x v="0"/>
    <m/>
    <x v="2"/>
    <n v="1"/>
    <n v="8"/>
    <n v="1"/>
    <n v="550"/>
    <m/>
    <n v="4400"/>
    <m/>
    <m/>
    <d v="2024-06-03T00:00:00"/>
    <d v="2024-07-26T00:00:00"/>
    <e v="#REF!"/>
    <d v="2024-07-29T00:00:00"/>
    <d v="2024-08-02T00:00:00"/>
    <d v="2896-08-24T00:00:00"/>
    <d v="2024-08-05T00:00:00"/>
    <d v="2024-08-09T00:00:00"/>
    <m/>
    <m/>
    <d v="1900-01-01T00:00:00"/>
    <n v="4"/>
    <m/>
    <m/>
    <m/>
  </r>
  <r>
    <x v="0"/>
    <x v="0"/>
    <m/>
    <x v="278"/>
    <m/>
    <s v="Correcciones y mejoras de estabilización del proceso de facturación counter y delivery."/>
    <m/>
    <x v="2"/>
    <s v="Mantenimiento"/>
    <x v="1"/>
    <x v="4"/>
    <x v="2"/>
    <x v="12"/>
    <x v="1"/>
    <x v="4"/>
    <m/>
    <x v="1"/>
    <m/>
    <x v="2"/>
    <n v="1"/>
    <n v="3"/>
    <n v="13"/>
    <n v="625"/>
    <m/>
    <n v="24375"/>
    <m/>
    <m/>
    <d v="2024-01-01T00:00:00"/>
    <d v="2024-03-22T00:00:00"/>
    <e v="#REF!"/>
    <d v="2024-03-25T00:00:00"/>
    <d v="2024-03-29T00:00:00"/>
    <d v="2893-11-20T00:00:00"/>
    <d v="2024-04-01T00:00:00"/>
    <d v="2024-04-12T00:00:00"/>
    <m/>
    <m/>
    <n v="0.75"/>
    <n v="11"/>
    <m/>
    <m/>
    <m/>
  </r>
  <r>
    <x v="0"/>
    <x v="0"/>
    <m/>
    <x v="279"/>
    <m/>
    <s v="Compromiso Matriz Regional  (Ecuador)"/>
    <m/>
    <x v="2"/>
    <s v="Funcionalidades País"/>
    <x v="1"/>
    <x v="0"/>
    <x v="54"/>
    <x v="1"/>
    <x v="2"/>
    <x v="4"/>
    <m/>
    <x v="2"/>
    <m/>
    <x v="0"/>
    <m/>
    <n v="8"/>
    <n v="2"/>
    <n v="550"/>
    <m/>
    <n v="9380"/>
    <m/>
    <m/>
    <d v="2024-04-01T00:00:00"/>
    <d v="2024-05-27T00:00:00"/>
    <m/>
    <d v="2024-05-28T00:00:00"/>
    <d v="2024-06-11T00:00:00"/>
    <d v="2895-04-26T00:00:00"/>
    <d v="2024-06-12T00:00:00"/>
    <d v="2024-07-10T00:00:00"/>
    <m/>
    <m/>
    <n v="2"/>
    <n v="28"/>
    <s v="PROYECTO REGIONAL"/>
    <m/>
    <m/>
  </r>
  <r>
    <x v="0"/>
    <x v="1"/>
    <m/>
    <x v="280"/>
    <m/>
    <s v="Reporte consolidado de compras, filtro por proveedor"/>
    <m/>
    <x v="0"/>
    <s v="Mejoras Contabilidad"/>
    <x v="2"/>
    <x v="0"/>
    <x v="38"/>
    <x v="9"/>
    <x v="2"/>
    <x v="0"/>
    <s v="ALTA"/>
    <x v="2"/>
    <m/>
    <x v="0"/>
    <m/>
    <n v="2"/>
    <n v="2"/>
    <n v="400"/>
    <m/>
    <n v="2240"/>
    <m/>
    <m/>
    <d v="2024-03-25T00:00:00"/>
    <d v="2024-04-05T00:00:00"/>
    <d v="2024-04-09T00:00:00"/>
    <d v="2024-04-06T00:00:00"/>
    <d v="2024-04-02T00:00:00"/>
    <d v="2894-02-16T00:00:00"/>
    <m/>
    <m/>
    <m/>
    <m/>
    <n v="0.5"/>
    <n v="0"/>
    <m/>
    <m/>
    <m/>
  </r>
  <r>
    <x v="0"/>
    <x v="1"/>
    <m/>
    <x v="281"/>
    <m/>
    <s v="Ver Anexo A4"/>
    <m/>
    <x v="0"/>
    <s v="Célula de Operaciones SIR 2024"/>
    <x v="0"/>
    <x v="0"/>
    <x v="1"/>
    <x v="0"/>
    <x v="2"/>
    <x v="0"/>
    <n v="24"/>
    <x v="2"/>
    <m/>
    <x v="1"/>
    <m/>
    <n v="4"/>
    <n v="2"/>
    <n v="400"/>
    <m/>
    <n v="3840"/>
    <m/>
    <m/>
    <d v="2024-04-01T00:00:00"/>
    <d v="2024-04-26T00:00:00"/>
    <e v="#REF!"/>
    <d v="2024-04-30T00:00:00"/>
    <d v="2024-05-07T00:00:00"/>
    <d v="2894-09-07T00:00:00"/>
    <m/>
    <m/>
    <m/>
    <m/>
    <n v="1"/>
    <n v="0"/>
    <m/>
    <m/>
    <m/>
  </r>
  <r>
    <x v="0"/>
    <x v="5"/>
    <m/>
    <x v="282"/>
    <m/>
    <s v="Tesorería, vinculo con SAP, con corte a la fecha ( en línea)"/>
    <m/>
    <x v="0"/>
    <s v="Desarrollo Reporte Deuda"/>
    <x v="2"/>
    <x v="0"/>
    <x v="19"/>
    <x v="14"/>
    <x v="2"/>
    <x v="0"/>
    <s v="Q2"/>
    <x v="2"/>
    <m/>
    <x v="1"/>
    <n v="1"/>
    <n v="4"/>
    <n v="1"/>
    <n v="1600"/>
    <m/>
    <n v="7040"/>
    <m/>
    <m/>
    <d v="2024-03-07T00:00:00"/>
    <d v="2024-05-07T00:00:00"/>
    <n v="61"/>
    <d v="2024-05-07T00:00:00"/>
    <d v="2024-05-14T00:00:00"/>
    <n v="7"/>
    <d v="2024-05-14T00:00:00"/>
    <d v="2024-05-21T00:00:00"/>
    <m/>
    <m/>
    <n v="1"/>
    <n v="7"/>
    <m/>
    <m/>
    <m/>
  </r>
  <r>
    <x v="0"/>
    <x v="0"/>
    <m/>
    <x v="283"/>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x v="2"/>
    <s v="Mejoras Maxpoint Auditoría 2024"/>
    <x v="2"/>
    <x v="0"/>
    <x v="3"/>
    <x v="2"/>
    <x v="2"/>
    <x v="0"/>
    <n v="1"/>
    <x v="1"/>
    <s v="Socializar con auditoría que este proceso ya se encuentra implementado"/>
    <x v="0"/>
    <n v="1"/>
    <n v="4"/>
    <n v="1"/>
    <n v="550"/>
    <m/>
    <n v="2780"/>
    <m/>
    <m/>
    <d v="2024-03-25T00:00:00"/>
    <d v="2024-04-22T00:00:00"/>
    <d v="1900-01-27T00:00:00"/>
    <d v="2024-04-23T00:00:00"/>
    <d v="2024-05-07T00:00:00"/>
    <d v="2894-07-20T00:00:00"/>
    <d v="2024-05-08T00:00:00"/>
    <d v="2024-05-22T00:00:00"/>
    <m/>
    <m/>
    <n v="1"/>
    <n v="14"/>
    <m/>
    <m/>
    <m/>
  </r>
  <r>
    <x v="0"/>
    <x v="0"/>
    <m/>
    <x v="284"/>
    <m/>
    <s v="control de retiros solicitados con distintas formas de pago desde delivery."/>
    <m/>
    <x v="2"/>
    <s v="Funcionalidades Locales"/>
    <x v="3"/>
    <x v="1"/>
    <x v="7"/>
    <x v="5"/>
    <x v="1"/>
    <x v="0"/>
    <m/>
    <x v="2"/>
    <s v="Se ejecutaría si el retiro de motorizados regional no cumple con la operación multimoneda de Venezuela"/>
    <x v="1"/>
    <n v="1"/>
    <n v="4"/>
    <n v="2"/>
    <n v="550"/>
    <m/>
    <n v="4400"/>
    <m/>
    <m/>
    <m/>
    <m/>
    <e v="#REF!"/>
    <d v="2024-05-06T00:00:00"/>
    <d v="2024-05-24T00:00:00"/>
    <n v="363362"/>
    <d v="2024-05-27T00:00:00"/>
    <d v="2024-05-29T00:00:00"/>
    <m/>
    <m/>
    <d v="1899-12-31T00:00:00"/>
    <n v="2"/>
    <m/>
    <m/>
    <m/>
  </r>
  <r>
    <x v="0"/>
    <x v="5"/>
    <m/>
    <x v="285"/>
    <m/>
    <s v="Cierre Automatico de ordenes de venta no tratadas en 48 horas _x000a_Se crean pedidos y no se tratan toca obtener un reporte y eliminar los mismos_x000a_JOB automatico"/>
    <m/>
    <x v="0"/>
    <s v="Optimización Procesos Plantas"/>
    <x v="4"/>
    <x v="0"/>
    <x v="12"/>
    <x v="9"/>
    <x v="2"/>
    <x v="0"/>
    <s v="Q2"/>
    <x v="2"/>
    <m/>
    <x v="1"/>
    <n v="1"/>
    <n v="1"/>
    <n v="1"/>
    <n v="1100"/>
    <m/>
    <n v="1100"/>
    <m/>
    <m/>
    <m/>
    <m/>
    <n v="0"/>
    <m/>
    <m/>
    <n v="0"/>
    <m/>
    <m/>
    <m/>
    <m/>
    <d v="1899-12-30T06:00:00"/>
    <n v="0"/>
    <m/>
    <m/>
    <m/>
  </r>
  <r>
    <x v="0"/>
    <x v="5"/>
    <m/>
    <x v="286"/>
    <m/>
    <s v="Implementar SAP Logistica Chile"/>
    <m/>
    <x v="2"/>
    <s v="Funcionalidades Locales"/>
    <x v="3"/>
    <x v="4"/>
    <x v="63"/>
    <x v="12"/>
    <x v="1"/>
    <x v="0"/>
    <s v="Q4"/>
    <x v="3"/>
    <m/>
    <x v="2"/>
    <n v="1"/>
    <m/>
    <m/>
    <m/>
    <m/>
    <n v="0"/>
    <m/>
    <m/>
    <d v="2024-09-07T00:00:00"/>
    <d v="2025-02-28T00:00:00"/>
    <n v="174"/>
    <d v="2025-03-01T00:00:00"/>
    <d v="2025-03-31T00:00:00"/>
    <n v="30"/>
    <d v="2025-03-01T00:00:00"/>
    <d v="2025-03-31T00:00:00"/>
    <m/>
    <m/>
    <n v="0"/>
    <n v="30"/>
    <m/>
    <m/>
    <m/>
  </r>
  <r>
    <x v="0"/>
    <x v="5"/>
    <m/>
    <x v="287"/>
    <m/>
    <s v="Implementar SAP en Venezuela"/>
    <m/>
    <x v="2"/>
    <s v="Funcionalidades Locales"/>
    <x v="3"/>
    <x v="1"/>
    <x v="64"/>
    <x v="5"/>
    <x v="1"/>
    <x v="0"/>
    <s v="Q2"/>
    <x v="2"/>
    <m/>
    <x v="2"/>
    <n v="1"/>
    <m/>
    <m/>
    <m/>
    <m/>
    <n v="0"/>
    <m/>
    <m/>
    <d v="2024-03-07T00:00:00"/>
    <d v="2024-06-28T00:00:00"/>
    <n v="113"/>
    <d v="2024-07-01T00:00:00"/>
    <d v="2024-07-31T00:00:00"/>
    <n v="30"/>
    <d v="2024-07-01T00:00:00"/>
    <d v="2024-07-31T00:00:00"/>
    <m/>
    <m/>
    <d v="1899-12-30T00:00:00"/>
    <n v="30"/>
    <m/>
    <m/>
    <m/>
  </r>
  <r>
    <x v="0"/>
    <x v="5"/>
    <m/>
    <x v="288"/>
    <m/>
    <s v="Analizar solución con RPA"/>
    <m/>
    <x v="0"/>
    <s v="Consolidacion prestamos intercompany"/>
    <x v="2"/>
    <x v="0"/>
    <x v="19"/>
    <x v="14"/>
    <x v="2"/>
    <x v="0"/>
    <s v="Q2"/>
    <x v="2"/>
    <m/>
    <x v="2"/>
    <n v="1"/>
    <n v="4"/>
    <n v="1"/>
    <n v="1600"/>
    <m/>
    <n v="7040"/>
    <m/>
    <m/>
    <d v="2024-04-07T00:00:00"/>
    <d v="2024-05-07T00:00:00"/>
    <n v="30"/>
    <d v="2024-05-07T00:00:00"/>
    <d v="2024-05-07T00:00:00"/>
    <n v="0"/>
    <d v="2024-05-07T00:00:00"/>
    <d v="2024-05-21T00:00:00"/>
    <m/>
    <m/>
    <n v="1"/>
    <n v="14"/>
    <m/>
    <m/>
    <m/>
  </r>
  <r>
    <x v="0"/>
    <x v="5"/>
    <m/>
    <x v="289"/>
    <m/>
    <s v="CONTAR CON UN PLAN DE RECUPERACION ANTE DESASTERES Y PLAN DE CONTINUIDAD DE NEGOCIO "/>
    <m/>
    <x v="0"/>
    <s v="Implementar DRP / BCP SAP Países"/>
    <x v="1"/>
    <x v="0"/>
    <x v="25"/>
    <x v="1"/>
    <x v="2"/>
    <x v="4"/>
    <s v="Q2"/>
    <x v="0"/>
    <m/>
    <x v="2"/>
    <n v="0.8"/>
    <n v="12"/>
    <n v="10"/>
    <n v="1221"/>
    <m/>
    <n v="117216"/>
    <n v="108310.40000000001"/>
    <m/>
    <d v="2024-02-21T00:00:00"/>
    <d v="2024-05-21T00:00:00"/>
    <n v="90"/>
    <d v="2024-03-21T00:00:00"/>
    <d v="2024-03-28T00:00:00"/>
    <n v="7"/>
    <d v="2024-03-21T00:00:00"/>
    <d v="2024-03-28T00:00:00"/>
    <m/>
    <m/>
    <n v="3"/>
    <n v="7"/>
    <s v="PROYECTO REGIONAL"/>
    <m/>
    <m/>
  </r>
  <r>
    <x v="0"/>
    <x v="5"/>
    <m/>
    <x v="289"/>
    <m/>
    <s v="CONTAR CON UN PLAN DE RECUPERACION ANTE DESASTERES Y PLAN DE CONTINUIDAD DE NEGOCIO "/>
    <m/>
    <x v="3"/>
    <s v="Implementar DRP / BCP SAP Países"/>
    <x v="3"/>
    <x v="4"/>
    <x v="25"/>
    <x v="12"/>
    <x v="1"/>
    <x v="4"/>
    <s v="Q1"/>
    <x v="0"/>
    <m/>
    <x v="2"/>
    <n v="0.05"/>
    <n v="12"/>
    <n v="10"/>
    <n v="1221"/>
    <m/>
    <n v="7326"/>
    <n v="6769.4000000000005"/>
    <m/>
    <d v="2024-02-21T00:00:00"/>
    <d v="2024-05-21T00:00:00"/>
    <n v="90"/>
    <d v="2024-03-21T00:00:00"/>
    <d v="2024-03-28T00:00:00"/>
    <n v="7"/>
    <d v="2024-03-21T00:00:00"/>
    <d v="2024-03-28T00:00:00"/>
    <m/>
    <m/>
    <n v="3"/>
    <n v="7"/>
    <s v="PROYECTO REGIONAL"/>
    <m/>
    <m/>
  </r>
  <r>
    <x v="0"/>
    <x v="5"/>
    <m/>
    <x v="289"/>
    <m/>
    <s v="CONTAR CON UN PLAN DE RECUPERACION ANTE DESASTERES Y PLAN DE CONTINUIDAD DE NEGOCIO "/>
    <m/>
    <x v="3"/>
    <s v="Implementar DRP / BCP SAP Países"/>
    <x v="3"/>
    <x v="3"/>
    <x v="25"/>
    <x v="8"/>
    <x v="1"/>
    <x v="4"/>
    <s v="Q1"/>
    <x v="0"/>
    <m/>
    <x v="2"/>
    <n v="0.15"/>
    <n v="12"/>
    <n v="10"/>
    <n v="1221"/>
    <m/>
    <n v="21978"/>
    <n v="20308.2"/>
    <m/>
    <d v="2024-02-21T00:00:00"/>
    <d v="2024-05-21T00:00:00"/>
    <n v="90"/>
    <d v="2024-03-21T00:00:00"/>
    <d v="2024-03-28T00:00:00"/>
    <n v="7"/>
    <d v="2024-03-21T00:00:00"/>
    <d v="2024-03-28T00:00:00"/>
    <m/>
    <m/>
    <n v="3"/>
    <n v="7"/>
    <s v="PROYECTO REGIONAL"/>
    <m/>
    <m/>
  </r>
  <r>
    <x v="0"/>
    <x v="5"/>
    <m/>
    <x v="290"/>
    <m/>
    <s v="PAM Basis"/>
    <m/>
    <x v="0"/>
    <s v="SAP(Licencias, Servicios Externos)"/>
    <x v="1"/>
    <x v="0"/>
    <x v="58"/>
    <x v="1"/>
    <x v="1"/>
    <x v="0"/>
    <s v="Q3"/>
    <x v="0"/>
    <m/>
    <x v="2"/>
    <n v="0.8"/>
    <n v="3"/>
    <n v="24"/>
    <n v="500"/>
    <m/>
    <n v="289120"/>
    <m/>
    <m/>
    <d v="2024-02-28T00:00:00"/>
    <d v="2024-08-28T00:00:00"/>
    <n v="182"/>
    <m/>
    <m/>
    <n v="0"/>
    <m/>
    <m/>
    <m/>
    <m/>
    <n v="0.75"/>
    <n v="0"/>
    <s v="PROYECTO REGIONAL"/>
    <m/>
    <m/>
  </r>
  <r>
    <x v="0"/>
    <x v="5"/>
    <m/>
    <x v="290"/>
    <m/>
    <s v="PAM Basis"/>
    <m/>
    <x v="3"/>
    <s v="SAP(Licencias, Servicios Externos)"/>
    <x v="1"/>
    <x v="3"/>
    <x v="58"/>
    <x v="8"/>
    <x v="1"/>
    <x v="0"/>
    <s v="Q3"/>
    <x v="0"/>
    <m/>
    <x v="2"/>
    <n v="0.15"/>
    <n v="3"/>
    <n v="24"/>
    <n v="500"/>
    <m/>
    <n v="22692"/>
    <m/>
    <m/>
    <d v="2024-02-28T00:00:00"/>
    <d v="2024-08-28T00:00:00"/>
    <n v="182"/>
    <m/>
    <m/>
    <n v="0"/>
    <m/>
    <m/>
    <m/>
    <m/>
    <n v="0.75"/>
    <n v="0"/>
    <s v="PROYECTO REGIONAL"/>
    <m/>
    <m/>
  </r>
  <r>
    <x v="0"/>
    <x v="5"/>
    <m/>
    <x v="290"/>
    <m/>
    <s v="PAM Basis"/>
    <m/>
    <x v="3"/>
    <s v="SAP(Licencias, Servicios Externos)"/>
    <x v="1"/>
    <x v="4"/>
    <x v="58"/>
    <x v="12"/>
    <x v="1"/>
    <x v="0"/>
    <s v="Q2"/>
    <x v="0"/>
    <m/>
    <x v="2"/>
    <n v="0.05"/>
    <n v="3"/>
    <n v="24"/>
    <n v="500"/>
    <m/>
    <n v="25219"/>
    <m/>
    <m/>
    <d v="2024-02-28T00:00:00"/>
    <d v="2024-08-28T00:00:00"/>
    <n v="182"/>
    <m/>
    <m/>
    <n v="0"/>
    <m/>
    <m/>
    <m/>
    <m/>
    <n v="0.75"/>
    <n v="0"/>
    <s v="PROYECTO REGIONAL"/>
    <m/>
    <m/>
  </r>
  <r>
    <x v="0"/>
    <x v="5"/>
    <m/>
    <x v="291"/>
    <m/>
    <m/>
    <m/>
    <x v="0"/>
    <m/>
    <x v="2"/>
    <x v="0"/>
    <x v="13"/>
    <x v="11"/>
    <x v="0"/>
    <x v="5"/>
    <m/>
    <x v="4"/>
    <m/>
    <x v="3"/>
    <m/>
    <m/>
    <m/>
    <m/>
    <m/>
    <n v="3300"/>
    <m/>
    <m/>
    <m/>
    <m/>
    <e v="#REF!"/>
    <m/>
    <m/>
    <d v="1899-12-30T00:00:00"/>
    <m/>
    <m/>
    <m/>
    <m/>
    <n v="0"/>
    <n v="0"/>
    <m/>
    <m/>
    <m/>
  </r>
  <r>
    <x v="1"/>
    <x v="1"/>
    <m/>
    <x v="292"/>
    <m/>
    <m/>
    <m/>
    <x v="0"/>
    <s v="Otros - Presupuesto 2023"/>
    <x v="2"/>
    <x v="0"/>
    <x v="13"/>
    <x v="9"/>
    <x v="1"/>
    <x v="1"/>
    <m/>
    <x v="1"/>
    <m/>
    <x v="2"/>
    <m/>
    <n v="1"/>
    <n v="4"/>
    <n v="550"/>
    <m/>
    <n v="2200"/>
    <m/>
    <m/>
    <d v="2024-01-15T00:00:00"/>
    <d v="2024-01-26T00:00:00"/>
    <e v="#REF!"/>
    <d v="2024-03-01T00:00:00"/>
    <d v="2024-03-08T00:00:00"/>
    <d v="2893-05-15T00:00:00"/>
    <m/>
    <m/>
    <m/>
    <m/>
    <n v="0.25"/>
    <n v="0"/>
    <m/>
    <m/>
    <m/>
  </r>
  <r>
    <x v="0"/>
    <x v="3"/>
    <m/>
    <x v="293"/>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x v="0"/>
    <s v="Aprobación orden de compra - Mercadeo"/>
    <x v="2"/>
    <x v="0"/>
    <x v="65"/>
    <x v="19"/>
    <x v="2"/>
    <x v="0"/>
    <s v="Q2"/>
    <x v="3"/>
    <m/>
    <x v="2"/>
    <n v="1"/>
    <n v="5"/>
    <n v="1"/>
    <n v="550"/>
    <m/>
    <n v="3950"/>
    <m/>
    <m/>
    <d v="2024-10-01T00:00:00"/>
    <d v="2025-10-07T00:00:00"/>
    <d v="2024-11-01T00:00:00"/>
    <d v="2025-10-07T00:00:00"/>
    <d v="2024-10-14T00:00:00"/>
    <d v="2024-11-07T00:00:00"/>
    <d v="2024-10-21T00:00:00"/>
    <d v="2024-04-21T00:00:00"/>
    <m/>
    <m/>
    <n v="1.25"/>
    <n v="-183"/>
    <m/>
    <m/>
    <m/>
  </r>
  <r>
    <x v="0"/>
    <x v="3"/>
    <m/>
    <x v="294"/>
    <m/>
    <s v="Nuevo Requerimiento"/>
    <m/>
    <x v="2"/>
    <s v="Funcionalidades Locales"/>
    <x v="3"/>
    <x v="4"/>
    <x v="17"/>
    <x v="12"/>
    <x v="1"/>
    <x v="2"/>
    <s v="Q1"/>
    <x v="1"/>
    <s v="N/A"/>
    <x v="0"/>
    <m/>
    <n v="10"/>
    <n v="1"/>
    <n v="550"/>
    <m/>
    <n v="5500"/>
    <m/>
    <m/>
    <d v="2024-01-14T00:00:00"/>
    <d v="2024-03-14T00:00:00"/>
    <e v="#REF!"/>
    <d v="2024-03-14T00:00:00"/>
    <d v="2024-03-28T00:00:00"/>
    <d v="2893-09-03T00:00:00"/>
    <d v="2024-03-28T00:00:00"/>
    <d v="2024-04-07T00:00:00"/>
    <m/>
    <m/>
    <n v="2.5"/>
    <n v="10"/>
    <m/>
    <m/>
    <m/>
  </r>
  <r>
    <x v="0"/>
    <x v="3"/>
    <m/>
    <x v="295"/>
    <m/>
    <s v="Lo estaba proponiendo Davis N fase 1 (Regional) más ajustes a EC"/>
    <m/>
    <x v="0"/>
    <s v="Aprobación orden de compra - CAR"/>
    <x v="2"/>
    <x v="0"/>
    <x v="13"/>
    <x v="11"/>
    <x v="2"/>
    <x v="0"/>
    <s v="Q2"/>
    <x v="2"/>
    <m/>
    <x v="1"/>
    <m/>
    <n v="10"/>
    <n v="1"/>
    <n v="550"/>
    <m/>
    <n v="5500"/>
    <m/>
    <m/>
    <m/>
    <m/>
    <e v="#REF!"/>
    <m/>
    <m/>
    <d v="1899-12-30T00:00:00"/>
    <m/>
    <m/>
    <m/>
    <m/>
    <n v="2.5"/>
    <n v="0"/>
    <m/>
    <m/>
    <m/>
  </r>
  <r>
    <x v="0"/>
    <x v="3"/>
    <m/>
    <x v="296"/>
    <m/>
    <s v="Creación de OCs a SAP de Materiales"/>
    <m/>
    <x v="0"/>
    <s v="Aprobación orden de compra - Planta"/>
    <x v="4"/>
    <x v="0"/>
    <x v="12"/>
    <x v="11"/>
    <x v="2"/>
    <x v="0"/>
    <m/>
    <x v="3"/>
    <m/>
    <x v="2"/>
    <m/>
    <n v="7"/>
    <n v="1"/>
    <n v="550"/>
    <m/>
    <n v="5850"/>
    <m/>
    <m/>
    <m/>
    <m/>
    <e v="#REF!"/>
    <m/>
    <m/>
    <d v="1899-12-30T00:00:00"/>
    <m/>
    <m/>
    <m/>
    <m/>
    <n v="1.75"/>
    <n v="0"/>
    <m/>
    <m/>
    <m/>
  </r>
  <r>
    <x v="0"/>
    <x v="3"/>
    <m/>
    <x v="297"/>
    <m/>
    <s v="Conciliacion de depositos de Tiendas vs lo Reflejado en Bancos"/>
    <m/>
    <x v="2"/>
    <s v="Funcionalidades Locales"/>
    <x v="3"/>
    <x v="4"/>
    <x v="17"/>
    <x v="12"/>
    <x v="1"/>
    <x v="0"/>
    <s v="Q2"/>
    <x v="2"/>
    <s v="N/A"/>
    <x v="1"/>
    <m/>
    <n v="12"/>
    <n v="1"/>
    <n v="550"/>
    <m/>
    <n v="7240"/>
    <m/>
    <m/>
    <d v="2024-07-01T00:00:00"/>
    <d v="2024-08-31T00:00:00"/>
    <e v="#REF!"/>
    <d v="2024-08-31T00:00:00"/>
    <d v="2024-09-07T00:00:00"/>
    <d v="2897-05-18T00:00:00"/>
    <d v="2024-09-07T00:00:00"/>
    <d v="2024-09-14T00:00:00"/>
    <m/>
    <m/>
    <n v="3"/>
    <n v="7"/>
    <m/>
    <m/>
    <m/>
  </r>
  <r>
    <x v="0"/>
    <x v="3"/>
    <m/>
    <x v="298"/>
    <m/>
    <s v="Consumo al Servicio de ACEPTA para Sacar las Facturas y hacer la comparación contra la data de Venta de MXP o BI Se necesita apoyo de ERP para incluir Bots y jalar la data de ACEPTA"/>
    <m/>
    <x v="2"/>
    <s v="Funcionalidades Locales"/>
    <x v="3"/>
    <x v="4"/>
    <x v="17"/>
    <x v="12"/>
    <x v="1"/>
    <x v="0"/>
    <s v="Q4"/>
    <x v="0"/>
    <s v="Sistema de Conciliaciones"/>
    <x v="1"/>
    <m/>
    <n v="12"/>
    <n v="1"/>
    <n v="550"/>
    <m/>
    <n v="7240"/>
    <m/>
    <m/>
    <d v="2024-08-01T00:00:00"/>
    <d v="2024-10-14T00:00:00"/>
    <d v="2024-10-14T00:00:00"/>
    <d v="2024-10-21T00:00:00"/>
    <d v="2024-10-21T00:00:00"/>
    <d v="2024-11-01T00:00:00"/>
    <d v="2024-10-21T00:00:00"/>
    <d v="2024-11-01T00:00:00"/>
    <m/>
    <m/>
    <n v="3"/>
    <n v="11"/>
    <m/>
    <m/>
    <m/>
  </r>
  <r>
    <x v="0"/>
    <x v="3"/>
    <m/>
    <x v="299"/>
    <m/>
    <s v="Transbank es el banco de Tarjetas: Hassar Intermediario de Switch Transaccional de Chile contra SIR y BI"/>
    <m/>
    <x v="2"/>
    <s v="Funcionalidades Locales"/>
    <x v="3"/>
    <x v="4"/>
    <x v="17"/>
    <x v="12"/>
    <x v="1"/>
    <x v="0"/>
    <s v="Q3"/>
    <x v="0"/>
    <s v="Sistema de Conciliaciones"/>
    <x v="2"/>
    <m/>
    <n v="12"/>
    <n v="1"/>
    <n v="550"/>
    <m/>
    <n v="7240"/>
    <m/>
    <m/>
    <d v="2024-08-01T00:00:00"/>
    <d v="2024-10-14T00:00:00"/>
    <e v="#REF!"/>
    <d v="2024-10-14T00:00:00"/>
    <d v="2024-10-21T00:00:00"/>
    <d v="2898-05-05T00:00:00"/>
    <d v="2024-10-21T00:00:00"/>
    <d v="2024-11-01T00:00:00"/>
    <m/>
    <m/>
    <n v="3"/>
    <n v="11"/>
    <m/>
    <m/>
    <m/>
  </r>
  <r>
    <x v="0"/>
    <x v="1"/>
    <m/>
    <x v="300"/>
    <m/>
    <m/>
    <m/>
    <x v="0"/>
    <s v="Mantenimiento"/>
    <x v="1"/>
    <x v="0"/>
    <x v="2"/>
    <x v="1"/>
    <x v="1"/>
    <x v="0"/>
    <m/>
    <x v="2"/>
    <m/>
    <x v="0"/>
    <m/>
    <n v="2"/>
    <n v="2"/>
    <n v="400"/>
    <m/>
    <n v="2240"/>
    <m/>
    <m/>
    <d v="2024-03-25T00:00:00"/>
    <d v="2024-04-05T00:00:00"/>
    <e v="#REF!"/>
    <d v="2024-04-09T00:00:00"/>
    <d v="2024-04-16T00:00:00"/>
    <d v="2894-03-23T00:00:00"/>
    <m/>
    <m/>
    <m/>
    <m/>
    <n v="0.5"/>
    <n v="0"/>
    <m/>
    <m/>
    <m/>
  </r>
  <r>
    <x v="0"/>
    <x v="2"/>
    <s v="Appedir"/>
    <x v="301"/>
    <s v="MAX LEGACY_x000a_TRADE"/>
    <s v="Appedir Integración Paymentez Visa y Mastercard Appedir; Kushki Diners y Discover Appedir"/>
    <s v="ALTA"/>
    <x v="0"/>
    <s v="Proyectos TD 2024"/>
    <x v="2"/>
    <x v="0"/>
    <x v="10"/>
    <x v="4"/>
    <x v="1"/>
    <x v="0"/>
    <s v="Q1"/>
    <x v="1"/>
    <s v="p18"/>
    <x v="1"/>
    <m/>
    <n v="4"/>
    <n v="1"/>
    <n v="550"/>
    <m/>
    <n v="2200"/>
    <m/>
    <m/>
    <d v="2024-02-23T00:00:00"/>
    <d v="2024-03-01T00:00:00"/>
    <n v="7"/>
    <d v="2024-03-01T00:00:00"/>
    <d v="2024-03-08T00:00:00"/>
    <n v="362823"/>
    <d v="2024-03-08T00:00:00"/>
    <d v="2024-03-08T00:00:00"/>
    <d v="2024-05-01T00:00:00"/>
    <d v="2024-05-29T00:00:00"/>
    <n v="1"/>
    <n v="0"/>
    <s v="ECOMERCE"/>
    <m/>
    <s v="x"/>
  </r>
  <r>
    <x v="0"/>
    <x v="2"/>
    <s v="APP"/>
    <x v="302"/>
    <s v="MXP LEGACY_x000a_TRADE"/>
    <s v="Aplica para KFC Ecuador"/>
    <s v="BAJA"/>
    <x v="2"/>
    <s v="Funcionalidades Locales"/>
    <x v="0"/>
    <x v="0"/>
    <x v="56"/>
    <x v="25"/>
    <x v="1"/>
    <x v="0"/>
    <m/>
    <x v="0"/>
    <s v="p57"/>
    <x v="2"/>
    <m/>
    <n v="6"/>
    <n v="1"/>
    <n v="550"/>
    <m/>
    <n v="3940"/>
    <m/>
    <m/>
    <d v="2024-09-02T00:00:00"/>
    <d v="2024-09-16T00:00:00"/>
    <n v="14"/>
    <d v="2024-09-16T00:00:00"/>
    <d v="2024-09-23T00:00:00"/>
    <n v="364415"/>
    <d v="2024-09-23T00:00:00"/>
    <d v="2024-09-30T00:00:00"/>
    <d v="2024-09-01T00:00:00"/>
    <d v="2024-10-13T00:00:00"/>
    <n v="1.5"/>
    <n v="7"/>
    <m/>
    <m/>
    <m/>
  </r>
  <r>
    <x v="0"/>
    <x v="5"/>
    <m/>
    <x v="303"/>
    <m/>
    <s v="Extracción de información desde SAP con THEOBALD"/>
    <m/>
    <x v="0"/>
    <s v="Optimizar envío de data a Blob Storage"/>
    <x v="2"/>
    <x v="0"/>
    <x v="31"/>
    <x v="4"/>
    <x v="2"/>
    <x v="0"/>
    <s v="Q2"/>
    <x v="0"/>
    <m/>
    <x v="1"/>
    <m/>
    <m/>
    <n v="4"/>
    <m/>
    <m/>
    <n v="38400"/>
    <n v="15400"/>
    <m/>
    <d v="2024-02-07T00:00:00"/>
    <d v="2024-03-28T00:00:00"/>
    <n v="50"/>
    <d v="2024-03-28T00:00:00"/>
    <d v="2024-03-28T00:00:00"/>
    <n v="0"/>
    <m/>
    <m/>
    <m/>
    <m/>
    <n v="0"/>
    <n v="0"/>
    <s v="BI"/>
    <m/>
    <m/>
  </r>
  <r>
    <x v="0"/>
    <x v="2"/>
    <s v="API Inyección v3"/>
    <x v="304"/>
    <s v="MXP LEGACY_x000a_TRADE"/>
    <s v="Tiempos de Cambios de estado en todos los canales Maxpoint - TRansformación Digital"/>
    <s v="BAJA"/>
    <x v="3"/>
    <s v="Funcionalidades Regionales"/>
    <x v="2"/>
    <x v="0"/>
    <x v="31"/>
    <x v="4"/>
    <x v="1"/>
    <x v="0"/>
    <m/>
    <x v="3"/>
    <m/>
    <x v="3"/>
    <m/>
    <n v="8"/>
    <n v="1"/>
    <n v="550"/>
    <m/>
    <n v="5040"/>
    <m/>
    <m/>
    <d v="2024-10-07T00:00:00"/>
    <d v="2024-11-11T00:00:00"/>
    <n v="35"/>
    <d v="2024-11-11T00:00:00"/>
    <d v="2024-11-25T00:00:00"/>
    <n v="364870"/>
    <d v="2024-11-25T00:00:00"/>
    <d v="2024-12-02T00:00:00"/>
    <d v="2024-10-01T00:00:00"/>
    <d v="2024-11-26T00:00:00"/>
    <n v="2"/>
    <n v="7"/>
    <s v="BI"/>
    <m/>
    <m/>
  </r>
  <r>
    <x v="0"/>
    <x v="0"/>
    <m/>
    <x v="305"/>
    <m/>
    <s v="Validación para el descuentos por colaborador, se valida con el serviciowebsir. (validar el total por mes)"/>
    <m/>
    <x v="2"/>
    <s v="Funcionalidades Regionales"/>
    <x v="3"/>
    <x v="4"/>
    <x v="17"/>
    <x v="12"/>
    <x v="1"/>
    <x v="0"/>
    <m/>
    <x v="0"/>
    <s v="Dependencia campo en SIR de validación, enpoints consulta y actualización._x000a_Confirmar anulación?"/>
    <x v="1"/>
    <n v="1"/>
    <n v="3"/>
    <n v="1"/>
    <n v="625"/>
    <m/>
    <n v="1875"/>
    <m/>
    <m/>
    <d v="2024-07-01T00:00:00"/>
    <d v="2024-07-12T00:00:00"/>
    <e v="#REF!"/>
    <d v="2024-07-15T00:00:00"/>
    <d v="2024-07-19T00:00:00"/>
    <d v="2896-05-04T00:00:00"/>
    <d v="2024-07-22T00:00:00"/>
    <d v="2024-07-26T00:00:00"/>
    <m/>
    <m/>
    <n v="0.75"/>
    <n v="4"/>
    <m/>
    <m/>
    <m/>
  </r>
  <r>
    <x v="0"/>
    <x v="2"/>
    <s v="Cupones"/>
    <x v="306"/>
    <s v="MXP LEGACY_x000a_TRADE"/>
    <s v="Mejorar la densidad de todos los códigos QR"/>
    <s v="BAJA"/>
    <x v="0"/>
    <s v="Proyectos TD 2024"/>
    <x v="2"/>
    <x v="0"/>
    <x v="10"/>
    <x v="4"/>
    <x v="1"/>
    <x v="0"/>
    <e v="#N/A"/>
    <x v="3"/>
    <s v="p75"/>
    <x v="1"/>
    <n v="1"/>
    <n v="6"/>
    <n v="1"/>
    <n v="550"/>
    <m/>
    <n v="3940"/>
    <m/>
    <m/>
    <d v="2024-03-04T00:00:00"/>
    <d v="2024-04-01T00:00:00"/>
    <n v="28"/>
    <d v="2024-04-01T00:00:00"/>
    <d v="2024-04-08T00:00:00"/>
    <n v="363071"/>
    <d v="2024-04-08T00:00:00"/>
    <d v="2024-04-15T00:00:00"/>
    <d v="2024-04-08T00:00:00"/>
    <d v="2024-05-20T00:00:00"/>
    <n v="1.5"/>
    <n v="7"/>
    <s v="PROYECTO REGIONAL"/>
    <m/>
    <s v="x"/>
  </r>
  <r>
    <x v="0"/>
    <x v="2"/>
    <s v="Cupones"/>
    <x v="306"/>
    <s v="MXP LEGACY_x000a_TRADE"/>
    <s v="Mejorar la densidad de todos los códigos QR"/>
    <s v="BAJA"/>
    <x v="3"/>
    <s v="Proyectos TD 2024"/>
    <x v="2"/>
    <x v="2"/>
    <x v="10"/>
    <x v="4"/>
    <x v="1"/>
    <x v="0"/>
    <e v="#N/A"/>
    <x v="3"/>
    <s v="p75"/>
    <x v="1"/>
    <n v="1"/>
    <n v="6"/>
    <n v="1"/>
    <n v="550"/>
    <m/>
    <n v="3940"/>
    <m/>
    <m/>
    <d v="2024-04-08T00:00:00"/>
    <d v="2024-04-15T00:00:00"/>
    <n v="7"/>
    <d v="2024-04-15T00:00:00"/>
    <d v="2024-04-22T00:00:00"/>
    <n v="363183"/>
    <d v="2024-04-22T00:00:00"/>
    <d v="2024-04-29T00:00:00"/>
    <d v="2024-05-08T00:00:00"/>
    <d v="2024-06-19T00:00:00"/>
    <n v="1.5"/>
    <n v="7"/>
    <s v="PROYECTO REGIONAL"/>
    <m/>
    <s v="x"/>
  </r>
  <r>
    <x v="0"/>
    <x v="2"/>
    <s v="Cupones"/>
    <x v="306"/>
    <s v="MXP LEGACY_x000a_TRADE"/>
    <s v="Mejorar la densidad de todos los códigos QR"/>
    <s v="BAJA"/>
    <x v="3"/>
    <s v="Proyectos TD 2024"/>
    <x v="2"/>
    <x v="4"/>
    <x v="10"/>
    <x v="4"/>
    <x v="1"/>
    <x v="0"/>
    <e v="#N/A"/>
    <x v="3"/>
    <s v="p75"/>
    <x v="1"/>
    <n v="1"/>
    <n v="5"/>
    <n v="1"/>
    <n v="550"/>
    <m/>
    <n v="3390"/>
    <m/>
    <m/>
    <d v="2024-04-08T00:00:00"/>
    <d v="2024-04-15T00:00:00"/>
    <n v="7"/>
    <d v="2024-04-15T00:00:00"/>
    <d v="2024-04-22T00:00:00"/>
    <n v="363183"/>
    <d v="2024-04-22T00:00:00"/>
    <d v="2024-05-13T00:00:00"/>
    <d v="2024-05-08T00:00:00"/>
    <d v="2024-06-12T00:00:00"/>
    <n v="1.25"/>
    <n v="21"/>
    <s v="PROYECTO REGIONAL"/>
    <m/>
    <s v="x"/>
  </r>
  <r>
    <x v="0"/>
    <x v="2"/>
    <s v="Cupones"/>
    <x v="306"/>
    <s v="MXP LEGACY_x000a_TRADE"/>
    <s v="Mejorar la densidad de todos los códigos QR"/>
    <s v="BAJA"/>
    <x v="3"/>
    <s v="Proyectos TD 2024"/>
    <x v="2"/>
    <x v="3"/>
    <x v="10"/>
    <x v="4"/>
    <x v="1"/>
    <x v="0"/>
    <e v="#N/A"/>
    <x v="3"/>
    <s v="p75"/>
    <x v="1"/>
    <n v="1"/>
    <n v="6"/>
    <n v="1"/>
    <n v="550"/>
    <m/>
    <n v="3940"/>
    <m/>
    <m/>
    <d v="2024-04-08T00:00:00"/>
    <d v="2024-04-15T00:00:00"/>
    <n v="7"/>
    <d v="2024-04-15T00:00:00"/>
    <d v="2024-04-22T00:00:00"/>
    <n v="363183"/>
    <d v="2024-04-22T00:00:00"/>
    <d v="2024-04-29T00:00:00"/>
    <d v="2024-05-08T00:00:00"/>
    <d v="2024-06-19T00:00:00"/>
    <n v="1.5"/>
    <n v="7"/>
    <s v="PROYECTO REGIONAL"/>
    <m/>
    <s v="x"/>
  </r>
  <r>
    <x v="0"/>
    <x v="2"/>
    <s v="Cupones"/>
    <x v="306"/>
    <s v="MXP LEGACY_x000a_TRADE"/>
    <s v="Mejorar la densidad de todos los códigos QR (cambiar)"/>
    <s v="BAJA"/>
    <x v="3"/>
    <s v="Proyectos TD 2024"/>
    <x v="2"/>
    <x v="1"/>
    <x v="10"/>
    <x v="4"/>
    <x v="1"/>
    <x v="0"/>
    <e v="#N/A"/>
    <x v="3"/>
    <s v="p75"/>
    <x v="1"/>
    <n v="1"/>
    <n v="6"/>
    <n v="1"/>
    <n v="550"/>
    <m/>
    <n v="3940"/>
    <m/>
    <m/>
    <d v="2024-04-08T00:00:00"/>
    <d v="2024-04-15T00:00:00"/>
    <n v="7"/>
    <d v="2024-04-15T00:00:00"/>
    <d v="2024-04-22T00:00:00"/>
    <n v="363183"/>
    <d v="2024-04-22T00:00:00"/>
    <d v="2024-04-29T00:00:00"/>
    <d v="2024-05-08T00:00:00"/>
    <d v="2024-06-19T00:00:00"/>
    <n v="1.5"/>
    <n v="7"/>
    <s v="PROYECTO REGIONAL"/>
    <m/>
    <s v="x"/>
  </r>
  <r>
    <x v="0"/>
    <x v="0"/>
    <m/>
    <x v="307"/>
    <m/>
    <m/>
    <m/>
    <x v="0"/>
    <s v="DSI"/>
    <x v="1"/>
    <x v="0"/>
    <x v="48"/>
    <x v="1"/>
    <x v="2"/>
    <x v="0"/>
    <m/>
    <x v="2"/>
    <m/>
    <x v="2"/>
    <m/>
    <n v="4"/>
    <n v="1"/>
    <n v="550"/>
    <m/>
    <n v="2780"/>
    <m/>
    <m/>
    <d v="2024-04-01T00:00:00"/>
    <d v="2024-04-29T00:00:00"/>
    <e v="#REF!"/>
    <d v="2024-04-30T00:00:00"/>
    <d v="2024-05-14T00:00:00"/>
    <d v="2894-09-14T00:00:00"/>
    <d v="2024-05-15T00:00:00"/>
    <d v="2024-05-29T00:00:00"/>
    <m/>
    <m/>
    <d v="1899-12-31T00:00:00"/>
    <n v="14"/>
    <m/>
    <m/>
    <m/>
  </r>
  <r>
    <x v="0"/>
    <x v="2"/>
    <s v="API Inyección v3"/>
    <x v="308"/>
    <s v="MXP LEGACY_x000a_TRADE"/>
    <s v="Redcibir el TAG upselling dentro de inyección V3, para sistema de Analítica"/>
    <s v="ALTA"/>
    <x v="0"/>
    <s v="Proyectos TD 2024"/>
    <x v="2"/>
    <x v="0"/>
    <x v="10"/>
    <x v="4"/>
    <x v="1"/>
    <x v="0"/>
    <s v="Q1"/>
    <x v="2"/>
    <s v="p17"/>
    <x v="1"/>
    <n v="1"/>
    <n v="4"/>
    <n v="1"/>
    <n v="550"/>
    <m/>
    <n v="2840"/>
    <m/>
    <m/>
    <d v="2024-03-18T00:00:00"/>
    <d v="2024-03-25T00:00:00"/>
    <n v="7"/>
    <d v="2024-03-25T00:00:00"/>
    <d v="2024-04-01T00:00:00"/>
    <n v="363015"/>
    <d v="2024-04-01T00:00:00"/>
    <d v="2024-04-08T00:00:00"/>
    <d v="2024-06-01T00:00:00"/>
    <d v="2024-06-29T00:00:00"/>
    <n v="1"/>
    <n v="7"/>
    <s v="PROYECTO REGIONAL"/>
    <m/>
    <m/>
  </r>
  <r>
    <x v="0"/>
    <x v="2"/>
    <s v="API Inyección v3"/>
    <x v="308"/>
    <s v="MXP LEGACY_x000a_TRADE"/>
    <s v="Recibir el TAG upselling dentro de inyección V3, para sistema de Analítica"/>
    <s v="ALTA"/>
    <x v="3"/>
    <s v="Proyectos TD 2024"/>
    <x v="2"/>
    <x v="4"/>
    <x v="10"/>
    <x v="4"/>
    <x v="1"/>
    <x v="0"/>
    <s v="Q1"/>
    <x v="2"/>
    <s v="p17"/>
    <x v="1"/>
    <n v="1"/>
    <n v="3"/>
    <n v="1"/>
    <n v="550"/>
    <m/>
    <n v="2290"/>
    <m/>
    <m/>
    <d v="2024-04-22T00:00:00"/>
    <d v="2024-05-06T00:00:00"/>
    <n v="14"/>
    <d v="2024-05-06T00:00:00"/>
    <d v="2024-05-13T00:00:00"/>
    <n v="363351"/>
    <d v="2024-05-13T00:00:00"/>
    <d v="2024-05-13T00:00:00"/>
    <d v="2024-05-01T00:00:00"/>
    <d v="2024-05-22T00:00:00"/>
    <n v="0.75"/>
    <n v="0"/>
    <s v="PROYECTO REGIONAL"/>
    <m/>
    <m/>
  </r>
  <r>
    <x v="0"/>
    <x v="2"/>
    <s v="API Inyección v3"/>
    <x v="308"/>
    <s v="MXP LEGACY_x000a_TRADE"/>
    <s v="Redcibir el TAG upselling dentro de inyección V3, para sistema de Analítica"/>
    <s v="ALTA"/>
    <x v="3"/>
    <s v="Proyectos TD 2024"/>
    <x v="2"/>
    <x v="3"/>
    <x v="10"/>
    <x v="4"/>
    <x v="1"/>
    <x v="0"/>
    <s v="Q1"/>
    <x v="2"/>
    <s v="p17"/>
    <x v="1"/>
    <n v="1"/>
    <n v="2"/>
    <n v="1"/>
    <n v="550"/>
    <m/>
    <n v="1740"/>
    <m/>
    <m/>
    <d v="2024-03-25T00:00:00"/>
    <d v="2024-04-01T00:00:00"/>
    <n v="7"/>
    <d v="2024-04-01T00:00:00"/>
    <d v="2024-04-08T00:00:00"/>
    <n v="363071"/>
    <d v="2024-05-13T00:00:00"/>
    <d v="2024-04-08T00:00:00"/>
    <d v="2024-04-01T00:00:00"/>
    <d v="2024-04-15T00:00:00"/>
    <n v="0.5"/>
    <n v="-35"/>
    <s v="PROYECTO REGIONAL"/>
    <m/>
    <m/>
  </r>
  <r>
    <x v="0"/>
    <x v="2"/>
    <s v="API Inyección v3"/>
    <x v="308"/>
    <s v="MXP LEGACY_x000a_TRADE"/>
    <s v="Recibir el TAG upselling dentro de inyección V3, para sistema de Analítica"/>
    <s v="ALTA"/>
    <x v="3"/>
    <s v="Proyectos TD 2024"/>
    <x v="2"/>
    <x v="2"/>
    <x v="10"/>
    <x v="4"/>
    <x v="1"/>
    <x v="0"/>
    <s v="Q1"/>
    <x v="2"/>
    <s v="p17"/>
    <x v="1"/>
    <n v="1"/>
    <n v="2"/>
    <n v="1"/>
    <n v="550"/>
    <m/>
    <n v="1740"/>
    <m/>
    <m/>
    <d v="2024-05-20T00:00:00"/>
    <d v="2024-05-27T00:00:00"/>
    <n v="7"/>
    <d v="2024-05-27T00:00:00"/>
    <d v="2024-06-03T00:00:00"/>
    <n v="363519"/>
    <d v="2024-06-03T00:00:00"/>
    <d v="2024-06-03T00:00:00"/>
    <d v="2024-05-01T00:00:00"/>
    <d v="2024-05-15T00:00:00"/>
    <n v="0.5"/>
    <n v="0"/>
    <s v="PROYECTO REGIONAL"/>
    <m/>
    <m/>
  </r>
  <r>
    <x v="0"/>
    <x v="2"/>
    <s v="API Inyección v3"/>
    <x v="308"/>
    <s v="MXP LEGACY_x000a_TRADE"/>
    <s v="Redcibir el TAG upselling dentro de inyección V3, para sistema de Analítica"/>
    <s v="ALTA"/>
    <x v="3"/>
    <s v="Proyectos TD 2024"/>
    <x v="2"/>
    <x v="1"/>
    <x v="10"/>
    <x v="4"/>
    <x v="1"/>
    <x v="0"/>
    <s v="Q1"/>
    <x v="2"/>
    <s v="p17"/>
    <x v="1"/>
    <n v="1"/>
    <n v="2"/>
    <n v="1"/>
    <n v="550"/>
    <m/>
    <n v="1740"/>
    <m/>
    <m/>
    <d v="2024-05-06T00:00:00"/>
    <d v="2024-05-20T00:00:00"/>
    <n v="14"/>
    <d v="2024-05-20T00:00:00"/>
    <d v="2024-05-27T00:00:00"/>
    <n v="363463"/>
    <d v="2024-05-27T00:00:00"/>
    <d v="2024-05-27T00:00:00"/>
    <d v="2024-06-01T00:00:00"/>
    <d v="2024-06-15T00:00:00"/>
    <n v="0.5"/>
    <n v="0"/>
    <s v="PROYECTO REGIONAL"/>
    <m/>
    <m/>
  </r>
  <r>
    <x v="0"/>
    <x v="1"/>
    <m/>
    <x v="309"/>
    <m/>
    <s v="Ver Anexo A4"/>
    <m/>
    <x v="0"/>
    <s v="Célula de Operaciones SIR 2024"/>
    <x v="0"/>
    <x v="0"/>
    <x v="66"/>
    <x v="0"/>
    <x v="2"/>
    <x v="0"/>
    <n v="24"/>
    <x v="3"/>
    <m/>
    <x v="2"/>
    <m/>
    <n v="5"/>
    <n v="2"/>
    <n v="450"/>
    <m/>
    <n v="4500"/>
    <m/>
    <m/>
    <d v="2024-10-14T00:00:00"/>
    <d v="2024-11-23T00:00:00"/>
    <e v="#REF!"/>
    <d v="2024-11-26T00:00:00"/>
    <d v="2024-11-29T00:00:00"/>
    <d v="2899-04-10T00:00:00"/>
    <m/>
    <m/>
    <m/>
    <m/>
    <n v="1.25"/>
    <n v="0"/>
    <m/>
    <m/>
    <m/>
  </r>
  <r>
    <x v="1"/>
    <x v="1"/>
    <m/>
    <x v="310"/>
    <m/>
    <s v="Ver Anexo A4"/>
    <m/>
    <x v="0"/>
    <s v="Célula de Operaciones SIR 2023"/>
    <x v="0"/>
    <x v="0"/>
    <x v="1"/>
    <x v="0"/>
    <x v="1"/>
    <x v="1"/>
    <n v="7"/>
    <x v="1"/>
    <m/>
    <x v="0"/>
    <m/>
    <n v="2"/>
    <n v="2"/>
    <n v="400"/>
    <m/>
    <n v="2240"/>
    <m/>
    <m/>
    <d v="2024-01-29T00:00:00"/>
    <d v="2024-02-09T00:00:00"/>
    <e v="#REF!"/>
    <d v="2024-03-05T00:00:00"/>
    <d v="2024-03-12T00:00:00"/>
    <d v="2893-06-16T00:00:00"/>
    <m/>
    <m/>
    <m/>
    <m/>
    <n v="0.5"/>
    <n v="0"/>
    <s v="Célula Operaciones"/>
    <m/>
    <m/>
  </r>
  <r>
    <x v="1"/>
    <x v="1"/>
    <m/>
    <x v="311"/>
    <m/>
    <s v="Segmentación de Sobrantes y Faltantes en el Reporte SIR: USOS Y CONSUMOS MERMAS."/>
    <m/>
    <x v="0"/>
    <s v="Otros - Presupuesto 2023"/>
    <x v="2"/>
    <x v="0"/>
    <x v="3"/>
    <x v="2"/>
    <x v="1"/>
    <x v="1"/>
    <n v="1"/>
    <x v="1"/>
    <m/>
    <x v="0"/>
    <m/>
    <m/>
    <m/>
    <m/>
    <m/>
    <m/>
    <m/>
    <m/>
    <d v="2024-01-01T00:00:00"/>
    <d v="2024-01-21T00:00:00"/>
    <e v="#REF!"/>
    <d v="2024-01-21T00:00:00"/>
    <d v="2024-02-21T00:00:00"/>
    <d v="2892-07-23T00:00:00"/>
    <d v="2024-02-21T00:00:00"/>
    <d v="2024-02-28T00:00:00"/>
    <m/>
    <m/>
    <n v="0"/>
    <n v="7"/>
    <m/>
    <m/>
    <m/>
  </r>
  <r>
    <x v="0"/>
    <x v="1"/>
    <m/>
    <x v="312"/>
    <m/>
    <s v="Ver Anexo A4"/>
    <m/>
    <x v="0"/>
    <s v="Célula de Operaciones SIR 2024"/>
    <x v="0"/>
    <x v="0"/>
    <x v="1"/>
    <x v="0"/>
    <x v="2"/>
    <x v="0"/>
    <n v="24"/>
    <x v="2"/>
    <m/>
    <x v="1"/>
    <m/>
    <n v="4"/>
    <n v="2"/>
    <n v="400"/>
    <m/>
    <n v="3840"/>
    <m/>
    <m/>
    <d v="2024-04-08T00:00:00"/>
    <d v="2024-04-26T00:00:00"/>
    <d v="2024-04-30T00:00:00"/>
    <d v="2024-05-07T00:00:00"/>
    <d v="2024-04-30T00:00:00"/>
    <d v="2894-10-19T00:00:00"/>
    <m/>
    <m/>
    <m/>
    <m/>
    <n v="1"/>
    <n v="0"/>
    <s v="Célula Operaciones"/>
    <m/>
    <m/>
  </r>
  <r>
    <x v="0"/>
    <x v="5"/>
    <m/>
    <x v="313"/>
    <m/>
    <s v="Consumo sea totalmente Automatico, hay un job que corre en automático, todos los dias 1 pax, baja disponible e49,e41, e20, e51, zmmtansito trx._x000a_se quedan a dirio 1500 , y en zcosumo quedan 30. migo manual realizan cada responsable, en e20 pide lote y eso demora"/>
    <m/>
    <x v="0"/>
    <s v="Optimización Procesos Plantas"/>
    <x v="4"/>
    <x v="0"/>
    <x v="12"/>
    <x v="9"/>
    <x v="2"/>
    <x v="0"/>
    <s v="Q2"/>
    <x v="2"/>
    <m/>
    <x v="1"/>
    <n v="1"/>
    <n v="1"/>
    <n v="1"/>
    <n v="1100"/>
    <m/>
    <n v="1100"/>
    <m/>
    <m/>
    <m/>
    <m/>
    <n v="0"/>
    <m/>
    <m/>
    <n v="0"/>
    <m/>
    <m/>
    <m/>
    <m/>
    <n v="0.25"/>
    <n v="0"/>
    <m/>
    <m/>
    <m/>
  </r>
  <r>
    <x v="1"/>
    <x v="1"/>
    <m/>
    <x v="314"/>
    <m/>
    <s v="Ver Anexo A4"/>
    <m/>
    <x v="0"/>
    <s v="Célula de Operaciones SIR 2023"/>
    <x v="0"/>
    <x v="0"/>
    <x v="1"/>
    <x v="0"/>
    <x v="1"/>
    <x v="0"/>
    <n v="3"/>
    <x v="2"/>
    <m/>
    <x v="1"/>
    <m/>
    <n v="2"/>
    <n v="4"/>
    <n v="400"/>
    <m/>
    <n v="3840"/>
    <m/>
    <m/>
    <m/>
    <m/>
    <e v="#REF!"/>
    <m/>
    <m/>
    <d v="1899-12-30T00:00:00"/>
    <m/>
    <m/>
    <m/>
    <m/>
    <n v="0.5"/>
    <n v="0"/>
    <s v="Célula Operaciones"/>
    <m/>
    <m/>
  </r>
  <r>
    <x v="0"/>
    <x v="0"/>
    <m/>
    <x v="315"/>
    <m/>
    <s v="Venta IRSA"/>
    <m/>
    <x v="2"/>
    <s v="Funcionalidades Locales"/>
    <x v="3"/>
    <x v="2"/>
    <x v="26"/>
    <x v="18"/>
    <x v="1"/>
    <x v="4"/>
    <m/>
    <x v="1"/>
    <m/>
    <x v="1"/>
    <n v="1"/>
    <n v="5"/>
    <n v="1"/>
    <n v="550"/>
    <m/>
    <n v="2750"/>
    <m/>
    <m/>
    <d v="2024-03-04T00:00:00"/>
    <d v="2024-05-10T00:00:00"/>
    <e v="#REF!"/>
    <d v="2024-05-13T00:00:00"/>
    <d v="2024-05-17T00:00:00"/>
    <d v="2894-12-17T00:00:00"/>
    <d v="2024-05-20T00:00:00"/>
    <d v="2024-05-24T00:00:00"/>
    <m/>
    <m/>
    <d v="1899-12-31T06:00:00"/>
    <n v="4"/>
    <m/>
    <m/>
    <m/>
  </r>
  <r>
    <x v="0"/>
    <x v="0"/>
    <m/>
    <x v="316"/>
    <m/>
    <s v="Nuevo Requerimiento (Ya levantado a Juan Daniel, documentación adjunta)_x000a_"/>
    <m/>
    <x v="2"/>
    <s v="Funcionalidades Regionales"/>
    <x v="3"/>
    <x v="4"/>
    <x v="17"/>
    <x v="12"/>
    <x v="1"/>
    <x v="0"/>
    <m/>
    <x v="2"/>
    <s v="Ambiente de pruebas de EDENRED."/>
    <x v="1"/>
    <n v="1"/>
    <n v="3"/>
    <n v="1"/>
    <n v="625"/>
    <m/>
    <n v="1875"/>
    <m/>
    <m/>
    <d v="2024-06-03T00:00:00"/>
    <d v="2024-06-14T00:00:00"/>
    <e v="#REF!"/>
    <d v="2024-06-17T00:00:00"/>
    <d v="2024-06-21T00:00:00"/>
    <d v="2895-09-23T00:00:00"/>
    <d v="2024-06-24T00:00:00"/>
    <d v="2024-06-28T00:00:00"/>
    <m/>
    <m/>
    <n v="0.75"/>
    <n v="4"/>
    <m/>
    <m/>
    <m/>
  </r>
  <r>
    <x v="0"/>
    <x v="0"/>
    <m/>
    <x v="317"/>
    <s v="MXP 2.0"/>
    <s v="Resaltar NC en Maxpoint que sean por CAMBIO DE DATOS"/>
    <m/>
    <x v="0"/>
    <s v="Mejoras Maxpoint Auditoría 2024"/>
    <x v="2"/>
    <x v="0"/>
    <x v="3"/>
    <x v="2"/>
    <x v="2"/>
    <x v="0"/>
    <n v="2"/>
    <x v="2"/>
    <m/>
    <x v="0"/>
    <n v="1"/>
    <n v="1"/>
    <n v="2"/>
    <n v="550"/>
    <m/>
    <n v="1680"/>
    <m/>
    <m/>
    <d v="2024-05-27T00:00:00"/>
    <d v="2024-06-10T00:00:00"/>
    <d v="1900-01-13T00:00:00"/>
    <d v="2024-06-11T00:00:00"/>
    <d v="2024-06-25T00:00:00"/>
    <d v="2895-08-16T00:00:00"/>
    <d v="2024-06-26T00:00:00"/>
    <d v="2024-07-10T00:00:00"/>
    <m/>
    <m/>
    <n v="0.25"/>
    <n v="14"/>
    <m/>
    <m/>
    <m/>
  </r>
  <r>
    <x v="1"/>
    <x v="1"/>
    <m/>
    <x v="318"/>
    <m/>
    <s v="Ver Anexo A4"/>
    <m/>
    <x v="0"/>
    <s v="Célula de Operaciones SIR 2023"/>
    <x v="0"/>
    <x v="0"/>
    <x v="1"/>
    <x v="0"/>
    <x v="1"/>
    <x v="3"/>
    <n v="6"/>
    <x v="1"/>
    <m/>
    <x v="0"/>
    <m/>
    <n v="2"/>
    <n v="2"/>
    <n v="400"/>
    <m/>
    <n v="2240"/>
    <m/>
    <m/>
    <d v="2023-12-03T00:00:00"/>
    <d v="2023-12-15T00:00:00"/>
    <e v="#REF!"/>
    <s v="-"/>
    <s v="-"/>
    <e v="#VALUE!"/>
    <m/>
    <m/>
    <m/>
    <m/>
    <n v="0.5"/>
    <n v="0"/>
    <s v="Célula Operaciones"/>
    <m/>
    <m/>
  </r>
  <r>
    <x v="2"/>
    <x v="6"/>
    <m/>
    <x v="319"/>
    <m/>
    <m/>
    <m/>
    <x v="0"/>
    <m/>
    <x v="6"/>
    <x v="6"/>
    <x v="25"/>
    <x v="7"/>
    <x v="4"/>
    <x v="5"/>
    <m/>
    <x v="4"/>
    <m/>
    <x v="3"/>
    <m/>
    <m/>
    <m/>
    <m/>
    <m/>
    <n v="640"/>
    <m/>
    <m/>
    <m/>
    <m/>
    <e v="#REF!"/>
    <m/>
    <m/>
    <d v="1899-12-30T00:00:00"/>
    <m/>
    <m/>
    <m/>
    <m/>
    <n v="0"/>
    <n v="0"/>
    <m/>
    <m/>
    <m/>
  </r>
  <r>
    <x v="2"/>
    <x v="6"/>
    <m/>
    <x v="319"/>
    <m/>
    <m/>
    <m/>
    <x v="0"/>
    <m/>
    <x v="6"/>
    <x v="6"/>
    <x v="25"/>
    <x v="7"/>
    <x v="4"/>
    <x v="5"/>
    <m/>
    <x v="4"/>
    <m/>
    <x v="3"/>
    <m/>
    <m/>
    <m/>
    <m/>
    <m/>
    <n v="640"/>
    <m/>
    <m/>
    <m/>
    <m/>
    <e v="#REF!"/>
    <m/>
    <m/>
    <d v="1899-12-30T00:00:00"/>
    <m/>
    <m/>
    <m/>
    <m/>
    <n v="0"/>
    <n v="0"/>
    <m/>
    <m/>
    <m/>
  </r>
  <r>
    <x v="2"/>
    <x v="6"/>
    <m/>
    <x v="319"/>
    <m/>
    <m/>
    <m/>
    <x v="0"/>
    <m/>
    <x v="6"/>
    <x v="6"/>
    <x v="25"/>
    <x v="7"/>
    <x v="4"/>
    <x v="5"/>
    <m/>
    <x v="4"/>
    <m/>
    <x v="3"/>
    <m/>
    <m/>
    <m/>
    <m/>
    <m/>
    <n v="640"/>
    <m/>
    <m/>
    <m/>
    <m/>
    <e v="#REF!"/>
    <m/>
    <m/>
    <d v="1899-12-30T00:00:00"/>
    <m/>
    <m/>
    <m/>
    <m/>
    <n v="0"/>
    <n v="0"/>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19">
  <r>
    <s v="2024"/>
    <x v="0"/>
    <m/>
    <x v="0"/>
    <m/>
    <s v="Ver Anexo A2_x000a_ La digitación es muy lenta  para digital posible problema de de red"/>
    <m/>
    <x v="0"/>
    <s v="Celula Operaciones Maxpoint 2024"/>
    <s v="OPER"/>
    <x v="0"/>
    <s v="Sandra Paillacho"/>
    <x v="0"/>
    <x v="0"/>
    <x v="0"/>
    <n v="4"/>
    <s v="Q3"/>
    <m/>
    <s v="BAJA"/>
    <n v="1"/>
    <n v="0"/>
    <n v="0"/>
    <n v="550"/>
    <m/>
    <n v="0"/>
    <m/>
    <m/>
    <d v="2024-08-12T00:00:00"/>
    <d v="2024-08-26T00:00:00"/>
    <e v="#REF!"/>
    <d v="2024-08-27T00:00:00"/>
    <d v="2024-09-10T00:00:00"/>
    <d v="2897-04-23T00:00:00"/>
    <d v="2024-09-11T00:00:00"/>
    <d v="2024-09-25T00:00:00"/>
    <x v="0"/>
    <x v="0"/>
    <n v="0"/>
    <n v="14"/>
    <s v="Célula Operaciones_x000a_Es un requerimiento de configuraciones_x000a_Proceso ya realizado en el 2023"/>
    <m/>
    <m/>
    <m/>
  </r>
  <r>
    <s v="2023"/>
    <x v="1"/>
    <m/>
    <x v="1"/>
    <m/>
    <s v="Ver Anexo A4"/>
    <m/>
    <x v="0"/>
    <s v="Célula de Operaciones SIR 2023"/>
    <s v="OPER"/>
    <x v="0"/>
    <s v="Sandra Pailacho"/>
    <x v="0"/>
    <x v="1"/>
    <x v="1"/>
    <n v="1"/>
    <s v="Q1"/>
    <m/>
    <s v="MEDIA"/>
    <m/>
    <n v="4"/>
    <n v="1"/>
    <n v="400"/>
    <m/>
    <n v="2240"/>
    <m/>
    <m/>
    <d v="2024-02-19T00:00:00"/>
    <d v="2024-03-15T00:00:00"/>
    <e v="#REF!"/>
    <d v="2024-03-19T00:00:00"/>
    <d v="2024-03-26T00:00:00"/>
    <d v="2893-10-06T00:00:00"/>
    <m/>
    <m/>
    <x v="1"/>
    <x v="1"/>
    <n v="1"/>
    <n v="0"/>
    <s v="Célula Operaciones"/>
    <m/>
    <m/>
    <m/>
  </r>
  <r>
    <s v="2024"/>
    <x v="0"/>
    <m/>
    <x v="2"/>
    <m/>
    <s v="Ver Anexo A2"/>
    <m/>
    <x v="0"/>
    <s v="Celula Operaciones Maxpoint 2024"/>
    <s v="OPER"/>
    <x v="0"/>
    <s v="Sandra Paillacho"/>
    <x v="0"/>
    <x v="0"/>
    <x v="0"/>
    <n v="3"/>
    <s v="Q3"/>
    <s v="Se necesita mayor contexto del cliente"/>
    <s v="BAJA"/>
    <n v="1"/>
    <n v="0"/>
    <n v="0"/>
    <n v="550"/>
    <m/>
    <n v="0"/>
    <m/>
    <m/>
    <d v="2024-09-11T00:00:00"/>
    <d v="2024-10-02T00:00:00"/>
    <e v="#REF!"/>
    <d v="2024-10-03T00:00:00"/>
    <d v="2024-10-17T00:00:00"/>
    <d v="2898-02-13T00:00:00"/>
    <d v="2024-10-18T00:00:00"/>
    <d v="2024-11-01T00:00:00"/>
    <x v="2"/>
    <x v="2"/>
    <n v="0"/>
    <n v="14"/>
    <s v="Célula Operaciones_x000a_Es un requerimiento de configuraciones"/>
    <m/>
    <m/>
    <m/>
  </r>
  <r>
    <s v="2024"/>
    <x v="1"/>
    <m/>
    <x v="3"/>
    <m/>
    <m/>
    <m/>
    <x v="1"/>
    <s v="Mantenimiento"/>
    <s v="DSI"/>
    <x v="0"/>
    <s v="Vanessa Soria"/>
    <x v="1"/>
    <x v="1"/>
    <x v="0"/>
    <m/>
    <s v="Q3"/>
    <m/>
    <s v="BAJA"/>
    <m/>
    <n v="2"/>
    <n v="2"/>
    <n v="400"/>
    <m/>
    <n v="2240"/>
    <m/>
    <m/>
    <d v="2024-09-02T00:00:00"/>
    <d v="2024-09-17T00:00:00"/>
    <e v="#REF!"/>
    <d v="2024-09-24T00:00:00"/>
    <d v="2024-09-30T00:00:00"/>
    <d v="2897-11-25T00:00:00"/>
    <m/>
    <m/>
    <x v="3"/>
    <x v="1"/>
    <n v="0.5"/>
    <n v="0"/>
    <m/>
    <m/>
    <m/>
    <m/>
  </r>
  <r>
    <s v="2024"/>
    <x v="1"/>
    <m/>
    <x v="4"/>
    <m/>
    <m/>
    <m/>
    <x v="1"/>
    <s v="Mantenimiento"/>
    <s v="DSI"/>
    <x v="0"/>
    <s v="Vanessa Soria"/>
    <x v="1"/>
    <x v="1"/>
    <x v="0"/>
    <m/>
    <s v="Q2"/>
    <m/>
    <s v="BAJA"/>
    <m/>
    <n v="2"/>
    <n v="2"/>
    <n v="400"/>
    <m/>
    <n v="2240"/>
    <m/>
    <m/>
    <d v="2024-05-13T00:00:00"/>
    <d v="2024-05-17T00:00:00"/>
    <e v="#REF!"/>
    <d v="2024-05-21T00:00:00"/>
    <d v="2024-05-28T00:00:00"/>
    <d v="2895-02-22T00:00:00"/>
    <m/>
    <m/>
    <x v="4"/>
    <x v="1"/>
    <n v="0.5"/>
    <n v="0"/>
    <m/>
    <m/>
    <m/>
    <m/>
  </r>
  <r>
    <s v="2024"/>
    <x v="1"/>
    <m/>
    <x v="5"/>
    <m/>
    <m/>
    <m/>
    <x v="2"/>
    <s v="Mantenimiento"/>
    <s v="DSI"/>
    <x v="0"/>
    <s v="Vanessa Soria"/>
    <x v="1"/>
    <x v="1"/>
    <x v="0"/>
    <m/>
    <s v="Q4"/>
    <m/>
    <s v="BAJA"/>
    <m/>
    <n v="2"/>
    <n v="2"/>
    <n v="400"/>
    <m/>
    <n v="2240"/>
    <m/>
    <m/>
    <d v="2024-10-14T00:00:00"/>
    <d v="2024-10-25T00:00:00"/>
    <e v="#REF!"/>
    <d v="2024-10-29T00:00:00"/>
    <d v="2024-11-05T00:00:00"/>
    <d v="2898-09-02T00:00:00"/>
    <m/>
    <m/>
    <x v="5"/>
    <x v="1"/>
    <n v="0.5"/>
    <n v="0"/>
    <m/>
    <m/>
    <m/>
    <m/>
  </r>
  <r>
    <s v="2024"/>
    <x v="1"/>
    <m/>
    <x v="6"/>
    <m/>
    <s v="validación campo swt"/>
    <m/>
    <x v="1"/>
    <s v="Mantenimiento"/>
    <s v="DSI"/>
    <x v="0"/>
    <s v="Vanessa Soria"/>
    <x v="1"/>
    <x v="1"/>
    <x v="0"/>
    <m/>
    <s v="Q3"/>
    <m/>
    <s v="BAJA"/>
    <m/>
    <n v="3"/>
    <n v="2"/>
    <n v="400"/>
    <m/>
    <n v="3040"/>
    <m/>
    <m/>
    <d v="2024-09-23T00:00:00"/>
    <d v="2024-10-04T00:00:00"/>
    <e v="#REF!"/>
    <d v="2024-10-08T00:00:00"/>
    <d v="2024-10-15T00:00:00"/>
    <d v="2898-03-18T00:00:00"/>
    <m/>
    <m/>
    <x v="6"/>
    <x v="1"/>
    <n v="0.75"/>
    <n v="0"/>
    <m/>
    <m/>
    <m/>
    <m/>
  </r>
  <r>
    <s v="2024"/>
    <x v="0"/>
    <m/>
    <x v="7"/>
    <s v="MXP 2.0"/>
    <s v="Ver Anexo A2"/>
    <m/>
    <x v="0"/>
    <s v="Celula Operaciones Maxpoint 2024"/>
    <s v="OPER"/>
    <x v="0"/>
    <s v="Sandra Paillacho"/>
    <x v="0"/>
    <x v="2"/>
    <x v="0"/>
    <n v="3"/>
    <s v="Q2"/>
    <m/>
    <s v="BAJA"/>
    <n v="1"/>
    <n v="2"/>
    <n v="1"/>
    <n v="550"/>
    <m/>
    <n v="1680"/>
    <m/>
    <m/>
    <d v="2024-05-20T00:00:00"/>
    <d v="2024-06-03T00:00:00"/>
    <d v="2024-06-04T00:00:00"/>
    <d v="2024-06-18T00:00:00"/>
    <d v="2024-06-19T00:00:00"/>
    <d v="2024-07-03T00:00:00"/>
    <d v="2024-06-01T00:00:00"/>
    <d v="2024-06-15T00:00:00"/>
    <x v="7"/>
    <x v="3"/>
    <n v="0.5"/>
    <n v="14"/>
    <s v="Célula Operaciones"/>
    <m/>
    <m/>
    <m/>
  </r>
  <r>
    <s v="2024"/>
    <x v="1"/>
    <m/>
    <x v="8"/>
    <s v="X"/>
    <s v="Agrupar en una sola forma de pago por tarjeta_x000a_- Interfaz de venta_x000a_- Interfaz de sir y guardar información"/>
    <m/>
    <x v="0"/>
    <s v="Mejoras Auditoría"/>
    <s v="CAR"/>
    <x v="0"/>
    <s v="Vladimir Morillo"/>
    <x v="2"/>
    <x v="2"/>
    <x v="0"/>
    <s v="Q1"/>
    <s v="Q2"/>
    <s v="Ejecución del proyecto de conciliador de tarjetas que está a cargo de Canales Digitales"/>
    <s v="ALTA"/>
    <m/>
    <n v="3"/>
    <n v="2"/>
    <n v="550"/>
    <m/>
    <n v="3300"/>
    <m/>
    <m/>
    <d v="2024-04-22T00:00:00"/>
    <d v="2024-05-10T00:00:00"/>
    <e v="#REF!"/>
    <d v="2024-05-14T00:00:00"/>
    <d v="2024-05-21T00:00:00"/>
    <d v="2894-12-28T00:00:00"/>
    <m/>
    <m/>
    <x v="8"/>
    <x v="1"/>
    <n v="0.75"/>
    <n v="0"/>
    <m/>
    <m/>
    <m/>
    <m/>
  </r>
  <r>
    <s v="2024"/>
    <x v="1"/>
    <m/>
    <x v="9"/>
    <m/>
    <s v="Revisar con los pedidos ingresados con planta y operaciones (Socializar desarrollo SIR)"/>
    <m/>
    <x v="0"/>
    <s v="Célula de Operaciones SIR 2024"/>
    <s v="OPER"/>
    <x v="0"/>
    <s v="José Luis Tello"/>
    <x v="3"/>
    <x v="0"/>
    <x v="1"/>
    <n v="1"/>
    <s v="Q3"/>
    <m/>
    <s v="BAJA"/>
    <m/>
    <m/>
    <m/>
    <m/>
    <m/>
    <m/>
    <m/>
    <m/>
    <m/>
    <m/>
    <e v="#REF!"/>
    <m/>
    <m/>
    <d v="1899-12-30T00:00:00"/>
    <m/>
    <m/>
    <x v="9"/>
    <x v="1"/>
    <n v="0"/>
    <n v="0"/>
    <m/>
    <m/>
    <m/>
    <m/>
  </r>
  <r>
    <s v="2024"/>
    <x v="2"/>
    <s v="Fidelización"/>
    <x v="10"/>
    <s v="MXP LEGACY_x000a_MXP 2.0"/>
    <s v="Añadir campos al envio de fidelizacion. Añadir un campo adicional dentro del request de fidelización sobre MaxPoint"/>
    <s v="MEDIA"/>
    <x v="0"/>
    <s v="Funcionalidades Locales"/>
    <s v="CAR"/>
    <x v="0"/>
    <s v="Jonathan Darquea"/>
    <x v="4"/>
    <x v="1"/>
    <x v="0"/>
    <m/>
    <s v="Q1"/>
    <m/>
    <s v="BAJA"/>
    <m/>
    <n v="3"/>
    <n v="2"/>
    <n v="550"/>
    <m/>
    <n v="3300"/>
    <m/>
    <m/>
    <d v="2024-03-04T00:00:00"/>
    <d v="2024-03-11T00:00:00"/>
    <n v="7"/>
    <d v="2024-03-11T00:00:00"/>
    <d v="2024-03-18T00:00:00"/>
    <n v="362903"/>
    <d v="2024-03-18T00:00:00"/>
    <d v="2024-03-25T00:00:00"/>
    <x v="10"/>
    <x v="4"/>
    <n v="0.75"/>
    <n v="7"/>
    <m/>
    <m/>
    <m/>
    <m/>
  </r>
  <r>
    <s v="2024"/>
    <x v="2"/>
    <s v="Cupones"/>
    <x v="11"/>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x v="0"/>
    <s v="Proyectos TD 2024"/>
    <s v="CAR"/>
    <x v="0"/>
    <s v="Andres Canelos / Ma. Paula Tapia"/>
    <x v="5"/>
    <x v="1"/>
    <x v="0"/>
    <n v="0"/>
    <s v="Q1"/>
    <m/>
    <s v="MEDIA"/>
    <m/>
    <n v="6"/>
    <n v="1"/>
    <n v="550"/>
    <m/>
    <n v="3940"/>
    <m/>
    <m/>
    <d v="2024-03-11T00:00:00"/>
    <d v="2024-03-11T00:00:00"/>
    <n v="0"/>
    <d v="2024-03-11T00:00:00"/>
    <d v="2024-03-18T00:00:00"/>
    <n v="362903"/>
    <d v="2024-03-18T00:00:00"/>
    <d v="2024-03-25T00:00:00"/>
    <x v="11"/>
    <x v="5"/>
    <n v="1.5"/>
    <n v="7"/>
    <s v="Funcionalidad Lista"/>
    <m/>
    <s v="x"/>
    <s v="Re planificar"/>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1"/>
    <s v="Mychael Castro"/>
    <x v="1"/>
    <x v="1"/>
    <x v="0"/>
    <m/>
    <s v="Q2"/>
    <m/>
    <s v="MEDIA"/>
    <n v="1"/>
    <n v="4"/>
    <n v="1"/>
    <n v="550"/>
    <m/>
    <n v="2840"/>
    <m/>
    <m/>
    <d v="2024-03-25T00:00:00"/>
    <d v="2024-04-08T00:00:00"/>
    <n v="14"/>
    <d v="2024-04-08T00:00:00"/>
    <d v="2024-04-15T00:00:00"/>
    <n v="363127"/>
    <d v="2024-04-15T00:00:00"/>
    <d v="2024-04-22T00:00:00"/>
    <x v="12"/>
    <x v="6"/>
    <n v="1"/>
    <n v="7"/>
    <m/>
    <m/>
    <s v="x"/>
    <m/>
  </r>
  <r>
    <s v="2024"/>
    <x v="2"/>
    <s v="Fidelización"/>
    <x v="13"/>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x v="0"/>
    <s v="Proyectos TD 2024"/>
    <s v="CAR"/>
    <x v="0"/>
    <s v="Daniel Barreno"/>
    <x v="4"/>
    <x v="1"/>
    <x v="0"/>
    <e v="#N/A"/>
    <s v="Q1"/>
    <s v="p62"/>
    <s v="MEDIA"/>
    <m/>
    <n v="10"/>
    <n v="2"/>
    <n v="550"/>
    <m/>
    <n v="11640"/>
    <m/>
    <m/>
    <d v="2024-02-26T00:00:00"/>
    <d v="2024-03-11T00:00:00"/>
    <n v="14"/>
    <d v="2024-03-11T00:00:00"/>
    <d v="2024-03-18T00:00:00"/>
    <n v="362903"/>
    <d v="2024-03-18T00:00:00"/>
    <d v="2024-03-25T00:00:00"/>
    <x v="11"/>
    <x v="7"/>
    <n v="2.5"/>
    <n v="7"/>
    <s v="ECOMERCE"/>
    <m/>
    <s v="x"/>
    <m/>
  </r>
  <r>
    <s v="2024"/>
    <x v="3"/>
    <m/>
    <x v="14"/>
    <m/>
    <s v="Asesoramiento a Equipo interno de Desarrollo Venezuela"/>
    <m/>
    <x v="0"/>
    <s v="Funcionalidades Locales"/>
    <s v="DSI"/>
    <x v="2"/>
    <s v="Jhustin Vergara"/>
    <x v="6"/>
    <x v="1"/>
    <x v="0"/>
    <m/>
    <s v="Q3"/>
    <m/>
    <s v="MEDIA"/>
    <n v="1"/>
    <n v="2"/>
    <n v="1"/>
    <n v="0"/>
    <m/>
    <n v="0"/>
    <m/>
    <m/>
    <d v="2024-04-14T00:00:00"/>
    <d v="2024-04-21T00:00:00"/>
    <e v="#REF!"/>
    <d v="2024-04-21T00:00:00"/>
    <d v="2024-04-24T00:00:00"/>
    <d v="2894-06-23T00:00:00"/>
    <d v="2024-04-24T00:00:00"/>
    <d v="2024-04-28T00:00:00"/>
    <x v="13"/>
    <x v="8"/>
    <n v="0.5"/>
    <n v="4"/>
    <m/>
    <m/>
    <m/>
    <m/>
  </r>
  <r>
    <s v="2024"/>
    <x v="3"/>
    <m/>
    <x v="15"/>
    <m/>
    <s v="Toma de indicadores de diversas fuentas (Reportes manuales y automáticos) de consumo de energía, gestión de desechos, reciclaje de aceite, consumo de paper, reciclaje."/>
    <m/>
    <x v="0"/>
    <m/>
    <s v="CAR"/>
    <x v="0"/>
    <s v="Javier Cruz"/>
    <x v="7"/>
    <x v="0"/>
    <x v="0"/>
    <m/>
    <s v="Q4"/>
    <m/>
    <s v="MEDIA"/>
    <m/>
    <n v="8"/>
    <n v="1"/>
    <n v="550"/>
    <m/>
    <n v="5040"/>
    <m/>
    <m/>
    <m/>
    <m/>
    <e v="#REF!"/>
    <m/>
    <m/>
    <d v="1899-12-30T00:00:00"/>
    <m/>
    <m/>
    <x v="9"/>
    <x v="1"/>
    <n v="2"/>
    <n v="0"/>
    <m/>
    <m/>
    <m/>
    <m/>
  </r>
  <r>
    <s v="2024"/>
    <x v="3"/>
    <m/>
    <x v="16"/>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x v="0"/>
    <s v="Mejoras App Gestiona"/>
    <s v="CAR"/>
    <x v="0"/>
    <s v="Javier Cruz / Veronica Ramos"/>
    <x v="7"/>
    <x v="2"/>
    <x v="0"/>
    <s v="Q2"/>
    <s v="Q2"/>
    <s v="N/A"/>
    <s v="MEDIA"/>
    <m/>
    <n v="10"/>
    <n v="2"/>
    <n v="420"/>
    <m/>
    <n v="8400"/>
    <m/>
    <m/>
    <d v="2024-04-01T00:00:00"/>
    <d v="2024-06-15T00:00:00"/>
    <e v="#REF!"/>
    <d v="2024-06-15T00:00:00"/>
    <d v="2024-06-30T00:00:00"/>
    <d v="2895-09-18T00:00:00"/>
    <d v="2024-06-30T00:00:00"/>
    <d v="2023-07-07T00:00:00"/>
    <x v="11"/>
    <x v="9"/>
    <n v="2.5"/>
    <n v="-359"/>
    <m/>
    <s v="VERO RAMOS"/>
    <m/>
    <m/>
  </r>
  <r>
    <s v="2024"/>
    <x v="3"/>
    <m/>
    <x v="17"/>
    <m/>
    <s v="Pendiente de Levantamiento, nuevos features y posible Rework de la aplicación de Trade"/>
    <m/>
    <x v="0"/>
    <s v="Mejoras App Somos"/>
    <s v="CAR"/>
    <x v="0"/>
    <s v="Javier Cruz"/>
    <x v="7"/>
    <x v="0"/>
    <x v="0"/>
    <s v="Q3"/>
    <s v="Q4"/>
    <s v="N/A"/>
    <s v="ALTA"/>
    <m/>
    <n v="12"/>
    <n v="2"/>
    <n v="550"/>
    <m/>
    <n v="13840"/>
    <m/>
    <m/>
    <d v="2024-08-01T00:00:00"/>
    <d v="2024-10-01T00:00:00"/>
    <e v="#REF!"/>
    <d v="2024-10-01T00:00:00"/>
    <d v="2024-10-07T00:00:00"/>
    <d v="2898-01-20T00:00:00"/>
    <d v="2023-10-14T00:00:00"/>
    <d v="2023-10-21T00:00:00"/>
    <x v="12"/>
    <x v="10"/>
    <n v="3"/>
    <n v="7"/>
    <m/>
    <s v="Validar con Javier Cruz costos de mantemiento actual / Daniel Barreno "/>
    <m/>
    <m/>
  </r>
  <r>
    <s v="2024"/>
    <x v="2"/>
    <s v="Appedir"/>
    <x v="18"/>
    <s v="MXP LEGACY_x000a_TRADE"/>
    <s v="Si hay en un mismo centro comercial 2, 3 o 4 marcas del grupo a traves de la Appedir se pueda hacer compras multiples. "/>
    <s v="BAJA"/>
    <x v="0"/>
    <s v="Proyectos TD 2024"/>
    <s v="CAR"/>
    <x v="0"/>
    <s v="Daniel Barreno"/>
    <x v="4"/>
    <x v="1"/>
    <x v="0"/>
    <s v="Q4"/>
    <s v="Q4"/>
    <s v="p71"/>
    <s v="ALTA"/>
    <m/>
    <n v="10"/>
    <n v="2"/>
    <n v="550"/>
    <m/>
    <n v="11640"/>
    <m/>
    <m/>
    <d v="2024-10-07T00:00:00"/>
    <d v="2024-11-18T00:00:00"/>
    <n v="42"/>
    <d v="2024-11-18T00:00:00"/>
    <d v="2024-12-02T00:00:00"/>
    <n v="364926"/>
    <d v="2024-12-02T00:00:00"/>
    <d v="2024-12-16T00:00:00"/>
    <x v="14"/>
    <x v="11"/>
    <n v="2.5"/>
    <n v="14"/>
    <s v="ECOMERCE"/>
    <m/>
    <s v="x"/>
    <m/>
  </r>
  <r>
    <s v="2024"/>
    <x v="4"/>
    <m/>
    <x v="19"/>
    <m/>
    <s v="Revisar con Amarilis"/>
    <m/>
    <x v="0"/>
    <s v="Funcionalidades Locales"/>
    <s v="REGIONAL"/>
    <x v="2"/>
    <s v="Jhustin Vergara"/>
    <x v="8"/>
    <x v="2"/>
    <x v="0"/>
    <m/>
    <s v="Q3"/>
    <m/>
    <s v="MEDIA"/>
    <n v="1"/>
    <m/>
    <m/>
    <m/>
    <m/>
    <n v="640"/>
    <m/>
    <m/>
    <m/>
    <m/>
    <e v="#REF!"/>
    <m/>
    <m/>
    <d v="1899-12-30T00:00:00"/>
    <m/>
    <m/>
    <x v="9"/>
    <x v="1"/>
    <n v="0"/>
    <n v="0"/>
    <m/>
    <m/>
    <m/>
    <m/>
  </r>
  <r>
    <s v="2024"/>
    <x v="2"/>
    <s v="Appedir"/>
    <x v="20"/>
    <s v="MXP LEGACY_x000a_TRADE"/>
    <s v="Al finalizar una orden empiezan a llegar los cambios de estado seguidos, y no en el momento adecuado cuando el pedido esta en proceso. Revisar solución con DragonTail"/>
    <s v="MEDIA"/>
    <x v="0"/>
    <s v="Proyectos TD 2024"/>
    <s v="CAR"/>
    <x v="0"/>
    <s v="Daniel Barreno"/>
    <x v="4"/>
    <x v="1"/>
    <x v="0"/>
    <s v="Q1"/>
    <s v="Q2"/>
    <s v="p28"/>
    <s v="MEDIA"/>
    <m/>
    <n v="5"/>
    <n v="1"/>
    <n v="550"/>
    <m/>
    <n v="3390"/>
    <m/>
    <m/>
    <d v="2024-05-13T00:00:00"/>
    <d v="2024-06-03T00:00:00"/>
    <n v="21"/>
    <d v="2024-06-03T00:00:00"/>
    <d v="2024-06-10T00:00:00"/>
    <n v="363575"/>
    <d v="2024-06-10T00:00:00"/>
    <d v="2024-06-17T00:00:00"/>
    <x v="15"/>
    <x v="12"/>
    <n v="1.25"/>
    <n v="7"/>
    <s v="ECOMERCE"/>
    <m/>
    <s v="x"/>
    <m/>
  </r>
  <r>
    <s v="2024"/>
    <x v="0"/>
    <m/>
    <x v="21"/>
    <m/>
    <s v="reporte detallado que muestre los retiros y arqueos realizados por los locales, Billete, cantidad y valor "/>
    <m/>
    <x v="0"/>
    <s v="Funcionalidades Locales"/>
    <s v="REGIONAL"/>
    <x v="3"/>
    <s v="William Villegas"/>
    <x v="9"/>
    <x v="1"/>
    <x v="0"/>
    <m/>
    <s v="Q2"/>
    <m/>
    <s v="MEDIA"/>
    <n v="1"/>
    <n v="4"/>
    <n v="1"/>
    <n v="625"/>
    <m/>
    <n v="2500"/>
    <m/>
    <m/>
    <d v="2024-05-06T00:00:00"/>
    <d v="2024-05-17T00:00:00"/>
    <e v="#REF!"/>
    <d v="2024-05-20T00:00:00"/>
    <d v="2024-05-24T00:00:00"/>
    <d v="2895-02-11T00:00:00"/>
    <d v="2024-05-27T00:00:00"/>
    <d v="2024-05-31T00:00:00"/>
    <x v="16"/>
    <x v="13"/>
    <n v="1"/>
    <n v="4"/>
    <m/>
    <m/>
    <m/>
    <m/>
  </r>
  <r>
    <s v="2024"/>
    <x v="5"/>
    <m/>
    <x v="22"/>
    <m/>
    <s v="Compensacion Automatica de Facturas con Notas de credito Cliente, se ejecuta un bot en Clt y PROV, proceso semanal, 5 pax "/>
    <m/>
    <x v="0"/>
    <s v="Optimización Procesos Plantas"/>
    <s v="PLANTA"/>
    <x v="0"/>
    <s v="Diego Díaz "/>
    <x v="10"/>
    <x v="2"/>
    <x v="0"/>
    <s v="Q2"/>
    <s v="Q2"/>
    <m/>
    <s v="MEDIA"/>
    <n v="1"/>
    <n v="3"/>
    <n v="1"/>
    <n v="1100"/>
    <m/>
    <n v="3300"/>
    <m/>
    <m/>
    <d v="2024-02-26T00:00:00"/>
    <d v="2024-03-25T00:00:00"/>
    <n v="28"/>
    <d v="2024-03-25T00:00:00"/>
    <d v="2024-04-01T00:00:00"/>
    <n v="7"/>
    <m/>
    <m/>
    <x v="17"/>
    <x v="1"/>
    <n v="0.75"/>
    <n v="0"/>
    <m/>
    <m/>
    <m/>
    <m/>
  </r>
  <r>
    <s v="2024"/>
    <x v="1"/>
    <m/>
    <x v="23"/>
    <m/>
    <s v="Evaluar, creación de pantalla, o login contra payroll"/>
    <m/>
    <x v="1"/>
    <s v="Mantenimiento"/>
    <s v="DSI"/>
    <x v="0"/>
    <s v="Vanessa Soria"/>
    <x v="1"/>
    <x v="1"/>
    <x v="0"/>
    <m/>
    <s v="Q4"/>
    <m/>
    <s v="MEDIA"/>
    <m/>
    <n v="3"/>
    <n v="2"/>
    <n v="400"/>
    <m/>
    <n v="3040"/>
    <m/>
    <m/>
    <d v="2024-10-14T00:00:00"/>
    <d v="2024-11-01T00:00:00"/>
    <e v="#REF!"/>
    <d v="2024-11-05T00:00:00"/>
    <d v="2024-11-12T00:00:00"/>
    <d v="2898-10-28T00:00:00"/>
    <m/>
    <m/>
    <x v="5"/>
    <x v="1"/>
    <n v="0.75"/>
    <n v="0"/>
    <m/>
    <m/>
    <m/>
    <m/>
  </r>
  <r>
    <s v="2024"/>
    <x v="1"/>
    <m/>
    <x v="24"/>
    <m/>
    <s v="en SIR con inclusión de listado de conceptos para:_x000a_CCH locales,_x000a_CCH administrativas"/>
    <m/>
    <x v="0"/>
    <s v="Mejoras Contabilidad"/>
    <s v="CAR"/>
    <x v="0"/>
    <s v="Diego Díaz"/>
    <x v="10"/>
    <x v="2"/>
    <x v="0"/>
    <s v="MEDIA"/>
    <s v="Q3"/>
    <m/>
    <s v="BAJA"/>
    <m/>
    <n v="2"/>
    <n v="2"/>
    <n v="400"/>
    <m/>
    <n v="2240"/>
    <m/>
    <m/>
    <d v="2024-06-17T00:00:00"/>
    <d v="2024-06-28T00:00:00"/>
    <e v="#REF!"/>
    <d v="2024-07-02T00:00:00"/>
    <d v="2024-09-09T00:00:00"/>
    <d v="2896-03-26T00:00:00"/>
    <m/>
    <m/>
    <x v="10"/>
    <x v="1"/>
    <n v="0.5"/>
    <n v="0"/>
    <m/>
    <m/>
    <m/>
    <m/>
  </r>
  <r>
    <s v="2023"/>
    <x v="1"/>
    <m/>
    <x v="25"/>
    <m/>
    <s v="Ver Anexo A4"/>
    <m/>
    <x v="0"/>
    <s v="Célula de Operaciones SIR 2023"/>
    <s v="OPER"/>
    <x v="0"/>
    <s v="Sandra Pailacho"/>
    <x v="0"/>
    <x v="1"/>
    <x v="1"/>
    <n v="2"/>
    <s v="Q1"/>
    <m/>
    <s v="ALTA"/>
    <m/>
    <n v="5"/>
    <n v="2"/>
    <n v="450"/>
    <m/>
    <n v="5140"/>
    <m/>
    <m/>
    <d v="2023-11-01T00:00:00"/>
    <d v="2023-12-15T00:00:00"/>
    <e v="#REF!"/>
    <d v="2024-03-19T00:00:00"/>
    <d v="2024-03-26T00:00:00"/>
    <d v="2893-10-06T00:00:00"/>
    <m/>
    <m/>
    <x v="18"/>
    <x v="1"/>
    <n v="1.25"/>
    <n v="0"/>
    <s v="Célula Operaciones"/>
    <m/>
    <m/>
    <m/>
  </r>
  <r>
    <s v="2024"/>
    <x v="0"/>
    <m/>
    <x v="26"/>
    <m/>
    <s v="Reconocer la placa del cliente para mediante api obtener datos del mismo y referencia de ultimos consumos realizados (permite modificar el speach comercial en la atención)"/>
    <m/>
    <x v="0"/>
    <s v="Funcionalidades Locales"/>
    <s v="REGIONAL"/>
    <x v="2"/>
    <s v="Justin Vergara"/>
    <x v="6"/>
    <x v="1"/>
    <x v="0"/>
    <m/>
    <s v="Q3"/>
    <s v="Fidelización del cliente en MXP.  API de placas. División en 2 fases."/>
    <s v="ALTA"/>
    <n v="1"/>
    <n v="8"/>
    <n v="3"/>
    <n v="550"/>
    <m/>
    <n v="13200"/>
    <m/>
    <m/>
    <d v="2024-07-01T00:00:00"/>
    <d v="2024-08-23T00:00:00"/>
    <e v="#REF!"/>
    <d v="2024-08-26T00:00:00"/>
    <d v="2024-08-30T00:00:00"/>
    <n v="364244"/>
    <d v="2024-09-02T00:00:00"/>
    <d v="2024-09-04T00:00:00"/>
    <x v="19"/>
    <x v="14"/>
    <n v="2"/>
    <n v="2"/>
    <m/>
    <m/>
    <m/>
    <m/>
  </r>
  <r>
    <s v="2024"/>
    <x v="1"/>
    <m/>
    <x v="27"/>
    <m/>
    <m/>
    <m/>
    <x v="1"/>
    <s v="Mantenimiento"/>
    <s v="DSI"/>
    <x v="0"/>
    <s v="Vanessa Soria"/>
    <x v="1"/>
    <x v="1"/>
    <x v="0"/>
    <m/>
    <s v="Q3"/>
    <m/>
    <s v="BAJA"/>
    <m/>
    <n v="1"/>
    <n v="1"/>
    <n v="400"/>
    <m/>
    <n v="1390"/>
    <m/>
    <m/>
    <d v="2024-07-08T00:00:00"/>
    <d v="2024-07-12T00:00:00"/>
    <e v="#REF!"/>
    <d v="2024-07-16T00:00:00"/>
    <d v="2024-07-23T00:00:00"/>
    <d v="2896-05-15T00:00:00"/>
    <m/>
    <m/>
    <x v="20"/>
    <x v="1"/>
    <n v="0.25"/>
    <n v="0"/>
    <m/>
    <m/>
    <m/>
    <m/>
  </r>
  <r>
    <s v="2024"/>
    <x v="1"/>
    <m/>
    <x v="28"/>
    <m/>
    <s v="Revisión y mejora de procesos de pedidos"/>
    <m/>
    <x v="1"/>
    <s v="Mantenimiento"/>
    <s v="DSI"/>
    <x v="0"/>
    <s v="Vanessa Soria"/>
    <x v="1"/>
    <x v="1"/>
    <x v="2"/>
    <m/>
    <s v="Q1"/>
    <m/>
    <s v="BAJA"/>
    <m/>
    <n v="2"/>
    <n v="1"/>
    <n v="400"/>
    <m/>
    <n v="1440"/>
    <m/>
    <m/>
    <d v="2024-03-04T00:00:00"/>
    <d v="2024-03-21T00:00:00"/>
    <e v="#REF!"/>
    <d v="2024-03-26T00:00:00"/>
    <d v="2024-03-19T00:00:00"/>
    <d v="2893-11-17T00:00:00"/>
    <m/>
    <m/>
    <x v="21"/>
    <x v="1"/>
    <n v="0.5"/>
    <n v="0"/>
    <m/>
    <m/>
    <m/>
    <m/>
  </r>
  <r>
    <s v="2024"/>
    <x v="0"/>
    <m/>
    <x v="29"/>
    <s v="MXP 2.0"/>
    <s v="Automatizar las campañas solidarias en MAX POINT Y SIR que realiza EL GRUPO KFC "/>
    <m/>
    <x v="0"/>
    <s v="Mejoras Maxpoint Auditoría 2024"/>
    <s v="CAR"/>
    <x v="0"/>
    <s v="Vladimir Morillo"/>
    <x v="2"/>
    <x v="2"/>
    <x v="0"/>
    <n v="2"/>
    <s v="Q2"/>
    <s v="Se debe también hacer un cambio en SIR"/>
    <s v="BAJA"/>
    <n v="1"/>
    <n v="3"/>
    <n v="1"/>
    <n v="550"/>
    <m/>
    <n v="2230"/>
    <m/>
    <m/>
    <d v="2024-04-30T00:00:00"/>
    <d v="2024-05-21T00:00:00"/>
    <d v="1900-01-20T00:00:00"/>
    <d v="2024-05-22T00:00:00"/>
    <d v="2024-06-05T00:00:00"/>
    <d v="2895-03-09T00:00:00"/>
    <d v="2024-06-06T00:00:00"/>
    <d v="2024-06-20T00:00:00"/>
    <x v="22"/>
    <x v="15"/>
    <n v="0.75"/>
    <n v="14"/>
    <m/>
    <m/>
    <m/>
    <m/>
  </r>
  <r>
    <s v="2023"/>
    <x v="5"/>
    <m/>
    <x v="30"/>
    <m/>
    <s v="Validar con Mario estado del proyecto."/>
    <m/>
    <x v="0"/>
    <s v="Mejoras B2B - Finanzas"/>
    <s v="CAR"/>
    <x v="0"/>
    <s v="Juan Carlos Benalcázar"/>
    <x v="11"/>
    <x v="1"/>
    <x v="1"/>
    <s v="Q2"/>
    <s v="Q2"/>
    <m/>
    <s v="MEDIA"/>
    <n v="1"/>
    <m/>
    <m/>
    <m/>
    <m/>
    <n v="0"/>
    <m/>
    <m/>
    <d v="2024-02-21T00:00:00"/>
    <d v="2024-04-21T00:00:00"/>
    <n v="60"/>
    <d v="2024-04-21T00:00:00"/>
    <d v="2024-05-07T00:00:00"/>
    <n v="16"/>
    <d v="2024-05-07T00:00:00"/>
    <d v="2024-05-14T00:00:00"/>
    <x v="23"/>
    <x v="16"/>
    <n v="0"/>
    <n v="7"/>
    <m/>
    <m/>
    <m/>
    <m/>
  </r>
  <r>
    <s v="2024"/>
    <x v="3"/>
    <m/>
    <x v="31"/>
    <m/>
    <s v="Nuevo desarrollo que permite empatar gastos de Facturas declaradas vs documentos que llegan a Carga Masiva"/>
    <m/>
    <x v="0"/>
    <s v="Administración Caja Chica"/>
    <s v="CAR"/>
    <x v="0"/>
    <s v="Diego Díaz / Vladimir Morillo"/>
    <x v="12"/>
    <x v="2"/>
    <x v="0"/>
    <m/>
    <s v="Q2"/>
    <m/>
    <s v="MEDIA"/>
    <m/>
    <n v="6"/>
    <n v="1"/>
    <n v="550"/>
    <m/>
    <n v="3900"/>
    <m/>
    <m/>
    <m/>
    <m/>
    <e v="#REF!"/>
    <m/>
    <m/>
    <d v="1899-12-30T00:00:00"/>
    <m/>
    <m/>
    <x v="9"/>
    <x v="1"/>
    <n v="1.5"/>
    <n v="0"/>
    <m/>
    <m/>
    <m/>
    <m/>
  </r>
  <r>
    <s v="2024"/>
    <x v="3"/>
    <m/>
    <x v="32"/>
    <m/>
    <s v="Cambio de Logica de Cajas Chicas, Fondos por Rendir para justificar valores en lugar de pedir reposición de Cajas Chicas"/>
    <m/>
    <x v="0"/>
    <s v="Funcionalidades Locales"/>
    <s v="REGIONAL"/>
    <x v="4"/>
    <s v="Davis Nuñez"/>
    <x v="13"/>
    <x v="1"/>
    <x v="0"/>
    <s v="Q2"/>
    <s v="Q2"/>
    <m/>
    <s v="BAJA"/>
    <m/>
    <n v="2"/>
    <n v="1"/>
    <n v="550"/>
    <m/>
    <n v="1740"/>
    <m/>
    <m/>
    <s v="01/0/2024"/>
    <d v="2024-11-01T00:00:00"/>
    <e v="#REF!"/>
    <d v="2024-11-01T00:00:00"/>
    <d v="2024-12-01T00:00:00"/>
    <d v="2898-10-19T00:00:00"/>
    <d v="2024-12-01T00:00:00"/>
    <d v="2024-12-07T00:00:00"/>
    <x v="24"/>
    <x v="17"/>
    <n v="0.5"/>
    <n v="6"/>
    <m/>
    <m/>
    <m/>
    <m/>
  </r>
  <r>
    <s v="2023"/>
    <x v="1"/>
    <m/>
    <x v="33"/>
    <m/>
    <s v="Ver Anexo A4"/>
    <m/>
    <x v="0"/>
    <s v="Otros - Presupuesto 2023"/>
    <s v="OPER"/>
    <x v="0"/>
    <s v="Sandra Pailacho"/>
    <x v="0"/>
    <x v="1"/>
    <x v="1"/>
    <n v="12"/>
    <s v="Q1"/>
    <m/>
    <s v="BAJA"/>
    <m/>
    <n v="2"/>
    <n v="2"/>
    <n v="400"/>
    <m/>
    <n v="2240"/>
    <m/>
    <m/>
    <d v="2024-01-15T00:00:00"/>
    <d v="2024-01-26T00:00:00"/>
    <e v="#REF!"/>
    <d v="2024-03-05T00:00:00"/>
    <d v="2024-03-12T00:00:00"/>
    <d v="2893-06-16T00:00:00"/>
    <m/>
    <m/>
    <x v="25"/>
    <x v="1"/>
    <n v="0.5"/>
    <n v="0"/>
    <s v="Presupuesto 2023"/>
    <m/>
    <m/>
    <m/>
  </r>
  <r>
    <s v="2024"/>
    <x v="0"/>
    <m/>
    <x v="34"/>
    <s v="MXP 2.0"/>
    <s v="Genera molestia en clientes por reportar a oficina el cambio y proceso operativo de varias personas en oficinas"/>
    <m/>
    <x v="0"/>
    <s v="Notas de Crédito"/>
    <s v="CAR"/>
    <x v="0"/>
    <s v="Diego Díaz / Vladimir Morillo"/>
    <x v="12"/>
    <x v="2"/>
    <x v="0"/>
    <s v="Q2"/>
    <s v="Q2"/>
    <s v="Definición del proceso por parte de Contabilidad y Auditoría"/>
    <s v="BAJA"/>
    <n v="1"/>
    <n v="4"/>
    <n v="1"/>
    <n v="550"/>
    <m/>
    <n v="2780"/>
    <m/>
    <m/>
    <d v="2024-04-01T00:00:00"/>
    <d v="2024-04-29T00:00:00"/>
    <d v="1900-01-27T00:00:00"/>
    <d v="2024-04-30T00:00:00"/>
    <d v="2024-05-14T00:00:00"/>
    <d v="2894-09-14T00:00:00"/>
    <d v="2024-05-15T00:00:00"/>
    <d v="2024-05-29T00:00:00"/>
    <x v="11"/>
    <x v="18"/>
    <n v="1"/>
    <n v="14"/>
    <s v="Vinculo con pedido que se contrapone de auditoría"/>
    <m/>
    <m/>
    <m/>
  </r>
  <r>
    <s v="2024"/>
    <x v="1"/>
    <m/>
    <x v="35"/>
    <m/>
    <s v="Ver Anexo A4"/>
    <m/>
    <x v="0"/>
    <s v="Célula de Operaciones SIR 2024"/>
    <s v="OPER"/>
    <x v="0"/>
    <s v="Sandra Pailacho"/>
    <x v="0"/>
    <x v="2"/>
    <x v="0"/>
    <n v="20"/>
    <s v="Q4"/>
    <m/>
    <s v="BAJA"/>
    <m/>
    <n v="6"/>
    <n v="2"/>
    <n v="450"/>
    <m/>
    <n v="6040"/>
    <m/>
    <m/>
    <d v="2024-11-11T00:00:00"/>
    <d v="2024-12-20T00:00:00"/>
    <e v="#REF!"/>
    <d v="2025-01-07T00:00:00"/>
    <d v="2025-01-10T00:00:00"/>
    <d v="2900-03-12T00:00:00"/>
    <m/>
    <m/>
    <x v="26"/>
    <x v="1"/>
    <n v="1.5"/>
    <n v="0"/>
    <s v="Célula Operaciones"/>
    <m/>
    <m/>
    <m/>
  </r>
  <r>
    <s v="2023"/>
    <x v="1"/>
    <m/>
    <x v="36"/>
    <s v="X"/>
    <s v="Ver Anexo A4"/>
    <m/>
    <x v="0"/>
    <s v="Otros - Presupuesto 2023"/>
    <s v="CAR"/>
    <x v="0"/>
    <s v="Vladimir Morillo"/>
    <x v="2"/>
    <x v="1"/>
    <x v="0"/>
    <m/>
    <s v="Q2"/>
    <m/>
    <s v="BAJA"/>
    <m/>
    <n v="2"/>
    <n v="2"/>
    <n v="400"/>
    <m/>
    <m/>
    <m/>
    <m/>
    <d v="2024-03-25T00:00:00"/>
    <d v="2024-04-05T00:00:00"/>
    <e v="#REF!"/>
    <d v="2024-04-07T00:00:00"/>
    <d v="2024-04-16T00:00:00"/>
    <d v="2894-03-09T00:00:00"/>
    <m/>
    <m/>
    <x v="27"/>
    <x v="1"/>
    <n v="0.5"/>
    <n v="0"/>
    <s v="Célula Operaciones"/>
    <m/>
    <m/>
    <m/>
  </r>
  <r>
    <s v="2023"/>
    <x v="1"/>
    <m/>
    <x v="37"/>
    <m/>
    <s v="Carga Automatica de Compras a SIR (Estaba listo pendiente salir a Producción)"/>
    <m/>
    <x v="0"/>
    <s v="Mejoras Contabilidad"/>
    <s v="CAR"/>
    <x v="0"/>
    <s v="Diego Díaz / Vladimir Morillo"/>
    <x v="10"/>
    <x v="1"/>
    <x v="1"/>
    <m/>
    <s v="Q2"/>
    <m/>
    <s v="BAJA"/>
    <m/>
    <n v="2"/>
    <n v="1"/>
    <n v="400"/>
    <m/>
    <n v="1440"/>
    <m/>
    <m/>
    <m/>
    <m/>
    <e v="#REF!"/>
    <d v="2024-03-15T00:00:00"/>
    <d v="2024-04-15T00:00:00"/>
    <d v="2893-09-28T00:00:00"/>
    <m/>
    <m/>
    <x v="9"/>
    <x v="1"/>
    <n v="0.5"/>
    <n v="0"/>
    <m/>
    <m/>
    <m/>
    <m/>
  </r>
  <r>
    <s v="2024"/>
    <x v="3"/>
    <m/>
    <x v="38"/>
    <m/>
    <s v="Dependencia de SAP Venezuela"/>
    <m/>
    <x v="0"/>
    <s v="Funcionalidades Locales"/>
    <s v="DSI"/>
    <x v="2"/>
    <s v="Jhustin Vergara"/>
    <x v="6"/>
    <x v="1"/>
    <x v="0"/>
    <m/>
    <s v="Q2"/>
    <m/>
    <s v="MEDIA"/>
    <n v="0"/>
    <n v="8"/>
    <n v="1"/>
    <n v="550"/>
    <m/>
    <n v="0"/>
    <m/>
    <m/>
    <d v="2024-04-01T00:00:00"/>
    <d v="2024-05-14T00:00:00"/>
    <e v="#REF!"/>
    <d v="2024-05-14T00:00:00"/>
    <d v="2024-05-21T00:00:00"/>
    <d v="2894-12-28T00:00:00"/>
    <d v="2024-06-21T00:00:00"/>
    <d v="2024-06-28T00:00:00"/>
    <x v="11"/>
    <x v="19"/>
    <n v="2"/>
    <n v="7"/>
    <s v="Presupuesto de proyecto SAP"/>
    <m/>
    <m/>
    <m/>
  </r>
  <r>
    <s v="2023"/>
    <x v="0"/>
    <m/>
    <x v="39"/>
    <m/>
    <s v="A cargo de Javier Sánchez, se tiene un avance del 70%. Se ofreció entregar para  el 2 de enero."/>
    <m/>
    <x v="0"/>
    <s v="Operaciones Aeropuerto 2024"/>
    <s v="OPER"/>
    <x v="0"/>
    <s v="Operaciones Aeropuerto"/>
    <x v="14"/>
    <x v="0"/>
    <x v="1"/>
    <n v="4"/>
    <s v="Q1"/>
    <s v="Veronica Jácome indica que este proceso se encuentra suspendido por temas legales."/>
    <s v="BAJA"/>
    <n v="1"/>
    <n v="0"/>
    <n v="0"/>
    <n v="550"/>
    <m/>
    <n v="580"/>
    <m/>
    <m/>
    <d v="2024-02-26T00:00:00"/>
    <d v="2024-03-01T00:00:00"/>
    <d v="1900-01-03T00:00:00"/>
    <d v="2024-03-11T00:00:00"/>
    <d v="2024-03-22T00:00:00"/>
    <d v="2893-08-07T00:00:00"/>
    <d v="2024-03-25T00:00:00"/>
    <d v="2024-04-05T00:00:00"/>
    <x v="17"/>
    <x v="20"/>
    <n v="0"/>
    <n v="11"/>
    <s v="Eliminar"/>
    <m/>
    <m/>
    <m/>
  </r>
  <r>
    <s v="2024"/>
    <x v="2"/>
    <s v="Fidelización"/>
    <x v="40"/>
    <s v="MXP LEGACY_x000a_MXP 2.0_x000a_TRADE"/>
    <s v="cheetah  KFC Fidelización (Lealtad Simple, puntos y tiers) + (cupones avanzandos) _x000a_Recepción de órdenes con descuentos y lealtad ***_x000a_Validar si BIG DATA se pega a CHEETAH. El POS va a tener afectación."/>
    <s v="ALTA"/>
    <x v="3"/>
    <s v="Proyectos TD 2024"/>
    <s v="CAR"/>
    <x v="0"/>
    <s v="Daniel Barreno"/>
    <x v="4"/>
    <x v="1"/>
    <x v="0"/>
    <s v="Q1"/>
    <s v="Q1"/>
    <s v="p29"/>
    <s v="MEDIA"/>
    <m/>
    <n v="6"/>
    <n v="1"/>
    <n v="550"/>
    <m/>
    <n v="788"/>
    <m/>
    <m/>
    <d v="2024-05-13T00:00:00"/>
    <d v="2024-05-27T00:00:00"/>
    <n v="14"/>
    <d v="2024-05-27T00:00:00"/>
    <d v="2024-06-10T00:00:00"/>
    <n v="363526"/>
    <d v="2024-06-10T00:00:00"/>
    <d v="2024-06-17T00:00:00"/>
    <x v="19"/>
    <x v="21"/>
    <n v="1.5"/>
    <n v="7"/>
    <s v="ECOMERCE"/>
    <m/>
    <s v="x"/>
    <m/>
  </r>
  <r>
    <s v="2024"/>
    <x v="2"/>
    <s v="Fidelización"/>
    <x v="40"/>
    <s v="MXP LEGACY_x000a_MXP 2.0_x000a_TRADE"/>
    <s v="Recepción de órdenes con descuentos y lealtad ***_x000a_Validar si BIG DATA se pega a CHEETAH. El POS va a tener afectación."/>
    <s v="ALTA"/>
    <x v="3"/>
    <s v="Proyectos TD 2024"/>
    <s v="CAR"/>
    <x v="3"/>
    <m/>
    <x v="4"/>
    <x v="3"/>
    <x v="0"/>
    <m/>
    <m/>
    <m/>
    <m/>
    <m/>
    <m/>
    <m/>
    <m/>
    <m/>
    <n v="788"/>
    <m/>
    <m/>
    <d v="2024-05-13T00:00:00"/>
    <d v="2024-05-27T00:00:00"/>
    <n v="14"/>
    <d v="2024-05-27T00:00:00"/>
    <d v="2024-06-10T00:00:00"/>
    <n v="363526"/>
    <d v="2024-06-10T00:00:00"/>
    <d v="2024-06-17T00:00:00"/>
    <x v="19"/>
    <x v="21"/>
    <d v="1899-12-30T00:00:00"/>
    <n v="7"/>
    <m/>
    <m/>
    <m/>
    <m/>
  </r>
  <r>
    <s v="2024"/>
    <x v="2"/>
    <s v="Fidelización"/>
    <x v="40"/>
    <s v="MXP LEGACY_x000a_MXP 2.0_x000a_TRADE"/>
    <s v="Recepción de órdenes con descuentos y lealtad ***_x000a_Validar si BIG DATA se pega a CHEETAH. El POS va a tener afectación."/>
    <s v="ALTA"/>
    <x v="3"/>
    <s v="Proyectos TD 2024"/>
    <s v="CAR"/>
    <x v="4"/>
    <m/>
    <x v="4"/>
    <x v="3"/>
    <x v="0"/>
    <m/>
    <m/>
    <m/>
    <m/>
    <m/>
    <m/>
    <m/>
    <m/>
    <m/>
    <n v="788"/>
    <m/>
    <m/>
    <d v="2024-05-13T00:00:00"/>
    <d v="2024-05-27T00:00:00"/>
    <n v="14"/>
    <d v="2024-05-27T00:00:00"/>
    <d v="2024-06-10T00:00:00"/>
    <n v="363526"/>
    <d v="2024-06-10T00:00:00"/>
    <d v="2024-06-17T00:00:00"/>
    <x v="19"/>
    <x v="21"/>
    <d v="1899-12-30T00:00:00"/>
    <n v="7"/>
    <m/>
    <m/>
    <m/>
    <m/>
  </r>
  <r>
    <s v="2024"/>
    <x v="2"/>
    <s v="Fidelización"/>
    <x v="40"/>
    <s v="MXP LEGACY_x000a_MXP 2.0_x000a_TRADE"/>
    <s v="Recepción de órdenes con descuentos y lealtad ***_x000a_Validar si BIG DATA se pega a CHEETAH. El POS va a tener afectación."/>
    <s v="ALTA"/>
    <x v="3"/>
    <s v="Proyectos TD 2024"/>
    <s v="CAR"/>
    <x v="2"/>
    <m/>
    <x v="4"/>
    <x v="3"/>
    <x v="0"/>
    <m/>
    <m/>
    <m/>
    <m/>
    <m/>
    <m/>
    <m/>
    <m/>
    <m/>
    <n v="788"/>
    <m/>
    <m/>
    <d v="2024-05-13T00:00:00"/>
    <d v="2024-05-27T00:00:00"/>
    <n v="14"/>
    <d v="2024-05-27T00:00:00"/>
    <d v="2024-06-10T00:00:00"/>
    <n v="363526"/>
    <d v="2024-06-10T00:00:00"/>
    <d v="2024-06-17T00:00:00"/>
    <x v="19"/>
    <x v="21"/>
    <d v="1899-12-30T00:00:00"/>
    <n v="7"/>
    <m/>
    <m/>
    <m/>
    <m/>
  </r>
  <r>
    <s v="2024"/>
    <x v="2"/>
    <s v="Fidelización"/>
    <x v="40"/>
    <s v="MXP LEGACY_x000a_MXP 2.0_x000a_TRADE"/>
    <s v="Recepción de órdenes con descuentos y lealtad ***_x000a_Validar si BIG DATA se pega a CHEETAH. El POS va a tener afectación."/>
    <s v="ALTA"/>
    <x v="3"/>
    <s v="Proyectos TD 2024"/>
    <s v="CAR"/>
    <x v="1"/>
    <m/>
    <x v="4"/>
    <x v="3"/>
    <x v="0"/>
    <m/>
    <m/>
    <m/>
    <m/>
    <m/>
    <m/>
    <m/>
    <m/>
    <m/>
    <n v="788"/>
    <m/>
    <m/>
    <d v="2024-05-13T00:00:00"/>
    <d v="2024-05-27T00:00:00"/>
    <n v="14"/>
    <d v="2024-05-27T00:00:00"/>
    <d v="2024-06-10T00:00:00"/>
    <n v="363526"/>
    <d v="2024-06-10T00:00:00"/>
    <d v="2024-06-17T00:00:00"/>
    <x v="19"/>
    <x v="21"/>
    <m/>
    <m/>
    <m/>
    <m/>
    <m/>
    <m/>
  </r>
  <r>
    <s v="2024"/>
    <x v="1"/>
    <m/>
    <x v="41"/>
    <m/>
    <s v="Ver Anexo A4"/>
    <m/>
    <x v="0"/>
    <s v="Célula de Operaciones SIR 2024"/>
    <s v="OPER"/>
    <x v="0"/>
    <s v="Sandra Pailacho"/>
    <x v="0"/>
    <x v="2"/>
    <x v="0"/>
    <n v="26"/>
    <s v="Q4"/>
    <m/>
    <s v="MEDIA"/>
    <m/>
    <n v="4"/>
    <n v="2"/>
    <n v="400"/>
    <m/>
    <n v="3840"/>
    <m/>
    <m/>
    <d v="2024-11-18T00:00:00"/>
    <d v="2024-12-13T00:00:00"/>
    <e v="#REF!"/>
    <d v="2024-12-17T00:00:00"/>
    <d v="2024-12-23T00:00:00"/>
    <d v="2899-09-28T00:00:00"/>
    <m/>
    <m/>
    <x v="28"/>
    <x v="1"/>
    <n v="1"/>
    <n v="0"/>
    <s v="Célula Operaciones"/>
    <m/>
    <m/>
    <m/>
  </r>
  <r>
    <s v="2024"/>
    <x v="5"/>
    <m/>
    <x v="42"/>
    <m/>
    <s v="Automatización para la clasificación y transferencia de Inventarios para pedidos de Servicios Internos_x000a_Se está asumiendo IVA de Autoconsumo si no se hace este movimiento le cuesta al año $3000"/>
    <m/>
    <x v="0"/>
    <s v="Traspaso de Sistemas Internos a SAP para analizar"/>
    <s v="PLANTA"/>
    <x v="0"/>
    <s v="Diego Díaz "/>
    <x v="12"/>
    <x v="0"/>
    <x v="0"/>
    <m/>
    <s v="Q4"/>
    <m/>
    <s v="ALTA"/>
    <n v="1"/>
    <n v="8"/>
    <n v="1"/>
    <n v="550"/>
    <m/>
    <n v="4400"/>
    <m/>
    <m/>
    <m/>
    <m/>
    <n v="0"/>
    <m/>
    <m/>
    <n v="0"/>
    <m/>
    <m/>
    <x v="9"/>
    <x v="1"/>
    <n v="2"/>
    <n v="0"/>
    <m/>
    <m/>
    <m/>
    <m/>
  </r>
  <r>
    <s v="2024"/>
    <x v="1"/>
    <m/>
    <x v="43"/>
    <m/>
    <s v="Ver Anexo A4"/>
    <m/>
    <x v="0"/>
    <s v="Célula de Operaciones SIR 2024"/>
    <s v="OPER"/>
    <x v="0"/>
    <s v="Sandra Pailacho"/>
    <x v="0"/>
    <x v="2"/>
    <x v="0"/>
    <n v="17"/>
    <s v="Q3"/>
    <m/>
    <s v="BAJA"/>
    <m/>
    <n v="3"/>
    <n v="2"/>
    <n v="400"/>
    <m/>
    <n v="3040"/>
    <m/>
    <m/>
    <d v="2024-07-01T00:00:00"/>
    <d v="2024-07-20T00:00:00"/>
    <e v="#REF!"/>
    <d v="2024-04-23T00:00:00"/>
    <d v="2024-07-30T00:00:00"/>
    <d v="2894-10-12T00:00:00"/>
    <m/>
    <m/>
    <x v="19"/>
    <x v="1"/>
    <n v="0.75"/>
    <n v="0"/>
    <s v="Célula Operaciones"/>
    <m/>
    <m/>
    <m/>
  </r>
  <r>
    <s v="2024"/>
    <x v="1"/>
    <m/>
    <x v="44"/>
    <m/>
    <m/>
    <m/>
    <x v="1"/>
    <s v="Mantenimiento"/>
    <s v="DSI"/>
    <x v="0"/>
    <s v="Vanessa Soria"/>
    <x v="1"/>
    <x v="1"/>
    <x v="0"/>
    <m/>
    <s v="Q1"/>
    <m/>
    <s v="BAJA"/>
    <m/>
    <n v="2"/>
    <n v="2"/>
    <n v="400"/>
    <m/>
    <n v="2240"/>
    <m/>
    <m/>
    <d v="2024-02-26T00:00:00"/>
    <d v="2024-03-08T00:00:00"/>
    <e v="#REF!"/>
    <d v="2024-03-12T00:00:00"/>
    <d v="2024-03-19T00:00:00"/>
    <d v="2893-08-11T00:00:00"/>
    <m/>
    <m/>
    <x v="17"/>
    <x v="1"/>
    <n v="0.5"/>
    <n v="0"/>
    <m/>
    <m/>
    <m/>
    <m/>
  </r>
  <r>
    <s v="2024"/>
    <x v="2"/>
    <s v="Conciliaciones Tarjetas"/>
    <x v="45"/>
    <s v="MXP LEGACY_x000a_MXP 2.0_x000a_TRADE"/>
    <s v="Max Point enviar transacciones POS a conciliador"/>
    <s v="ALTA"/>
    <x v="0"/>
    <s v="Proyectos TD 2024"/>
    <s v="CAR"/>
    <x v="0"/>
    <s v="Diego Díaz"/>
    <x v="12"/>
    <x v="1"/>
    <x v="0"/>
    <m/>
    <s v="Q2"/>
    <m/>
    <s v="MEDIA"/>
    <m/>
    <n v="8"/>
    <n v="1"/>
    <n v="550"/>
    <m/>
    <n v="5040"/>
    <m/>
    <m/>
    <d v="2024-03-18T00:00:00"/>
    <d v="2024-03-18T00:00:00"/>
    <n v="0"/>
    <d v="2024-03-18T00:00:00"/>
    <d v="2024-04-01T00:00:00"/>
    <n v="362966"/>
    <d v="2024-04-01T00:00:00"/>
    <d v="2024-04-15T00:00:00"/>
    <x v="29"/>
    <x v="22"/>
    <n v="2"/>
    <n v="14"/>
    <m/>
    <m/>
    <s v="x"/>
    <m/>
  </r>
  <r>
    <s v="2024"/>
    <x v="5"/>
    <m/>
    <x v="46"/>
    <m/>
    <s v="Confirmación por correo de pago efectuado a proveedores- B2B"/>
    <m/>
    <x v="0"/>
    <s v="Mejoras B2B - Tesorería"/>
    <s v="CAR"/>
    <x v="0"/>
    <s v="Amparo Aleman"/>
    <x v="15"/>
    <x v="2"/>
    <x v="0"/>
    <s v="Q2"/>
    <s v="Q2"/>
    <m/>
    <s v="MEDIA"/>
    <n v="1"/>
    <n v="2"/>
    <n v="1"/>
    <n v="1100"/>
    <m/>
    <n v="2200"/>
    <m/>
    <m/>
    <d v="2024-04-07T00:00:00"/>
    <d v="2024-05-07T00:00:00"/>
    <n v="30"/>
    <d v="2024-04-28T00:00:00"/>
    <d v="2024-05-07T00:00:00"/>
    <n v="9"/>
    <d v="2024-05-07T00:00:00"/>
    <d v="2024-05-14T00:00:00"/>
    <x v="30"/>
    <x v="16"/>
    <n v="0.5"/>
    <n v="7"/>
    <m/>
    <m/>
    <m/>
    <m/>
  </r>
  <r>
    <s v="2024"/>
    <x v="2"/>
    <s v="Cupones"/>
    <x v="47"/>
    <s v="MXP LEGACY_x000a_TRADE"/>
    <s v="Sustitución de cupones manuales"/>
    <s v="MEDIA"/>
    <x v="0"/>
    <s v="Funcionalidades Locales"/>
    <s v="CAR"/>
    <x v="0"/>
    <s v="Andres Canelos / Ma. Paula Tapia"/>
    <x v="5"/>
    <x v="1"/>
    <x v="0"/>
    <n v="3"/>
    <s v="Q3"/>
    <s v="p56"/>
    <s v="MEDIA"/>
    <m/>
    <n v="10"/>
    <n v="1"/>
    <n v="550"/>
    <m/>
    <n v="6140"/>
    <m/>
    <m/>
    <d v="2024-07-22T00:00:00"/>
    <d v="2024-09-16T00:00:00"/>
    <n v="56"/>
    <d v="2024-09-16T00:00:00"/>
    <d v="2024-09-23T00:00:00"/>
    <n v="364415"/>
    <d v="2024-09-23T00:00:00"/>
    <d v="2024-09-30T00:00:00"/>
    <x v="19"/>
    <x v="23"/>
    <n v="2.5"/>
    <n v="7"/>
    <s v="Consultar si los cupones Digitales de Colombia se adaptan a esta solicitud."/>
    <m/>
    <s v="x"/>
    <m/>
  </r>
  <r>
    <s v="2024"/>
    <x v="1"/>
    <m/>
    <x v="48"/>
    <m/>
    <s v="El reproceso se da porque el tecnico va mas de dos veces a realizar un mismo trabajo en el mismo equipo, generando gastos inecesarios o paros prolongados de el equipo."/>
    <m/>
    <x v="0"/>
    <s v="Mantenimiento Restaurantes"/>
    <s v="CAR"/>
    <x v="0"/>
    <s v="MIguel Lincango"/>
    <x v="16"/>
    <x v="2"/>
    <x v="1"/>
    <m/>
    <s v="Q1"/>
    <m/>
    <s v="BAJA"/>
    <m/>
    <n v="2"/>
    <n v="2"/>
    <n v="400"/>
    <m/>
    <n v="2240"/>
    <m/>
    <m/>
    <d v="2024-03-11T00:00:00"/>
    <d v="2024-03-23T00:00:00"/>
    <e v="#REF!"/>
    <d v="2024-03-26T00:00:00"/>
    <d v="2024-04-02T00:00:00"/>
    <d v="2893-12-01T00:00:00"/>
    <m/>
    <m/>
    <x v="31"/>
    <x v="1"/>
    <n v="0.5"/>
    <n v="0"/>
    <m/>
    <m/>
    <m/>
    <m/>
  </r>
  <r>
    <s v="2024"/>
    <x v="0"/>
    <m/>
    <x v="49"/>
    <s v="MXP 2.0"/>
    <s v="MAX POINT, debería solicitar automáticamente en un periodo CAMBIO DE CLAVES DE USUARIOS"/>
    <m/>
    <x v="0"/>
    <s v="Mejoras Maxpoint Auditoría 2024"/>
    <s v="CAR"/>
    <x v="0"/>
    <s v="Vladimir Morillo"/>
    <x v="2"/>
    <x v="2"/>
    <x v="0"/>
    <n v="3"/>
    <s v="Q2"/>
    <m/>
    <s v="BAJA"/>
    <n v="1"/>
    <n v="1"/>
    <n v="4"/>
    <n v="550"/>
    <m/>
    <n v="2780"/>
    <m/>
    <m/>
    <d v="2024-05-27T00:00:00"/>
    <d v="2024-06-24T00:00:00"/>
    <d v="1900-01-27T00:00:00"/>
    <d v="2024-06-25T00:00:00"/>
    <d v="2024-07-09T00:00:00"/>
    <d v="2895-12-06T00:00:00"/>
    <d v="2024-07-10T00:00:00"/>
    <d v="2024-07-24T00:00:00"/>
    <x v="32"/>
    <x v="24"/>
    <n v="0.25"/>
    <n v="14"/>
    <m/>
    <m/>
    <m/>
    <m/>
  </r>
  <r>
    <s v="2024"/>
    <x v="1"/>
    <m/>
    <x v="50"/>
    <s v="X"/>
    <s v="Una vez cerrados el inventario Diario, no permita ingresar ningún movimiento de días anteriores . "/>
    <m/>
    <x v="0"/>
    <s v="Mejoras Auditoría"/>
    <s v="CAR"/>
    <x v="0"/>
    <s v="Vladimir Morillo"/>
    <x v="2"/>
    <x v="2"/>
    <x v="0"/>
    <n v="1"/>
    <s v="Q2"/>
    <m/>
    <s v="ALTA"/>
    <m/>
    <n v="4"/>
    <n v="2"/>
    <n v="400"/>
    <m/>
    <n v="3840"/>
    <m/>
    <m/>
    <d v="2024-04-01T00:00:00"/>
    <d v="2024-04-19T00:00:00"/>
    <e v="#REF!"/>
    <d v="2024-04-23T00:00:00"/>
    <d v="2024-04-29T00:00:00"/>
    <d v="2894-07-12T00:00:00"/>
    <m/>
    <d v="2024-04-30T00:00:00"/>
    <x v="11"/>
    <x v="25"/>
    <n v="1"/>
    <n v="45412"/>
    <m/>
    <m/>
    <m/>
    <m/>
  </r>
  <r>
    <s v="2024"/>
    <x v="2"/>
    <s v="Motorizado Delivery"/>
    <x v="51"/>
    <s v="MXP LEGACY"/>
    <s v="Compromiso Matriz Regional  (Argentina, Ecuador, Colombia, Venezuela)"/>
    <s v="ALTA"/>
    <x v="3"/>
    <s v="Funcionalidades Regionales"/>
    <s v="DSI"/>
    <x v="0"/>
    <s v="Mychael Castro"/>
    <x v="1"/>
    <x v="1"/>
    <x v="0"/>
    <m/>
    <s v="Q1"/>
    <s v="p14"/>
    <s v="ALTA"/>
    <n v="1"/>
    <n v="6"/>
    <n v="1"/>
    <n v="550"/>
    <m/>
    <n v="3940"/>
    <m/>
    <m/>
    <d v="2024-03-04T00:00:00"/>
    <d v="2024-04-01T00:00:00"/>
    <n v="28"/>
    <d v="2024-04-01T00:00:00"/>
    <d v="2024-04-08T00:00:00"/>
    <n v="363071"/>
    <d v="2024-04-08T00:00:00"/>
    <d v="2024-04-15T00:00:00"/>
    <x v="33"/>
    <x v="26"/>
    <n v="1.5"/>
    <n v="7"/>
    <s v="PROYECTO REGIONAL"/>
    <m/>
    <m/>
    <m/>
  </r>
  <r>
    <s v="2024"/>
    <x v="2"/>
    <s v="Motorizado Delivery"/>
    <x v="51"/>
    <s v="MXP LEGACY"/>
    <s v="Compromiso Matriz Regional  (Argentina, Ecuador, Colombia, Venezuela)"/>
    <s v="ALTA"/>
    <x v="3"/>
    <s v="Funcionalidades Regionales"/>
    <s v="DSI"/>
    <x v="1"/>
    <s v="Mychael Castro"/>
    <x v="1"/>
    <x v="1"/>
    <x v="0"/>
    <m/>
    <s v="Q1"/>
    <s v="p14"/>
    <s v="ALTA"/>
    <n v="1"/>
    <n v="6"/>
    <n v="1"/>
    <n v="550"/>
    <m/>
    <n v="3940"/>
    <m/>
    <m/>
    <d v="2024-03-04T00:00:00"/>
    <d v="2024-04-01T00:00:00"/>
    <n v="28"/>
    <d v="2024-04-01T00:00:00"/>
    <d v="2024-04-08T00:00:00"/>
    <n v="363071"/>
    <d v="2024-04-08T00:00:00"/>
    <d v="2024-04-15T00:00:00"/>
    <x v="33"/>
    <x v="26"/>
    <n v="1.5"/>
    <n v="7"/>
    <s v="PROYECTO REGIONAL"/>
    <m/>
    <m/>
    <m/>
  </r>
  <r>
    <s v="2024"/>
    <x v="2"/>
    <s v="Motorizado Delivery"/>
    <x v="51"/>
    <s v="MXP LEGACY"/>
    <s v="Compromiso Matriz Regional  (Argentina, Ecuador, Colombia, Venezuela)"/>
    <s v="ALTA"/>
    <x v="3"/>
    <s v="Funcionalidades Regionales"/>
    <s v="DSI"/>
    <x v="2"/>
    <s v="Mychael Castro"/>
    <x v="1"/>
    <x v="1"/>
    <x v="0"/>
    <m/>
    <s v="Q1"/>
    <s v="p14"/>
    <s v="ALTA"/>
    <n v="1"/>
    <n v="6"/>
    <n v="1"/>
    <n v="550"/>
    <m/>
    <n v="3940"/>
    <m/>
    <m/>
    <d v="2024-03-04T00:00:00"/>
    <d v="2024-04-01T00:00:00"/>
    <n v="28"/>
    <d v="2024-04-01T00:00:00"/>
    <d v="2024-04-08T00:00:00"/>
    <n v="363071"/>
    <d v="2024-04-08T00:00:00"/>
    <d v="2024-04-15T00:00:00"/>
    <x v="33"/>
    <x v="26"/>
    <n v="1.5"/>
    <n v="7"/>
    <s v="PROYECTO REGIONAL"/>
    <m/>
    <m/>
    <m/>
  </r>
  <r>
    <s v="2023"/>
    <x v="2"/>
    <s v="Motorizado Delivery"/>
    <x v="51"/>
    <s v="MXP LEGACY_x000a_TRADE"/>
    <s v="flujo para controlar los pagos en efectivo entregados por el motorizado a personal del restaurante"/>
    <m/>
    <x v="3"/>
    <s v="Funcionalidades Regionales"/>
    <s v="DSI"/>
    <x v="3"/>
    <s v="William Villegas"/>
    <x v="9"/>
    <x v="1"/>
    <x v="0"/>
    <m/>
    <s v="Q1"/>
    <m/>
    <s v="MEDIA"/>
    <n v="1"/>
    <n v="4"/>
    <n v="1"/>
    <n v="625"/>
    <m/>
    <n v="2500"/>
    <m/>
    <m/>
    <d v="2023-12-17T00:00:00"/>
    <d v="2024-02-02T00:00:00"/>
    <e v="#REF!"/>
    <d v="2024-02-04T00:00:00"/>
    <d v="2024-02-09T00:00:00"/>
    <d v="2892-10-17T00:00:00"/>
    <d v="2024-02-11T00:00:00"/>
    <d v="2024-02-15T00:00:00"/>
    <x v="33"/>
    <x v="26"/>
    <n v="1"/>
    <n v="4"/>
    <m/>
    <m/>
    <m/>
    <m/>
  </r>
  <r>
    <s v="2024"/>
    <x v="2"/>
    <s v="Motorizado Delivery"/>
    <x v="52"/>
    <s v="MXP LEGACY"/>
    <s v="Integracion Picking QR Agregadores"/>
    <s v="ALTA"/>
    <x v="3"/>
    <s v="Funcionalidades Regionales"/>
    <s v="DSI"/>
    <x v="0"/>
    <s v="Mychael Castro"/>
    <x v="1"/>
    <x v="1"/>
    <x v="0"/>
    <m/>
    <s v="Q1"/>
    <s v="p13"/>
    <s v="ALTA"/>
    <n v="1"/>
    <n v="6"/>
    <n v="1"/>
    <n v="550"/>
    <m/>
    <n v="3940"/>
    <m/>
    <m/>
    <d v="2024-03-04T00:00:00"/>
    <d v="2024-03-18T00:00:00"/>
    <n v="14"/>
    <d v="2024-03-18T00:00:00"/>
    <d v="2024-03-25T00:00:00"/>
    <n v="362959"/>
    <d v="2024-03-25T00:00:00"/>
    <d v="2024-04-01T00:00:00"/>
    <x v="15"/>
    <x v="27"/>
    <n v="1.5"/>
    <n v="7"/>
    <s v="PROYECTO REGIONAL"/>
    <m/>
    <m/>
    <m/>
  </r>
  <r>
    <s v="2024"/>
    <x v="2"/>
    <s v="Motorizado Delivery"/>
    <x v="52"/>
    <s v="MXP LEGACY"/>
    <s v="Integracion Picking QR Agregadores"/>
    <s v="ALTA"/>
    <x v="3"/>
    <s v="Funcionalidades Regionales"/>
    <s v="DSI"/>
    <x v="1"/>
    <s v="Mychael Castro"/>
    <x v="1"/>
    <x v="1"/>
    <x v="0"/>
    <m/>
    <s v="Q1"/>
    <s v="p13"/>
    <s v="ALTA"/>
    <n v="1"/>
    <n v="6"/>
    <n v="1"/>
    <n v="550"/>
    <m/>
    <n v="3940"/>
    <m/>
    <m/>
    <d v="2024-02-26T00:00:00"/>
    <d v="2024-03-25T00:00:00"/>
    <n v="28"/>
    <d v="2024-03-25T00:00:00"/>
    <d v="2024-04-01T00:00:00"/>
    <n v="363015"/>
    <d v="2024-04-01T00:00:00"/>
    <d v="2024-04-08T00:00:00"/>
    <x v="15"/>
    <x v="27"/>
    <n v="1.5"/>
    <n v="7"/>
    <s v="PROYECTO REGIONAL"/>
    <m/>
    <m/>
    <m/>
  </r>
  <r>
    <s v="2024"/>
    <x v="5"/>
    <m/>
    <x v="53"/>
    <m/>
    <m/>
    <m/>
    <x v="0"/>
    <m/>
    <s v="CAR"/>
    <x v="0"/>
    <s v="Diego Díaz"/>
    <x v="12"/>
    <x v="0"/>
    <x v="0"/>
    <m/>
    <m/>
    <m/>
    <m/>
    <m/>
    <m/>
    <m/>
    <m/>
    <m/>
    <n v="6400"/>
    <m/>
    <m/>
    <m/>
    <m/>
    <e v="#REF!"/>
    <m/>
    <m/>
    <d v="1899-12-30T00:00:00"/>
    <m/>
    <m/>
    <x v="9"/>
    <x v="1"/>
    <n v="0"/>
    <n v="0"/>
    <m/>
    <m/>
    <m/>
    <m/>
  </r>
  <r>
    <s v="2024"/>
    <x v="1"/>
    <m/>
    <x v="54"/>
    <m/>
    <s v="Asentar devoluciones de manera masiva no local por local"/>
    <m/>
    <x v="0"/>
    <s v="Mejoras Contabilidad"/>
    <s v="CAR"/>
    <x v="0"/>
    <s v="Diego Díaz / Vladimir Morillo"/>
    <x v="10"/>
    <x v="2"/>
    <x v="0"/>
    <s v="ALTA"/>
    <s v="Q2"/>
    <m/>
    <s v="MEDIA"/>
    <m/>
    <n v="4"/>
    <n v="2"/>
    <n v="450"/>
    <m/>
    <n v="4240"/>
    <m/>
    <m/>
    <d v="2024-04-29T00:00:00"/>
    <d v="2024-05-17T00:00:00"/>
    <e v="#REF!"/>
    <d v="2024-05-21T00:00:00"/>
    <d v="2024-05-28T00:00:00"/>
    <d v="2895-02-22T00:00:00"/>
    <m/>
    <m/>
    <x v="34"/>
    <x v="1"/>
    <n v="1"/>
    <n v="0"/>
    <m/>
    <m/>
    <m/>
    <m/>
  </r>
  <r>
    <s v="2024"/>
    <x v="1"/>
    <m/>
    <x v="55"/>
    <m/>
    <m/>
    <m/>
    <x v="0"/>
    <s v="Mantenimiento Restaurantes"/>
    <s v="CAR"/>
    <x v="0"/>
    <s v="Carolina Pantoja"/>
    <x v="16"/>
    <x v="0"/>
    <x v="0"/>
    <m/>
    <s v="Q2"/>
    <m/>
    <s v="BAJA"/>
    <m/>
    <n v="2"/>
    <n v="2"/>
    <n v="400"/>
    <m/>
    <n v="2240"/>
    <m/>
    <m/>
    <d v="2024-05-27T00:00:00"/>
    <d v="2025-06-07T00:00:00"/>
    <e v="#REF!"/>
    <d v="2024-06-18T00:00:00"/>
    <d v="2024-06-25T00:00:00"/>
    <d v="2895-10-04T00:00:00"/>
    <m/>
    <m/>
    <x v="32"/>
    <x v="1"/>
    <n v="0.5"/>
    <n v="0"/>
    <m/>
    <m/>
    <m/>
    <m/>
  </r>
  <r>
    <s v="2024"/>
    <x v="5"/>
    <m/>
    <x v="56"/>
    <m/>
    <s v="Migración a SAP en Deviso"/>
    <m/>
    <x v="0"/>
    <s v="Creación Sociedad Financiera DEVISO"/>
    <s v="CAR"/>
    <x v="0"/>
    <s v="Ana Cordova"/>
    <x v="17"/>
    <x v="1"/>
    <x v="1"/>
    <s v="Q1"/>
    <s v="Q1"/>
    <m/>
    <s v="BAJA"/>
    <n v="1"/>
    <n v="4"/>
    <m/>
    <m/>
    <m/>
    <n v="0"/>
    <m/>
    <m/>
    <d v="2024-02-07T00:00:00"/>
    <d v="2024-02-21T00:00:00"/>
    <n v="14"/>
    <d v="2024-02-21T00:00:00"/>
    <d v="2024-02-28T00:00:00"/>
    <n v="7"/>
    <d v="2024-03-07T00:00:00"/>
    <d v="2024-03-14T00:00:00"/>
    <x v="35"/>
    <x v="28"/>
    <n v="1"/>
    <n v="7"/>
    <m/>
    <m/>
    <m/>
    <m/>
  </r>
  <r>
    <s v="2024"/>
    <x v="5"/>
    <m/>
    <x v="57"/>
    <m/>
    <s v="Creación de 72 empresas de Servicios en SAP"/>
    <m/>
    <x v="0"/>
    <s v="Creación Empresas: FAMILY OFFICE"/>
    <s v="CAR"/>
    <x v="0"/>
    <s v="Amparo Aleman"/>
    <x v="15"/>
    <x v="2"/>
    <x v="0"/>
    <s v="Q2"/>
    <s v="Q2"/>
    <m/>
    <s v="ALTA"/>
    <n v="1"/>
    <n v="1"/>
    <n v="1"/>
    <n v="19305"/>
    <n v="12600"/>
    <n v="31905"/>
    <n v="12600"/>
    <m/>
    <d v="2024-03-07T00:00:00"/>
    <d v="2024-06-07T00:00:00"/>
    <n v="92"/>
    <d v="2024-03-28T00:00:00"/>
    <d v="2024-06-28T00:00:00"/>
    <n v="92"/>
    <d v="2024-04-07T00:00:00"/>
    <d v="2024-06-28T00:00:00"/>
    <x v="36"/>
    <x v="19"/>
    <n v="0.25"/>
    <n v="82"/>
    <m/>
    <m/>
    <m/>
    <m/>
  </r>
  <r>
    <s v="2024"/>
    <x v="1"/>
    <m/>
    <x v="58"/>
    <m/>
    <s v="Cuadre del fondo de Caja chica, incorporado en el SIR."/>
    <m/>
    <x v="0"/>
    <s v="Mejoras Auditoría"/>
    <s v="CAR"/>
    <x v="0"/>
    <s v="Vladimir Morillo"/>
    <x v="2"/>
    <x v="2"/>
    <x v="0"/>
    <n v="5"/>
    <s v="Q4"/>
    <m/>
    <s v="MEDIA"/>
    <m/>
    <n v="4"/>
    <n v="2"/>
    <n v="450"/>
    <m/>
    <n v="4240"/>
    <m/>
    <m/>
    <d v="2024-09-02T00:00:00"/>
    <d v="2024-09-27T00:00:00"/>
    <e v="#REF!"/>
    <d v="2024-10-01T00:00:00"/>
    <d v="2024-10-01T00:00:00"/>
    <d v="2898-01-14T00:00:00"/>
    <m/>
    <m/>
    <x v="3"/>
    <x v="1"/>
    <n v="1"/>
    <n v="0"/>
    <s v="Sacrificable"/>
    <m/>
    <m/>
    <m/>
  </r>
  <r>
    <s v="2024"/>
    <x v="5"/>
    <m/>
    <x v="59"/>
    <m/>
    <s v="- Implementación de picking en las áreas de producción_x000a_- Adquisición de nueva línea de negocios (papel)"/>
    <m/>
    <x v="0"/>
    <s v="Reingenieria de Procesos Planta Cubiertplast"/>
    <s v="CAR"/>
    <x v="0"/>
    <s v="Ana Cordova"/>
    <x v="17"/>
    <x v="2"/>
    <x v="0"/>
    <s v="Q1"/>
    <s v="Q2"/>
    <m/>
    <s v="BAJA"/>
    <n v="1"/>
    <m/>
    <m/>
    <m/>
    <n v="0"/>
    <n v="0"/>
    <m/>
    <m/>
    <d v="2024-02-07T00:00:00"/>
    <d v="2024-03-28T00:00:00"/>
    <n v="50"/>
    <d v="2024-03-21T00:00:00"/>
    <d v="2024-03-28T00:00:00"/>
    <n v="7"/>
    <d v="2024-03-28T00:00:00"/>
    <d v="2024-04-07T00:00:00"/>
    <x v="35"/>
    <x v="29"/>
    <n v="0"/>
    <n v="10"/>
    <m/>
    <m/>
    <m/>
    <m/>
  </r>
  <r>
    <s v="2024"/>
    <x v="2"/>
    <s v="Cupones"/>
    <x v="60"/>
    <s v="MXP LEGACY_x000a_TRADE"/>
    <s v="Compromiso Matriz Regional  (Ecuador, Argentina) (api v3 cupones)"/>
    <s v="MEDIA"/>
    <x v="3"/>
    <s v="Funcionalidades Regionales"/>
    <s v="DSI"/>
    <x v="1"/>
    <s v="Mychael Castro - José Fernandez"/>
    <x v="1"/>
    <x v="1"/>
    <x v="0"/>
    <m/>
    <s v="Q2"/>
    <s v="P37"/>
    <s v="MEDIA"/>
    <n v="1"/>
    <n v="4"/>
    <n v="1"/>
    <n v="550"/>
    <m/>
    <n v="2840"/>
    <m/>
    <m/>
    <d v="2024-04-01T00:00:00"/>
    <d v="2024-04-15T00:00:00"/>
    <n v="14"/>
    <d v="2024-04-15T00:00:00"/>
    <d v="2024-04-22T00:00:00"/>
    <n v="363183"/>
    <d v="2024-04-22T00:00:00"/>
    <d v="2024-04-05T00:00:00"/>
    <x v="33"/>
    <x v="30"/>
    <n v="1"/>
    <n v="-17"/>
    <s v="PROYECTO REGIONAL"/>
    <m/>
    <m/>
    <m/>
  </r>
  <r>
    <s v="2024"/>
    <x v="1"/>
    <m/>
    <x v="60"/>
    <s v="consultar requerimiento "/>
    <s v="Digitalización de cupones de cortesía, dinero y empleados desde SIR"/>
    <m/>
    <x v="3"/>
    <s v="Funcionalidades Locales"/>
    <s v="Funcionalidades Locales"/>
    <x v="4"/>
    <s v="William Villegas"/>
    <x v="18"/>
    <x v="1"/>
    <x v="1"/>
    <m/>
    <m/>
    <m/>
    <m/>
    <m/>
    <m/>
    <m/>
    <m/>
    <m/>
    <n v="640"/>
    <m/>
    <m/>
    <m/>
    <m/>
    <e v="#REF!"/>
    <m/>
    <m/>
    <d v="1899-12-30T00:00:00"/>
    <m/>
    <m/>
    <x v="29"/>
    <x v="31"/>
    <n v="0"/>
    <n v="0"/>
    <m/>
    <m/>
    <m/>
    <m/>
  </r>
  <r>
    <s v="2024"/>
    <x v="1"/>
    <m/>
    <x v="60"/>
    <m/>
    <s v="Digitalización de cupones de cortesía, dinero y empleados desde SIR"/>
    <m/>
    <x v="3"/>
    <s v="Funcionalidades Locales"/>
    <s v="Funcionalidades Locales"/>
    <x v="3"/>
    <s v="William Villegas"/>
    <x v="9"/>
    <x v="1"/>
    <x v="1"/>
    <m/>
    <s v="Q2"/>
    <m/>
    <s v="ALTA"/>
    <m/>
    <n v="3"/>
    <n v="2"/>
    <n v="450"/>
    <m/>
    <n v="3340"/>
    <m/>
    <m/>
    <d v="2024-03-14T00:00:00"/>
    <m/>
    <e v="#REF!"/>
    <d v="2024-03-14T00:00:00"/>
    <m/>
    <d v="2769-06-07T00:00:00"/>
    <m/>
    <d v="2024-04-26T00:00:00"/>
    <x v="37"/>
    <x v="32"/>
    <n v="0.75"/>
    <n v="45408"/>
    <m/>
    <m/>
    <m/>
    <m/>
  </r>
  <r>
    <s v="2024"/>
    <x v="1"/>
    <m/>
    <x v="61"/>
    <m/>
    <s v="Ver Anexo A4"/>
    <m/>
    <x v="0"/>
    <s v="Célula de Operaciones SIR 2024"/>
    <s v="OPER"/>
    <x v="0"/>
    <s v="Sandra Pailacho"/>
    <x v="0"/>
    <x v="2"/>
    <x v="1"/>
    <n v="15"/>
    <s v="Q2"/>
    <m/>
    <s v="MEDIA"/>
    <m/>
    <n v="2"/>
    <n v="2"/>
    <n v="400"/>
    <m/>
    <n v="2240"/>
    <m/>
    <m/>
    <d v="2024-04-08T00:00:00"/>
    <d v="2024-04-19T00:00:00"/>
    <e v="#REF!"/>
    <d v="2024-04-23T00:00:00"/>
    <d v="2024-04-30T00:00:00"/>
    <d v="2894-07-13T00:00:00"/>
    <m/>
    <d v="2024-07-24T00:00:00"/>
    <x v="38"/>
    <x v="24"/>
    <n v="0.5"/>
    <n v="45497"/>
    <s v="Célula Operaciones"/>
    <m/>
    <m/>
    <m/>
  </r>
  <r>
    <s v="2024"/>
    <x v="2"/>
    <s v="Cupones"/>
    <x v="62"/>
    <s v="MXP LEGACY_x000a_TRADE"/>
    <s v="Cupones impresos fuera de la App"/>
    <s v="MEDIA"/>
    <x v="0"/>
    <s v="Funcionalidades Locales"/>
    <s v="CAR"/>
    <x v="0"/>
    <s v="Andres Canelos / Ma. Paula Tapia"/>
    <x v="5"/>
    <x v="1"/>
    <x v="0"/>
    <n v="5"/>
    <s v="Q4"/>
    <s v="p70"/>
    <s v="ALTA"/>
    <m/>
    <n v="12"/>
    <n v="1"/>
    <n v="550"/>
    <m/>
    <n v="7240"/>
    <m/>
    <m/>
    <d v="2024-10-07T00:00:00"/>
    <d v="2024-11-25T00:00:00"/>
    <n v="49"/>
    <d v="2024-11-25T00:00:00"/>
    <d v="2024-12-09T00:00:00"/>
    <n v="364982"/>
    <d v="2024-12-09T00:00:00"/>
    <m/>
    <x v="15"/>
    <x v="24"/>
    <n v="3"/>
    <n v="-45635"/>
    <m/>
    <m/>
    <s v="x"/>
    <m/>
  </r>
  <r>
    <s v="2024"/>
    <x v="2"/>
    <s v="APP"/>
    <x v="63"/>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x v="0"/>
    <s v="Proyectos TD 2024"/>
    <s v="CAR"/>
    <x v="2"/>
    <s v="Daniel Barreno / Jhustin Vergara"/>
    <x v="4"/>
    <x v="1"/>
    <x v="1"/>
    <e v="#N/A"/>
    <s v="Q1"/>
    <s v="p25"/>
    <s v="MEDIA"/>
    <m/>
    <n v="6"/>
    <n v="1"/>
    <n v="550"/>
    <m/>
    <n v="3940"/>
    <m/>
    <m/>
    <d v="2024-03-04T00:00:00"/>
    <d v="2024-04-01T00:00:00"/>
    <n v="28"/>
    <d v="2024-04-01T00:00:00"/>
    <d v="2024-04-15T00:00:00"/>
    <n v="363078"/>
    <d v="2024-04-15T00:00:00"/>
    <d v="2024-04-29T00:00:00"/>
    <x v="38"/>
    <x v="33"/>
    <n v="1.5"/>
    <n v="14"/>
    <s v="ECOMERCE"/>
    <m/>
    <s v="x"/>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4"/>
    <s v="Daniel Barreno"/>
    <x v="4"/>
    <x v="1"/>
    <x v="1"/>
    <e v="#N/A"/>
    <s v="Q1"/>
    <s v="P23"/>
    <s v="ALTA"/>
    <n v="1"/>
    <n v="8"/>
    <n v="1"/>
    <n v="550"/>
    <m/>
    <n v="5040"/>
    <m/>
    <m/>
    <d v="2024-02-19T00:00:00"/>
    <d v="2024-03-04T00:00:00"/>
    <n v="14"/>
    <d v="2024-03-04T00:00:00"/>
    <d v="2024-03-11T00:00:00"/>
    <n v="362847"/>
    <d v="2024-03-11T00:00:00"/>
    <d v="2024-03-18T00:00:00"/>
    <x v="11"/>
    <x v="34"/>
    <n v="2"/>
    <n v="7"/>
    <s v="PROYECTO REGIONAL"/>
    <m/>
    <s v="x"/>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3"/>
    <s v="Daniel Barreno"/>
    <x v="4"/>
    <x v="1"/>
    <x v="1"/>
    <e v="#N/A"/>
    <s v="Q1"/>
    <s v="P23"/>
    <s v="ALTA"/>
    <n v="1"/>
    <n v="8"/>
    <n v="1"/>
    <n v="550"/>
    <m/>
    <n v="5040"/>
    <m/>
    <m/>
    <d v="2024-02-12T00:00:00"/>
    <d v="2024-02-19T00:00:00"/>
    <n v="7"/>
    <d v="2024-02-19T00:00:00"/>
    <d v="2024-03-04T00:00:00"/>
    <n v="362742"/>
    <d v="2024-03-04T00:00:00"/>
    <d v="2024-03-18T00:00:00"/>
    <x v="39"/>
    <x v="32"/>
    <n v="2"/>
    <n v="14"/>
    <s v="PROYECTO REGIONAL"/>
    <m/>
    <s v="x"/>
    <m/>
  </r>
  <r>
    <s v="2024"/>
    <x v="2"/>
    <s v="Cupones"/>
    <x v="65"/>
    <s v="MXP LEGACY_x000a_TRADE"/>
    <s v="Compromiso Matriz Regional  (Argentina, )"/>
    <s v="MEDIA"/>
    <x v="3"/>
    <s v="Funcionalidades Regionales"/>
    <s v="DSI"/>
    <x v="1"/>
    <s v="Mychael Castro - José Fernandez"/>
    <x v="1"/>
    <x v="1"/>
    <x v="0"/>
    <m/>
    <s v="Q1"/>
    <m/>
    <s v="MEDIA"/>
    <n v="1"/>
    <n v="6"/>
    <n v="1"/>
    <n v="550"/>
    <m/>
    <n v="3940"/>
    <m/>
    <m/>
    <d v="2024-03-04T00:00:00"/>
    <d v="2024-04-01T00:00:00"/>
    <n v="28"/>
    <d v="2024-04-01T00:00:00"/>
    <d v="2024-04-08T00:00:00"/>
    <n v="363071"/>
    <d v="2024-04-08T00:00:00"/>
    <d v="2025-01-31T00:00:00"/>
    <x v="33"/>
    <x v="26"/>
    <n v="1.5"/>
    <n v="298"/>
    <s v="PROYECTO REGIONAL"/>
    <m/>
    <m/>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2"/>
    <s v="Daniel Barreno"/>
    <x v="4"/>
    <x v="1"/>
    <x v="1"/>
    <e v="#N/A"/>
    <s v="Q1"/>
    <s v="P23"/>
    <s v="ALTA"/>
    <n v="1"/>
    <n v="8"/>
    <n v="1"/>
    <n v="550"/>
    <m/>
    <n v="5040"/>
    <m/>
    <m/>
    <d v="2024-03-04T00:00:00"/>
    <d v="2024-03-18T00:00:00"/>
    <n v="14"/>
    <d v="2024-03-18T00:00:00"/>
    <d v="2024-03-25T00:00:00"/>
    <n v="362959"/>
    <d v="2024-03-25T00:00:00"/>
    <d v="2024-04-01T00:00:00"/>
    <x v="40"/>
    <x v="35"/>
    <n v="2"/>
    <n v="7"/>
    <s v="PROYECTO REGIONAL"/>
    <m/>
    <s v="x"/>
    <m/>
  </r>
  <r>
    <s v="2024"/>
    <x v="2"/>
    <s v="Kioscos"/>
    <x v="66"/>
    <s v="MXP LEGACY_x000a_TRADE"/>
    <s v="Enviar en un EndPoint los datos que debe solicitar el kiosko segun el pais"/>
    <s v="BAJA"/>
    <x v="3"/>
    <s v="Proyectos TD 2024"/>
    <s v="CAR"/>
    <x v="2"/>
    <s v="Daniel Barreno"/>
    <x v="4"/>
    <x v="1"/>
    <x v="0"/>
    <s v="Q4"/>
    <s v="Q4"/>
    <s v="p73"/>
    <s v="MEDIA"/>
    <n v="1"/>
    <n v="7"/>
    <n v="1"/>
    <n v="550"/>
    <m/>
    <n v="4490"/>
    <m/>
    <m/>
    <d v="2024-11-18T00:00:00"/>
    <d v="2024-12-02T00:00:00"/>
    <n v="14"/>
    <d v="2024-12-02T00:00:00"/>
    <d v="2024-12-09T00:00:00"/>
    <n v="365031"/>
    <d v="2024-12-09T00:00:00"/>
    <d v="2025-01-31T00:00:00"/>
    <x v="41"/>
    <x v="36"/>
    <n v="1.75"/>
    <n v="53"/>
    <s v="PROYECTO REGIONAL"/>
    <m/>
    <s v="x"/>
    <m/>
  </r>
  <r>
    <s v="2024"/>
    <x v="2"/>
    <s v="Kioscos"/>
    <x v="66"/>
    <s v="MXP LEGACY_x000a_TRADE"/>
    <s v="Enviar en un EndPoint los datos que debe solicitar el kiosko segun el pais"/>
    <s v="BAJA"/>
    <x v="0"/>
    <s v="Proyectos TD 2024"/>
    <s v="CAR"/>
    <x v="0"/>
    <s v="Daniel Barreno"/>
    <x v="4"/>
    <x v="1"/>
    <x v="0"/>
    <s v="Q4"/>
    <s v="Q4"/>
    <s v="p73"/>
    <s v="MEDIA"/>
    <n v="1"/>
    <n v="7"/>
    <n v="1"/>
    <n v="550"/>
    <m/>
    <n v="4490"/>
    <m/>
    <m/>
    <d v="2024-10-14T00:00:00"/>
    <d v="2024-11-11T00:00:00"/>
    <n v="28"/>
    <d v="2024-11-11T00:00:00"/>
    <d v="2024-11-18T00:00:00"/>
    <n v="364863"/>
    <d v="2024-11-18T00:00:00"/>
    <d v="2025-01-31T00:00:00"/>
    <x v="14"/>
    <x v="37"/>
    <n v="1.75"/>
    <n v="74"/>
    <s v="PROYECTO REGIONAL"/>
    <m/>
    <s v="x"/>
    <m/>
  </r>
  <r>
    <s v="2024"/>
    <x v="2"/>
    <s v="Kioscos"/>
    <x v="66"/>
    <s v="MXP LEGACY_x000a_TRADE"/>
    <s v="Enviar en un EndPoint los datos que debe solicitar el kiosko segun el pais"/>
    <s v="BAJA"/>
    <x v="3"/>
    <s v="Proyectos TD 2024"/>
    <s v="CAR"/>
    <x v="1"/>
    <s v="Daniel Barreno"/>
    <x v="4"/>
    <x v="1"/>
    <x v="0"/>
    <s v="Q4"/>
    <s v="Q4"/>
    <s v="p73"/>
    <s v="MEDIA"/>
    <n v="1"/>
    <n v="7"/>
    <n v="1"/>
    <n v="550"/>
    <m/>
    <n v="4490"/>
    <m/>
    <m/>
    <d v="2024-11-18T00:00:00"/>
    <d v="2024-12-02T00:00:00"/>
    <n v="14"/>
    <d v="2024-12-02T00:00:00"/>
    <d v="2024-12-09T00:00:00"/>
    <n v="365031"/>
    <d v="2024-12-09T00:00:00"/>
    <d v="2024-07-09T00:00:00"/>
    <x v="41"/>
    <x v="36"/>
    <n v="1.75"/>
    <n v="-153"/>
    <s v="PROYECTO REGIONAL"/>
    <m/>
    <s v="x"/>
    <m/>
  </r>
  <r>
    <s v="2024"/>
    <x v="2"/>
    <s v="Kioscos"/>
    <x v="66"/>
    <s v="MXP LEGACY_x000a_TRADE"/>
    <s v="Enviar en un EndPoint los datos que debe solicitar el kiosko segun el pais"/>
    <s v="BAJA"/>
    <x v="3"/>
    <s v="Proyectos TD 2024"/>
    <s v="CAR"/>
    <x v="4"/>
    <s v="Daniel Barreno"/>
    <x v="4"/>
    <x v="1"/>
    <x v="0"/>
    <s v="Q4"/>
    <s v="Q4"/>
    <s v="p73"/>
    <s v="MEDIA"/>
    <n v="1"/>
    <n v="6"/>
    <n v="1"/>
    <n v="550"/>
    <m/>
    <n v="3940"/>
    <m/>
    <m/>
    <d v="2024-11-18T00:00:00"/>
    <d v="2024-12-02T00:00:00"/>
    <n v="14"/>
    <d v="2024-12-02T00:00:00"/>
    <d v="2024-12-09T00:00:00"/>
    <n v="365031"/>
    <d v="2024-12-09T00:00:00"/>
    <d v="2024-02-05T00:00:00"/>
    <x v="41"/>
    <x v="38"/>
    <n v="1.5"/>
    <n v="-308"/>
    <s v="PROYECTO REGIONAL"/>
    <m/>
    <s v="x"/>
    <m/>
  </r>
  <r>
    <s v="2024"/>
    <x v="2"/>
    <s v="Kioscos"/>
    <x v="66"/>
    <s v="MXP LEGACY_x000a_TRADE"/>
    <s v="Enviar en un EndPoint los datos que debe solicitar el kiosko segun el pais"/>
    <s v="BAJA"/>
    <x v="3"/>
    <s v="Proyectos TD 2024"/>
    <s v="CAR"/>
    <x v="3"/>
    <s v="Daniel Barreno"/>
    <x v="4"/>
    <x v="1"/>
    <x v="0"/>
    <s v="Q4"/>
    <s v="Q4"/>
    <s v="p73"/>
    <s v="MEDIA"/>
    <n v="1"/>
    <n v="7"/>
    <n v="1"/>
    <n v="550"/>
    <m/>
    <n v="4490"/>
    <m/>
    <m/>
    <d v="2024-11-18T00:00:00"/>
    <d v="2024-12-02T00:00:00"/>
    <n v="14"/>
    <d v="2024-12-02T00:00:00"/>
    <d v="2024-12-09T00:00:00"/>
    <n v="365031"/>
    <d v="2024-12-09T00:00:00"/>
    <d v="2024-03-22T00:00:00"/>
    <x v="41"/>
    <x v="36"/>
    <n v="1.75"/>
    <n v="-262"/>
    <s v="PROYECTO REGIONAL"/>
    <m/>
    <s v="x"/>
    <m/>
  </r>
  <r>
    <s v="2024"/>
    <x v="1"/>
    <m/>
    <x v="67"/>
    <m/>
    <s v="Ver Anexo A4"/>
    <m/>
    <x v="0"/>
    <s v="Célula de Operaciones SIR 2024"/>
    <s v="OPER"/>
    <x v="0"/>
    <s v="Sandra Pailacho"/>
    <x v="0"/>
    <x v="2"/>
    <x v="0"/>
    <n v="18"/>
    <s v="Q4"/>
    <m/>
    <s v="ALTA"/>
    <m/>
    <n v="6"/>
    <n v="2"/>
    <n v="450"/>
    <m/>
    <n v="6040"/>
    <m/>
    <m/>
    <d v="2024-11-04T00:00:00"/>
    <d v="2024-12-13T00:00:00"/>
    <e v="#REF!"/>
    <d v="2025-01-07T00:00:00"/>
    <d v="2025-01-15T00:00:00"/>
    <d v="2900-03-17T00:00:00"/>
    <m/>
    <m/>
    <x v="42"/>
    <x v="1"/>
    <n v="1.5"/>
    <n v="0"/>
    <s v="Célula Operaciones"/>
    <m/>
    <m/>
    <m/>
  </r>
  <r>
    <s v="2024"/>
    <x v="0"/>
    <m/>
    <x v="68"/>
    <m/>
    <s v="Vinculo con implementación de kioskos"/>
    <m/>
    <x v="0"/>
    <s v="Funcionalidades Locales"/>
    <s v="REGIONAL"/>
    <x v="1"/>
    <s v="Adrian Gadja"/>
    <x v="18"/>
    <x v="1"/>
    <x v="0"/>
    <m/>
    <s v="Q2"/>
    <m/>
    <s v="MEDIA"/>
    <n v="1"/>
    <n v="8"/>
    <n v="1"/>
    <n v="550"/>
    <m/>
    <n v="4400"/>
    <m/>
    <m/>
    <d v="2024-04-01T00:00:00"/>
    <d v="2024-05-10T00:00:00"/>
    <e v="#REF!"/>
    <d v="2024-05-13T00:00:00"/>
    <d v="2024-05-17T00:00:00"/>
    <d v="2894-12-17T00:00:00"/>
    <d v="2024-05-20T00:00:00"/>
    <d v="2024-04-02T00:00:00"/>
    <x v="11"/>
    <x v="39"/>
    <n v="2"/>
    <n v="-48"/>
    <m/>
    <m/>
    <m/>
    <m/>
  </r>
  <r>
    <s v="2024"/>
    <x v="1"/>
    <m/>
    <x v="69"/>
    <m/>
    <s v="Identificar el motivo por el cual existe diferencias al ingreso de cupones en  Max Point. "/>
    <m/>
    <x v="1"/>
    <s v="Mantenimiento"/>
    <s v="DSI"/>
    <x v="0"/>
    <s v="Vladimir Morillo"/>
    <x v="1"/>
    <x v="1"/>
    <x v="0"/>
    <n v="1"/>
    <s v="Q1"/>
    <m/>
    <s v="BAJA"/>
    <m/>
    <n v="1"/>
    <n v="1"/>
    <n v="400"/>
    <m/>
    <n v="1410"/>
    <m/>
    <m/>
    <d v="2024-02-26T00:00:00"/>
    <d v="2024-03-08T00:00:00"/>
    <e v="#REF!"/>
    <d v="2024-03-12T00:00:00"/>
    <d v="2024-03-19T00:00:00"/>
    <d v="2893-08-11T00:00:00"/>
    <m/>
    <d v="2024-07-24T00:00:00"/>
    <x v="17"/>
    <x v="24"/>
    <n v="0.25"/>
    <n v="45497"/>
    <s v="Ingresar REQ a MNT Maxpoint 24"/>
    <m/>
    <m/>
    <m/>
  </r>
  <r>
    <s v="2023"/>
    <x v="0"/>
    <m/>
    <x v="70"/>
    <m/>
    <s v="Descuentos de banco Falabella"/>
    <m/>
    <x v="3"/>
    <s v="Funcionalidades Locales"/>
    <s v="REGIONAL"/>
    <x v="3"/>
    <s v="William Villegas"/>
    <x v="9"/>
    <x v="1"/>
    <x v="2"/>
    <m/>
    <s v="Q1"/>
    <m/>
    <s v="MEDIA"/>
    <n v="1"/>
    <n v="8"/>
    <n v="1"/>
    <n v="625"/>
    <m/>
    <n v="5000"/>
    <m/>
    <m/>
    <d v="2024-01-01T00:00:00"/>
    <d v="2024-02-09T00:00:00"/>
    <e v="#REF!"/>
    <d v="2024-02-12T00:00:00"/>
    <d v="2024-02-16T00:00:00"/>
    <d v="2892-12-19T00:00:00"/>
    <d v="2024-02-19T00:00:00"/>
    <m/>
    <x v="43"/>
    <x v="1"/>
    <n v="2"/>
    <n v="-45341"/>
    <m/>
    <m/>
    <m/>
    <m/>
  </r>
  <r>
    <s v="2024"/>
    <x v="0"/>
    <m/>
    <x v="70"/>
    <m/>
    <s v="Convenio con los bancos para dar descuentos al total de la factura. (Comunicación con el pinpad)"/>
    <m/>
    <x v="3"/>
    <s v="Funcionalidades Locales"/>
    <s v="REGIONAL"/>
    <x v="4"/>
    <s v="Davis Nuñez"/>
    <x v="13"/>
    <x v="1"/>
    <x v="1"/>
    <m/>
    <s v="Q2"/>
    <s v="Dependencia documentación Hassar."/>
    <s v="ALTA"/>
    <n v="1"/>
    <n v="6"/>
    <n v="1"/>
    <n v="625"/>
    <m/>
    <n v="3750"/>
    <m/>
    <m/>
    <d v="2024-04-29T00:00:00"/>
    <d v="2024-05-31T00:00:00"/>
    <e v="#REF!"/>
    <d v="2024-06-03T00:00:00"/>
    <d v="2024-06-07T00:00:00"/>
    <d v="2895-06-03T00:00:00"/>
    <d v="2024-06-10T00:00:00"/>
    <d v="2024-04-16T00:00:00"/>
    <x v="34"/>
    <x v="40"/>
    <n v="1.5"/>
    <n v="-55"/>
    <m/>
    <m/>
    <m/>
    <m/>
  </r>
  <r>
    <s v="2024"/>
    <x v="2"/>
    <s v="Kioscos"/>
    <x v="71"/>
    <s v="MXP LEGACY_x000a_TRADE"/>
    <s v="Descuentos exclusivos por tarjeta de crédito"/>
    <s v="MEDIA"/>
    <x v="0"/>
    <s v="Funcionalidades Locales"/>
    <s v="DSI"/>
    <x v="4"/>
    <s v="Davis Nuñez"/>
    <x v="1"/>
    <x v="1"/>
    <x v="0"/>
    <m/>
    <s v="Q2"/>
    <s v="p36"/>
    <s v="ALTA"/>
    <m/>
    <n v="10"/>
    <n v="2"/>
    <n v="550"/>
    <m/>
    <n v="11640"/>
    <m/>
    <m/>
    <d v="2024-04-01T00:00:00"/>
    <d v="2024-04-29T00:00:00"/>
    <n v="28"/>
    <d v="2024-04-29T00:00:00"/>
    <d v="2024-05-13T00:00:00"/>
    <n v="363302"/>
    <d v="2024-05-13T00:00:00"/>
    <d v="2024-06-10T00:00:00"/>
    <x v="15"/>
    <x v="41"/>
    <n v="2.5"/>
    <n v="28"/>
    <s v="Solicitud de Colombia y Chile._x000a_Falta definición de alcance con el proveedor."/>
    <m/>
    <s v="x"/>
    <m/>
  </r>
  <r>
    <s v="2024"/>
    <x v="2"/>
    <s v="Formas de Pago"/>
    <x v="72"/>
    <s v="MXP LEGACY"/>
    <s v="Depende de ejecución de proyecto de integración multimarca (aprox marzo)"/>
    <s v="MEDIA"/>
    <x v="0"/>
    <s v="Proyectos TD 2024"/>
    <s v="CAR"/>
    <x v="0"/>
    <s v="Andres Canelos / Ma. Paula Tapia"/>
    <x v="5"/>
    <x v="1"/>
    <x v="0"/>
    <n v="1"/>
    <s v="Q2"/>
    <s v="Finalizacion DEUNA Multimarca"/>
    <s v="ALTA"/>
    <m/>
    <n v="3"/>
    <n v="1"/>
    <n v="550"/>
    <m/>
    <n v="1650"/>
    <m/>
    <m/>
    <d v="2024-03-25T00:00:00"/>
    <d v="2024-03-25T00:00:00"/>
    <n v="0"/>
    <d v="2024-03-25T00:00:00"/>
    <d v="2024-04-01T00:00:00"/>
    <n v="363015"/>
    <d v="2024-04-01T00:00:00"/>
    <d v="2024-04-08T00:00:00"/>
    <x v="15"/>
    <x v="42"/>
    <n v="0.75"/>
    <n v="7"/>
    <s v="Costo Undido (lo realizará Soporte App)"/>
    <m/>
    <m/>
    <m/>
  </r>
  <r>
    <s v="2024"/>
    <x v="2"/>
    <s v="Formas de Pago"/>
    <x v="73"/>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x v="0"/>
    <s v="Proyectos TD 2024"/>
    <s v="CAR"/>
    <x v="0"/>
    <s v="Doménica Bucheli"/>
    <x v="19"/>
    <x v="1"/>
    <x v="2"/>
    <m/>
    <s v="Q1"/>
    <s v="p16"/>
    <s v="ALTA"/>
    <m/>
    <n v="5"/>
    <n v="2"/>
    <n v="550"/>
    <m/>
    <n v="6140"/>
    <m/>
    <m/>
    <d v="2024-01-05T00:00:00"/>
    <d v="2024-02-26T00:00:00"/>
    <n v="52"/>
    <d v="2024-02-26T00:00:00"/>
    <d v="2024-03-01T00:00:00"/>
    <n v="362788"/>
    <d v="2024-03-01T00:00:00"/>
    <d v="2024-03-08T00:00:00"/>
    <x v="44"/>
    <x v="43"/>
    <n v="1.25"/>
    <n v="7"/>
    <m/>
    <m/>
    <m/>
    <m/>
  </r>
  <r>
    <s v="2024"/>
    <x v="1"/>
    <m/>
    <x v="74"/>
    <s v="cambio a contabilidad "/>
    <m/>
    <m/>
    <x v="1"/>
    <s v="Mantenimiento"/>
    <s v="DSI"/>
    <x v="0"/>
    <s v="Mauricio Andrade"/>
    <x v="1"/>
    <x v="2"/>
    <x v="0"/>
    <m/>
    <s v="Q2"/>
    <m/>
    <s v="BAJA"/>
    <m/>
    <n v="2"/>
    <n v="1"/>
    <n v="400"/>
    <m/>
    <n v="1440"/>
    <m/>
    <m/>
    <d v="2024-04-15T00:00:00"/>
    <d v="2024-04-26T00:00:00"/>
    <e v="#REF!"/>
    <d v="2024-04-30T00:00:00"/>
    <d v="2024-05-07T00:00:00"/>
    <d v="2894-09-07T00:00:00"/>
    <m/>
    <m/>
    <x v="45"/>
    <x v="1"/>
    <n v="0.5"/>
    <n v="0"/>
    <m/>
    <m/>
    <m/>
    <m/>
  </r>
  <r>
    <s v="2024"/>
    <x v="6"/>
    <m/>
    <x v="75"/>
    <m/>
    <s v="Verificar las URL modificadas producto de la migración de WAF Radware a WAF Fortinet -&gt; Salida a producción en Febrero"/>
    <m/>
    <x v="0"/>
    <m/>
    <s v="CAR"/>
    <x v="0"/>
    <m/>
    <x v="20"/>
    <x v="2"/>
    <x v="0"/>
    <s v="Q1"/>
    <s v="Q1"/>
    <m/>
    <m/>
    <n v="0"/>
    <n v="0"/>
    <n v="0"/>
    <n v="0"/>
    <m/>
    <n v="0"/>
    <m/>
    <m/>
    <d v="2024-02-14T00:00:00"/>
    <m/>
    <n v="-45336"/>
    <m/>
    <m/>
    <d v="1899-12-30T00:00:00"/>
    <m/>
    <d v="2024-05-27T00:00:00"/>
    <x v="46"/>
    <x v="34"/>
    <n v="0"/>
    <n v="45439"/>
    <s v="PROYECTO REGIONAL"/>
    <m/>
    <m/>
    <m/>
  </r>
  <r>
    <s v="2024"/>
    <x v="3"/>
    <m/>
    <x v="76"/>
    <m/>
    <s v="Contabilización de Documentos que no pasan por ACEPTA"/>
    <m/>
    <x v="0"/>
    <s v="Funcionalidades Locales"/>
    <s v="REGIONAL"/>
    <x v="4"/>
    <s v="Davis Nuñez"/>
    <x v="13"/>
    <x v="1"/>
    <x v="0"/>
    <s v="Q4"/>
    <s v="Q4"/>
    <m/>
    <s v="ALTA"/>
    <m/>
    <n v="12"/>
    <n v="2"/>
    <n v="550"/>
    <m/>
    <n v="13840"/>
    <m/>
    <m/>
    <d v="2024-09-01T00:00:00"/>
    <d v="2024-11-14T00:00:00"/>
    <e v="#REF!"/>
    <d v="2024-11-14T00:00:00"/>
    <d v="2024-11-21T00:00:00"/>
    <d v="2899-01-08T00:00:00"/>
    <d v="2024-11-21T00:00:00"/>
    <s v="01/12/12024"/>
    <x v="47"/>
    <x v="44"/>
    <n v="3"/>
    <e v="#VALUE!"/>
    <m/>
    <m/>
    <m/>
    <m/>
  </r>
  <r>
    <s v="2024"/>
    <x v="1"/>
    <m/>
    <x v="77"/>
    <m/>
    <s v="Mediante SIR sean solicitados los pedidos  que se digitan en planta."/>
    <m/>
    <x v="0"/>
    <s v="Mejoras Contabilidad"/>
    <s v="CAR"/>
    <x v="0"/>
    <s v="Diego Díaz / Vladimir Morillo"/>
    <x v="10"/>
    <x v="2"/>
    <x v="0"/>
    <s v="MEDIA"/>
    <s v="Q3"/>
    <m/>
    <s v="ALTA"/>
    <m/>
    <n v="5"/>
    <n v="2"/>
    <n v="450"/>
    <m/>
    <n v="5140"/>
    <m/>
    <m/>
    <d v="2024-07-01T00:00:00"/>
    <d v="2024-08-02T00:00:00"/>
    <e v="#REF!"/>
    <d v="2024-08-06T00:00:00"/>
    <d v="2024-08-13T00:00:00"/>
    <d v="2896-10-30T00:00:00"/>
    <m/>
    <m/>
    <x v="19"/>
    <x v="1"/>
    <n v="1.25"/>
    <n v="0"/>
    <m/>
    <m/>
    <m/>
    <m/>
  </r>
  <r>
    <s v="2024"/>
    <x v="1"/>
    <m/>
    <x v="78"/>
    <m/>
    <s v="Ver Anexo A4"/>
    <m/>
    <x v="0"/>
    <s v="Célula de Operaciones SIR 2024"/>
    <s v="OPER"/>
    <x v="0"/>
    <s v="Sandra Pailacho"/>
    <x v="0"/>
    <x v="2"/>
    <x v="0"/>
    <n v="13"/>
    <s v="Q3"/>
    <m/>
    <s v="BAJA"/>
    <m/>
    <n v="3"/>
    <n v="2"/>
    <n v="400"/>
    <m/>
    <n v="3040"/>
    <m/>
    <m/>
    <d v="2024-06-17T00:00:00"/>
    <d v="2024-07-05T00:00:00"/>
    <e v="#REF!"/>
    <d v="2024-09-09T00:00:00"/>
    <d v="2024-07-16T00:00:00"/>
    <d v="2897-05-28T00:00:00"/>
    <m/>
    <m/>
    <x v="10"/>
    <x v="1"/>
    <n v="0.75"/>
    <n v="0"/>
    <s v="Célula Operaciones"/>
    <m/>
    <m/>
    <m/>
  </r>
  <r>
    <s v="2024"/>
    <x v="4"/>
    <m/>
    <x v="79"/>
    <m/>
    <s v="El origen de la base depende del ERP utilizado en cada país, el mismo genera espera de 2 a 3 semanas. (VEN - CHILE - ARG)"/>
    <m/>
    <x v="0"/>
    <s v="Pendiente Juan Carlos B"/>
    <s v="CAR"/>
    <x v="0"/>
    <s v="Juan Carlos Benalcázar"/>
    <x v="11"/>
    <x v="2"/>
    <x v="0"/>
    <s v="Q2"/>
    <m/>
    <m/>
    <s v="ALTA"/>
    <n v="1"/>
    <m/>
    <m/>
    <m/>
    <m/>
    <m/>
    <m/>
    <m/>
    <m/>
    <m/>
    <n v="0"/>
    <m/>
    <m/>
    <n v="0"/>
    <m/>
    <m/>
    <x v="9"/>
    <x v="1"/>
    <n v="0"/>
    <n v="0"/>
    <m/>
    <m/>
    <m/>
    <m/>
  </r>
  <r>
    <s v="2024"/>
    <x v="0"/>
    <m/>
    <x v="80"/>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x v="0"/>
    <s v="Validar con ambos aeropuertos, pendiente confirmacion Jose Luis Tello"/>
    <s v="OPER"/>
    <x v="0"/>
    <s v="Jorge Samaniego / Estefanía Viteri"/>
    <x v="14"/>
    <x v="2"/>
    <x v="0"/>
    <m/>
    <s v="Q3"/>
    <m/>
    <s v="MEDIA"/>
    <m/>
    <n v="5"/>
    <n v="1"/>
    <n v="550"/>
    <m/>
    <n v="3330"/>
    <m/>
    <m/>
    <d v="2024-07-01T00:00:00"/>
    <d v="2024-08-05T00:00:00"/>
    <d v="2024-12-01T00:00:00"/>
    <d v="2024-08-06T00:00:00"/>
    <d v="2024-08-20T00:00:00"/>
    <d v="2024-12-07T00:00:00"/>
    <d v="2024-08-21T00:00:00"/>
    <d v="2024-09-04T00:00:00"/>
    <x v="19"/>
    <x v="14"/>
    <n v="1.25"/>
    <n v="14"/>
    <s v="Pendiente definición de Aereopuertos Quito / Gye"/>
    <m/>
    <m/>
    <m/>
  </r>
  <r>
    <s v="2024"/>
    <x v="1"/>
    <m/>
    <x v="81"/>
    <m/>
    <s v="Ver Anexo A4"/>
    <m/>
    <x v="0"/>
    <s v="Célula de Operaciones SIR 2024"/>
    <s v="OPER"/>
    <x v="0"/>
    <s v="Sandra Pailacho"/>
    <x v="0"/>
    <x v="2"/>
    <x v="0"/>
    <n v="20"/>
    <s v="Q3"/>
    <m/>
    <s v="MEDIA"/>
    <m/>
    <n v="5"/>
    <n v="2"/>
    <n v="450"/>
    <m/>
    <n v="5140"/>
    <m/>
    <m/>
    <d v="2024-07-15T00:00:00"/>
    <d v="2024-08-16T00:00:00"/>
    <e v="#REF!"/>
    <d v="2024-08-20T00:00:00"/>
    <d v="2024-08-27T00:00:00"/>
    <d v="2897-02-19T00:00:00"/>
    <m/>
    <m/>
    <x v="48"/>
    <x v="1"/>
    <n v="1.25"/>
    <n v="0"/>
    <s v="Célula Operaciones"/>
    <m/>
    <m/>
    <m/>
  </r>
  <r>
    <s v="2023"/>
    <x v="0"/>
    <m/>
    <x v="82"/>
    <m/>
    <s v="Envío de Pedidos Pick Up V3"/>
    <m/>
    <x v="3"/>
    <s v="Funcionalidades Regionales"/>
    <s v="REGIONAL"/>
    <x v="3"/>
    <s v="William Villegas"/>
    <x v="9"/>
    <x v="1"/>
    <x v="2"/>
    <m/>
    <s v="Q1"/>
    <s v="pruebas con tarjetas de crédito"/>
    <s v="ALTA"/>
    <n v="1"/>
    <n v="12"/>
    <n v="1"/>
    <n v="625"/>
    <m/>
    <n v="7500"/>
    <m/>
    <m/>
    <d v="2023-12-17T00:00:00"/>
    <d v="2024-02-02T00:00:00"/>
    <e v="#REF!"/>
    <d v="2024-02-04T00:00:00"/>
    <d v="2024-02-09T00:00:00"/>
    <d v="2892-10-17T00:00:00"/>
    <d v="2024-02-11T00:00:00"/>
    <d v="2024-02-15T00:00:00"/>
    <x v="49"/>
    <x v="45"/>
    <n v="3"/>
    <n v="4"/>
    <m/>
    <m/>
    <m/>
    <m/>
  </r>
  <r>
    <n v="2024"/>
    <x v="0"/>
    <m/>
    <x v="83"/>
    <m/>
    <m/>
    <m/>
    <x v="0"/>
    <s v="Celula Operaciones Maxpoint 2024"/>
    <s v="OPER"/>
    <x v="0"/>
    <s v="Renato Loayza"/>
    <x v="0"/>
    <x v="2"/>
    <x v="0"/>
    <m/>
    <s v="Q3"/>
    <m/>
    <s v="BAJA"/>
    <n v="1"/>
    <n v="4"/>
    <n v="1"/>
    <n v="550"/>
    <m/>
    <n v="2780"/>
    <m/>
    <m/>
    <d v="2024-07-01T00:00:00"/>
    <d v="2024-07-29T00:00:00"/>
    <d v="2024-09-26T00:00:00"/>
    <d v="2024-07-30T00:00:00"/>
    <d v="2024-08-13T00:00:00"/>
    <d v="2024-10-25T00:00:00"/>
    <d v="2024-08-14T00:00:00"/>
    <d v="2024-08-28T00:00:00"/>
    <x v="19"/>
    <x v="46"/>
    <d v="1899-12-31T00:00:00"/>
    <n v="14"/>
    <m/>
    <m/>
    <m/>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3"/>
    <s v="Proyectos TD 2024"/>
    <s v="CAR"/>
    <x v="1"/>
    <s v="Daniel Barreno"/>
    <x v="4"/>
    <x v="1"/>
    <x v="0"/>
    <e v="#N/A"/>
    <s v="Q1"/>
    <s v="P23"/>
    <s v="ALTA"/>
    <n v="1"/>
    <n v="8"/>
    <n v="1"/>
    <n v="550"/>
    <m/>
    <n v="5040"/>
    <m/>
    <m/>
    <d v="2024-03-18T00:00:00"/>
    <d v="2024-04-01T00:00:00"/>
    <n v="14"/>
    <d v="2024-04-01T00:00:00"/>
    <d v="2024-04-08T00:00:00"/>
    <n v="363071"/>
    <d v="2024-04-08T00:00:00"/>
    <d v="2024-04-15T00:00:00"/>
    <x v="11"/>
    <x v="34"/>
    <n v="2"/>
    <n v="7"/>
    <s v="PROYECTO REGIONAL"/>
    <m/>
    <s v="x"/>
    <m/>
  </r>
  <r>
    <s v="2023"/>
    <x v="5"/>
    <m/>
    <x v="84"/>
    <m/>
    <s v="El proyecto inicio ejecución en 2023 y debería estar implementado en febrero de 2024 aproximadamente"/>
    <m/>
    <x v="0"/>
    <s v="Desarrollo Software Integración Granjas con SAP"/>
    <s v="CAR"/>
    <x v="0"/>
    <s v="Ana Cordova"/>
    <x v="17"/>
    <x v="1"/>
    <x v="1"/>
    <s v="Q1"/>
    <s v="Q1"/>
    <m/>
    <s v="MEDIA"/>
    <n v="1"/>
    <m/>
    <m/>
    <m/>
    <m/>
    <n v="0"/>
    <m/>
    <m/>
    <d v="2023-08-07T00:00:00"/>
    <d v="2024-01-28T00:00:00"/>
    <n v="174"/>
    <d v="2024-02-21T00:00:00"/>
    <d v="2024-02-28T00:00:00"/>
    <n v="7"/>
    <d v="2024-02-28T00:00:00"/>
    <d v="2024-03-07T00:00:00"/>
    <x v="50"/>
    <x v="47"/>
    <n v="0"/>
    <n v="8"/>
    <m/>
    <m/>
    <m/>
    <m/>
  </r>
  <r>
    <s v="2024"/>
    <x v="5"/>
    <m/>
    <x v="85"/>
    <m/>
    <s v="Mejorar la disponibilidad de los datos, actualmente los datos presentan dificultad para extracción de datos a diario._x000a_Control de integridad de los datos_x000a_"/>
    <m/>
    <x v="1"/>
    <s v="Mejora en la entrega de data para BI"/>
    <s v="DSI"/>
    <x v="0"/>
    <s v="Amarilis Loor"/>
    <x v="1"/>
    <x v="2"/>
    <x v="0"/>
    <s v="Q2"/>
    <s v="Q1"/>
    <m/>
    <s v="MEDIA"/>
    <n v="1"/>
    <n v="2"/>
    <n v="2"/>
    <n v="550"/>
    <m/>
    <n v="2200"/>
    <m/>
    <m/>
    <d v="2024-02-07T00:00:00"/>
    <d v="2024-02-14T00:00:00"/>
    <n v="7"/>
    <d v="2024-02-14T00:00:00"/>
    <d v="2024-02-21T00:00:00"/>
    <n v="7"/>
    <d v="2024-02-21T00:00:00"/>
    <d v="2024-02-28T00:00:00"/>
    <x v="35"/>
    <x v="48"/>
    <n v="0.5"/>
    <n v="7"/>
    <s v="BI"/>
    <m/>
    <m/>
    <m/>
  </r>
  <r>
    <s v="2024"/>
    <x v="0"/>
    <m/>
    <x v="86"/>
    <m/>
    <s v="Cambio de facturas Tipo A con datos"/>
    <m/>
    <x v="0"/>
    <s v="Funcionalidades Locales"/>
    <s v="REGIONAL"/>
    <x v="1"/>
    <s v="Adrian Gadja"/>
    <x v="18"/>
    <x v="1"/>
    <x v="1"/>
    <m/>
    <s v="Q2"/>
    <m/>
    <s v="ALTA"/>
    <n v="1"/>
    <n v="8"/>
    <n v="2"/>
    <n v="550"/>
    <m/>
    <n v="9440"/>
    <m/>
    <m/>
    <d v="2024-04-01T00:00:00"/>
    <d v="2024-05-10T00:00:00"/>
    <e v="#REF!"/>
    <d v="2024-05-13T00:00:00"/>
    <d v="2024-05-17T00:00:00"/>
    <d v="2894-12-17T00:00:00"/>
    <d v="2024-05-20T00:00:00"/>
    <d v="2024-05-24T00:00:00"/>
    <x v="11"/>
    <x v="49"/>
    <n v="2"/>
    <n v="4"/>
    <m/>
    <m/>
    <m/>
    <m/>
  </r>
  <r>
    <s v="2024"/>
    <x v="2"/>
    <s v="Kioscos"/>
    <x v="87"/>
    <s v="MXP LEGACY_x000a_TRADE"/>
    <s v="Migracion del canal de kioscos a V3 para poder contar las funcionalidades de cupones, descuentos y propinas"/>
    <s v="ALTA"/>
    <x v="0"/>
    <s v="Proyectos TD 2024"/>
    <s v="CAR"/>
    <x v="0"/>
    <s v="Daniel Barreno"/>
    <x v="4"/>
    <x v="1"/>
    <x v="1"/>
    <e v="#N/A"/>
    <s v="Q2"/>
    <s v="p20"/>
    <s v="ALTA"/>
    <n v="1"/>
    <n v="10"/>
    <n v="1"/>
    <n v="550"/>
    <m/>
    <n v="6140"/>
    <m/>
    <m/>
    <d v="2024-03-11T00:00:00"/>
    <d v="2024-05-06T00:00:00"/>
    <n v="56"/>
    <d v="2024-05-06T00:00:00"/>
    <d v="2024-05-20T00:00:00"/>
    <n v="363358"/>
    <d v="2024-05-20T00:00:00"/>
    <d v="2024-06-03T00:00:00"/>
    <x v="11"/>
    <x v="7"/>
    <n v="2.5"/>
    <n v="14"/>
    <s v="PROYECTO REGIONAL"/>
    <m/>
    <s v="x"/>
    <m/>
  </r>
  <r>
    <s v="2024"/>
    <x v="2"/>
    <s v="Fidelización"/>
    <x v="88"/>
    <s v="TRADE"/>
    <s v="Paymentez Diners y Discover._x000a_"/>
    <s v="BAJA"/>
    <x v="0"/>
    <s v="Proyectos TD 2024"/>
    <s v="CAR"/>
    <x v="0"/>
    <s v="Daniel Barreno"/>
    <x v="4"/>
    <x v="1"/>
    <x v="0"/>
    <e v="#N/A"/>
    <s v="Q3"/>
    <s v="p26"/>
    <s v="BAJA"/>
    <m/>
    <n v="2"/>
    <n v="1"/>
    <n v="550"/>
    <m/>
    <n v="1100"/>
    <m/>
    <m/>
    <d v="2024-08-19T00:00:00"/>
    <d v="2024-08-19T00:00:00"/>
    <n v="0"/>
    <d v="2024-08-19T00:00:00"/>
    <d v="2024-08-26T00:00:00"/>
    <n v="364191"/>
    <d v="2024-08-26T00:00:00"/>
    <d v="2024-09-02T00:00:00"/>
    <x v="12"/>
    <x v="50"/>
    <n v="0.5"/>
    <n v="7"/>
    <s v="ECOMERCE"/>
    <m/>
    <s v="x"/>
    <m/>
  </r>
  <r>
    <s v="2024"/>
    <x v="3"/>
    <m/>
    <x v="89"/>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x v="0"/>
    <m/>
    <s v="CAR"/>
    <x v="0"/>
    <s v="Diego Díaz / Vladimir Morillo"/>
    <x v="12"/>
    <x v="0"/>
    <x v="0"/>
    <m/>
    <s v="Q3"/>
    <m/>
    <s v="MEDIA"/>
    <m/>
    <n v="14"/>
    <n v="1"/>
    <n v="550"/>
    <m/>
    <n v="8340"/>
    <m/>
    <m/>
    <m/>
    <m/>
    <e v="#REF!"/>
    <m/>
    <m/>
    <d v="1899-12-30T00:00:00"/>
    <m/>
    <m/>
    <x v="9"/>
    <x v="1"/>
    <n v="3.5"/>
    <n v="0"/>
    <m/>
    <m/>
    <m/>
    <m/>
  </r>
  <r>
    <s v="2024"/>
    <x v="3"/>
    <m/>
    <x v="90"/>
    <m/>
    <s v="Pendiente Levantamiento con Diego Diaz"/>
    <m/>
    <x v="0"/>
    <m/>
    <s v="CAR"/>
    <x v="0"/>
    <s v="Diego Díaz / Vladimir Morillo"/>
    <x v="12"/>
    <x v="0"/>
    <x v="0"/>
    <m/>
    <s v="Q4"/>
    <m/>
    <m/>
    <m/>
    <n v="8"/>
    <n v="1"/>
    <n v="550"/>
    <m/>
    <n v="5040"/>
    <m/>
    <m/>
    <m/>
    <m/>
    <e v="#REF!"/>
    <m/>
    <m/>
    <n v="0"/>
    <m/>
    <m/>
    <x v="9"/>
    <x v="1"/>
    <n v="2"/>
    <n v="0"/>
    <m/>
    <m/>
    <m/>
    <m/>
  </r>
  <r>
    <s v="2024"/>
    <x v="3"/>
    <m/>
    <x v="91"/>
    <m/>
    <s v="Permite llevar control del cumplimiento de especificaciones de producción a partir de los datos de los muestreo de calidad."/>
    <m/>
    <x v="0"/>
    <s v="Calidad Planta"/>
    <s v="CAR"/>
    <x v="0"/>
    <s v="Ana Cordova"/>
    <x v="21"/>
    <x v="0"/>
    <x v="0"/>
    <m/>
    <s v="Q4"/>
    <m/>
    <s v="MEDIA"/>
    <m/>
    <n v="8"/>
    <n v="1"/>
    <n v="550"/>
    <m/>
    <n v="5040"/>
    <m/>
    <m/>
    <m/>
    <m/>
    <e v="#REF!"/>
    <m/>
    <m/>
    <d v="1899-12-30T00:00:00"/>
    <m/>
    <m/>
    <x v="9"/>
    <x v="1"/>
    <n v="2"/>
    <n v="0"/>
    <m/>
    <m/>
    <m/>
    <m/>
  </r>
  <r>
    <s v="2024"/>
    <x v="3"/>
    <m/>
    <x v="92"/>
    <m/>
    <s v="Mediante Fiona la creacion de pedidos de clientes externos y comedor con un perfil para el supervisor del área, suprimir papel de solicitud "/>
    <m/>
    <x v="0"/>
    <m/>
    <s v="CAR"/>
    <x v="0"/>
    <s v="Diego Díaz / Vladimir Morillo"/>
    <x v="12"/>
    <x v="0"/>
    <x v="0"/>
    <m/>
    <s v="Q3"/>
    <m/>
    <s v="ALTA"/>
    <m/>
    <n v="10"/>
    <n v="1"/>
    <n v="550"/>
    <m/>
    <n v="6140"/>
    <m/>
    <m/>
    <m/>
    <m/>
    <e v="#REF!"/>
    <m/>
    <m/>
    <d v="1899-12-30T00:00:00"/>
    <m/>
    <m/>
    <x v="9"/>
    <x v="1"/>
    <n v="2.5"/>
    <n v="0"/>
    <m/>
    <m/>
    <m/>
    <m/>
  </r>
  <r>
    <s v="2023"/>
    <x v="0"/>
    <m/>
    <x v="93"/>
    <m/>
    <s v="Implementación de flujo de caja chica en curso, con vinculo a maxpoint y sir"/>
    <m/>
    <x v="0"/>
    <s v="Funcionalidades Locales"/>
    <s v="REGIONAL"/>
    <x v="3"/>
    <s v="William Villegas"/>
    <x v="9"/>
    <x v="1"/>
    <x v="0"/>
    <m/>
    <s v="Q2"/>
    <m/>
    <s v="ALTA"/>
    <n v="1"/>
    <n v="4"/>
    <n v="1"/>
    <n v="625"/>
    <m/>
    <n v="2500"/>
    <m/>
    <m/>
    <d v="2024-05-06T00:00:00"/>
    <d v="2024-05-17T00:00:00"/>
    <e v="#REF!"/>
    <d v="2024-05-20T00:00:00"/>
    <d v="2024-05-24T00:00:00"/>
    <d v="2895-02-11T00:00:00"/>
    <d v="2024-05-27T00:00:00"/>
    <d v="2024-05-31T00:00:00"/>
    <x v="16"/>
    <x v="13"/>
    <n v="1"/>
    <n v="4"/>
    <s v="PROYECTO MXP"/>
    <m/>
    <m/>
    <m/>
  </r>
  <r>
    <s v="2023"/>
    <x v="1"/>
    <m/>
    <x v="94"/>
    <m/>
    <s v="Ver Anexo A4"/>
    <m/>
    <x v="0"/>
    <s v="Célula de Operaciones SIR 2023"/>
    <s v="OPER"/>
    <x v="0"/>
    <s v="Sandra Pailacho"/>
    <x v="0"/>
    <x v="1"/>
    <x v="1"/>
    <n v="4"/>
    <s v="Q2"/>
    <m/>
    <s v="ALTA"/>
    <m/>
    <n v="2"/>
    <n v="3"/>
    <n v="400"/>
    <m/>
    <n v="3040"/>
    <m/>
    <m/>
    <m/>
    <m/>
    <e v="#REF!"/>
    <m/>
    <m/>
    <d v="1899-12-30T00:00:00"/>
    <m/>
    <m/>
    <x v="9"/>
    <x v="1"/>
    <n v="0.5"/>
    <n v="0"/>
    <s v="Célula Operaciones"/>
    <m/>
    <m/>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0"/>
    <s v="Proyectos TD 2024"/>
    <s v="CAR"/>
    <x v="0"/>
    <s v="Daniel Barreno"/>
    <x v="4"/>
    <x v="1"/>
    <x v="0"/>
    <e v="#N/A"/>
    <s v="Q3"/>
    <s v="p44"/>
    <s v="MEDIA"/>
    <n v="1"/>
    <n v="6"/>
    <n v="1"/>
    <n v="550"/>
    <m/>
    <n v="3940"/>
    <m/>
    <m/>
    <d v="2024-07-22T00:00:00"/>
    <d v="2024-08-19T00:00:00"/>
    <n v="28"/>
    <d v="2024-08-19T00:00:00"/>
    <d v="2024-08-26T00:00:00"/>
    <n v="364191"/>
    <d v="2024-08-26T00:00:00"/>
    <d v="2024-09-02T00:00:00"/>
    <x v="19"/>
    <x v="21"/>
    <n v="1.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2"/>
    <s v="Daniel Barreno"/>
    <x v="4"/>
    <x v="1"/>
    <x v="0"/>
    <e v="#N/A"/>
    <s v="Q3"/>
    <s v="p44"/>
    <s v="MEDIA"/>
    <n v="1"/>
    <n v="3"/>
    <n v="1"/>
    <n v="550"/>
    <m/>
    <n v="2290"/>
    <m/>
    <m/>
    <d v="2024-09-02T00:00:00"/>
    <d v="2024-09-09T00:00:00"/>
    <n v="7"/>
    <d v="2024-09-09T00:00:00"/>
    <d v="2024-09-16T00:00:00"/>
    <n v="364359"/>
    <d v="2024-09-16T00:00:00"/>
    <d v="2024-09-23T00:00:00"/>
    <x v="14"/>
    <x v="51"/>
    <n v="0.7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1"/>
    <s v="Daniel Barreno"/>
    <x v="4"/>
    <x v="1"/>
    <x v="0"/>
    <e v="#N/A"/>
    <s v="Q3"/>
    <s v="p44"/>
    <s v="MEDIA"/>
    <n v="1"/>
    <n v="3"/>
    <n v="1"/>
    <n v="550"/>
    <m/>
    <n v="2290"/>
    <m/>
    <m/>
    <d v="2024-07-29T00:00:00"/>
    <d v="2024-08-05T00:00:00"/>
    <n v="7"/>
    <d v="2024-08-05T00:00:00"/>
    <d v="2024-08-12T00:00:00"/>
    <n v="364079"/>
    <d v="2024-08-12T00:00:00"/>
    <d v="2024-08-19T00:00:00"/>
    <x v="14"/>
    <x v="51"/>
    <n v="0.7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3"/>
    <s v="Daniel Barreno"/>
    <x v="4"/>
    <x v="1"/>
    <x v="0"/>
    <e v="#N/A"/>
    <s v="Q3"/>
    <s v="p44"/>
    <s v="MEDIA"/>
    <n v="1"/>
    <n v="3"/>
    <n v="1"/>
    <n v="550"/>
    <m/>
    <n v="2290"/>
    <m/>
    <m/>
    <d v="2024-09-02T00:00:00"/>
    <d v="2024-09-09T00:00:00"/>
    <n v="7"/>
    <d v="2024-09-09T00:00:00"/>
    <d v="2024-09-16T00:00:00"/>
    <n v="364359"/>
    <d v="2024-09-16T00:00:00"/>
    <d v="2024-09-23T00:00:00"/>
    <x v="14"/>
    <x v="51"/>
    <n v="0.75"/>
    <n v="7"/>
    <s v="PROYECTO REGIONAL"/>
    <m/>
    <s v="x"/>
    <m/>
  </r>
  <r>
    <s v="2024"/>
    <x v="2"/>
    <s v="Kioscos"/>
    <x v="95"/>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x v="3"/>
    <s v="Proyectos TD 2024"/>
    <s v="CAR"/>
    <x v="4"/>
    <s v="Daniel Barreno"/>
    <x v="4"/>
    <x v="1"/>
    <x v="0"/>
    <e v="#N/A"/>
    <s v="Q3"/>
    <s v="p44"/>
    <s v="MEDIA"/>
    <n v="1"/>
    <n v="5"/>
    <n v="1"/>
    <n v="550"/>
    <m/>
    <n v="3390"/>
    <m/>
    <m/>
    <d v="2024-09-02T00:00:00"/>
    <d v="2024-09-09T00:00:00"/>
    <n v="7"/>
    <d v="2024-09-09T00:00:00"/>
    <d v="2024-09-16T00:00:00"/>
    <n v="364359"/>
    <d v="2024-09-16T00:00:00"/>
    <d v="2024-10-07T00:00:00"/>
    <x v="47"/>
    <x v="52"/>
    <n v="1.25"/>
    <n v="21"/>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0"/>
    <s v="Proyectos TD 2024"/>
    <s v="CAR"/>
    <x v="0"/>
    <s v="Daniel Barreno"/>
    <x v="4"/>
    <x v="1"/>
    <x v="0"/>
    <e v="#N/A"/>
    <s v="Q3"/>
    <s v="p61"/>
    <s v="MEDIA"/>
    <n v="1"/>
    <n v="4"/>
    <n v="1"/>
    <n v="550"/>
    <m/>
    <n v="2840"/>
    <m/>
    <m/>
    <d v="2024-08-05T00:00:00"/>
    <d v="2024-08-26T00:00:00"/>
    <n v="21"/>
    <d v="2024-08-26T00:00:00"/>
    <d v="2024-09-02T00:00:00"/>
    <n v="364247"/>
    <d v="2024-09-02T00:00:00"/>
    <d v="2024-09-09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2"/>
    <s v="Daniel Barreno"/>
    <x v="4"/>
    <x v="1"/>
    <x v="0"/>
    <e v="#N/A"/>
    <s v="Q3"/>
    <s v="p61"/>
    <s v="MEDIA"/>
    <n v="1"/>
    <n v="4"/>
    <n v="1"/>
    <n v="550"/>
    <m/>
    <n v="2840"/>
    <m/>
    <m/>
    <d v="2024-08-26T00:00:00"/>
    <d v="2024-09-09T00:00:00"/>
    <n v="14"/>
    <d v="2024-09-09T00:00:00"/>
    <d v="2024-09-16T00:00:00"/>
    <n v="364359"/>
    <d v="2024-09-16T00:00:00"/>
    <d v="2024-09-23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1"/>
    <s v="Daniel Barreno"/>
    <x v="4"/>
    <x v="1"/>
    <x v="0"/>
    <e v="#N/A"/>
    <s v="Q3"/>
    <s v="p61"/>
    <s v="MEDIA"/>
    <n v="1"/>
    <n v="4"/>
    <n v="1"/>
    <n v="550"/>
    <m/>
    <n v="2840"/>
    <m/>
    <m/>
    <d v="2024-08-26T00:00:00"/>
    <d v="2024-09-09T00:00:00"/>
    <n v="14"/>
    <d v="2024-09-09T00:00:00"/>
    <d v="2024-09-16T00:00:00"/>
    <n v="364359"/>
    <d v="2024-09-16T00:00:00"/>
    <d v="2024-09-23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3"/>
    <s v="Daniel Barreno"/>
    <x v="4"/>
    <x v="1"/>
    <x v="0"/>
    <e v="#N/A"/>
    <s v="Q3"/>
    <s v="p61"/>
    <s v="MEDIA"/>
    <n v="1"/>
    <n v="4"/>
    <n v="1"/>
    <n v="550"/>
    <m/>
    <n v="2840"/>
    <m/>
    <m/>
    <d v="2024-08-26T00:00:00"/>
    <d v="2024-09-09T00:00:00"/>
    <n v="14"/>
    <d v="2024-09-09T00:00:00"/>
    <d v="2024-09-16T00:00:00"/>
    <n v="364359"/>
    <d v="2024-09-16T00:00:00"/>
    <d v="2024-09-23T00:00:00"/>
    <x v="12"/>
    <x v="6"/>
    <n v="1"/>
    <n v="7"/>
    <s v="PROYECTO REGIONAL"/>
    <m/>
    <s v="x"/>
    <m/>
  </r>
  <r>
    <s v="2024"/>
    <x v="2"/>
    <s v="Kioscos"/>
    <x v="96"/>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x v="3"/>
    <s v="Proyectos TD 2024"/>
    <s v="CAR"/>
    <x v="4"/>
    <s v="Daniel Barreno"/>
    <x v="4"/>
    <x v="1"/>
    <x v="0"/>
    <e v="#N/A"/>
    <s v="Q3"/>
    <s v="p61"/>
    <s v="MEDIA"/>
    <n v="1"/>
    <n v="6"/>
    <n v="1"/>
    <n v="550"/>
    <m/>
    <n v="3940"/>
    <m/>
    <m/>
    <d v="2024-08-26T00:00:00"/>
    <d v="2024-09-09T00:00:00"/>
    <n v="14"/>
    <d v="2024-09-09T00:00:00"/>
    <d v="2024-09-16T00:00:00"/>
    <n v="364359"/>
    <d v="2024-09-16T00:00:00"/>
    <d v="2024-10-07T00:00:00"/>
    <x v="12"/>
    <x v="53"/>
    <n v="1.5"/>
    <n v="21"/>
    <s v="PROYECTO REGIONAL"/>
    <m/>
    <s v="x"/>
    <m/>
  </r>
  <r>
    <s v="2024"/>
    <x v="5"/>
    <m/>
    <x v="97"/>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x v="1"/>
    <m/>
    <m/>
    <x v="0"/>
    <s v="Miguel Lincango"/>
    <x v="16"/>
    <x v="2"/>
    <x v="0"/>
    <m/>
    <m/>
    <m/>
    <m/>
    <m/>
    <m/>
    <m/>
    <m/>
    <m/>
    <n v="640"/>
    <m/>
    <m/>
    <m/>
    <m/>
    <e v="#REF!"/>
    <m/>
    <m/>
    <d v="1899-12-30T00:00:00"/>
    <m/>
    <m/>
    <x v="9"/>
    <x v="1"/>
    <d v="1899-12-30T00:00:00"/>
    <n v="0"/>
    <s v="Vinculo con SIR"/>
    <m/>
    <m/>
    <m/>
  </r>
  <r>
    <s v="2024"/>
    <x v="1"/>
    <m/>
    <x v="98"/>
    <m/>
    <s v="Actualmente  el pedido es de manera Manual y dependemos de una persona para que sean subidos a una orden de trabajo, de lo contrario no se despachan, y el objetivo es automatizar para despacho inmediato ."/>
    <m/>
    <x v="1"/>
    <m/>
    <m/>
    <x v="0"/>
    <m/>
    <x v="8"/>
    <x v="2"/>
    <x v="0"/>
    <m/>
    <m/>
    <m/>
    <m/>
    <m/>
    <m/>
    <m/>
    <m/>
    <m/>
    <n v="640"/>
    <m/>
    <m/>
    <m/>
    <m/>
    <e v="#REF!"/>
    <m/>
    <m/>
    <d v="1899-12-30T00:00:00"/>
    <m/>
    <m/>
    <x v="9"/>
    <x v="1"/>
    <d v="1899-12-30T00:00:00"/>
    <n v="0"/>
    <s v="Validar TV reunión con el equipo de datos maestros + Kimberly Ayala + Andrés Rigoli"/>
    <m/>
    <m/>
    <m/>
  </r>
  <r>
    <s v="2024"/>
    <x v="3"/>
    <m/>
    <x v="99"/>
    <m/>
    <s v="Alertas"/>
    <m/>
    <x v="0"/>
    <s v="Gestión de Contratos de Arriendos"/>
    <s v="CAR"/>
    <x v="0"/>
    <s v="Narciza Espin"/>
    <x v="17"/>
    <x v="2"/>
    <x v="0"/>
    <s v="Q1"/>
    <s v="Q2"/>
    <m/>
    <s v="MEDIA"/>
    <m/>
    <n v="8"/>
    <n v="1"/>
    <n v="550"/>
    <m/>
    <n v="8400"/>
    <m/>
    <m/>
    <d v="2024-03-01T00:00:00"/>
    <d v="2024-04-01T00:00:00"/>
    <e v="#REF!"/>
    <d v="2024-04-01T00:00:00"/>
    <d v="2024-04-14T00:00:00"/>
    <d v="2894-01-24T00:00:00"/>
    <d v="2024-04-14T00:00:00"/>
    <d v="2024-05-01T00:00:00"/>
    <x v="39"/>
    <x v="54"/>
    <d v="1900-01-01T00:00:00"/>
    <n v="17"/>
    <m/>
    <m/>
    <m/>
    <m/>
  </r>
  <r>
    <s v="2024"/>
    <x v="0"/>
    <m/>
    <x v="100"/>
    <m/>
    <s v="Ver Anexo A2"/>
    <m/>
    <x v="0"/>
    <s v="Celula Operaciones Maxpoint 2024"/>
    <s v="OPER"/>
    <x v="0"/>
    <s v="Sandra Paillacho"/>
    <x v="0"/>
    <x v="2"/>
    <x v="0"/>
    <m/>
    <s v="Q2"/>
    <m/>
    <s v="MEDIA"/>
    <n v="1"/>
    <n v="3"/>
    <n v="2"/>
    <n v="550"/>
    <m/>
    <n v="3880"/>
    <m/>
    <m/>
    <d v="2024-06-03T00:00:00"/>
    <d v="2024-06-24T00:00:00"/>
    <d v="2024-06-25T00:00:00"/>
    <d v="2024-07-09T00:00:00"/>
    <d v="2024-07-10T00:00:00"/>
    <d v="2024-07-24T00:00:00"/>
    <d v="2024-07-10T00:00:00"/>
    <d v="2024-07-24T00:00:00"/>
    <x v="51"/>
    <x v="24"/>
    <n v="0.75"/>
    <n v="14"/>
    <m/>
    <m/>
    <m/>
    <m/>
  </r>
  <r>
    <s v="2023"/>
    <x v="1"/>
    <m/>
    <x v="101"/>
    <m/>
    <s v="Ver Anexo A4"/>
    <m/>
    <x v="0"/>
    <s v="Célula de Operaciones SIR 2023"/>
    <s v="OPER"/>
    <x v="0"/>
    <s v="Sandra Pailacho"/>
    <x v="0"/>
    <x v="1"/>
    <x v="0"/>
    <n v="5"/>
    <s v="Q2"/>
    <m/>
    <s v="MEDIA"/>
    <m/>
    <n v="2"/>
    <n v="4"/>
    <n v="400"/>
    <m/>
    <n v="3840"/>
    <m/>
    <m/>
    <m/>
    <m/>
    <e v="#REF!"/>
    <m/>
    <m/>
    <d v="1899-12-30T00:00:00"/>
    <m/>
    <m/>
    <x v="9"/>
    <x v="1"/>
    <n v="0.5"/>
    <n v="0"/>
    <s v="Célula Operaciones"/>
    <m/>
    <m/>
    <m/>
  </r>
  <r>
    <s v="2024"/>
    <x v="0"/>
    <m/>
    <x v="102"/>
    <m/>
    <s v="Implementar versión de maxpoint domicilio para dolce;"/>
    <m/>
    <x v="0"/>
    <s v="Celula Operaciones Maxpoint 2024"/>
    <s v="OPER"/>
    <x v="0"/>
    <s v="Sebastián Jara"/>
    <x v="0"/>
    <x v="2"/>
    <x v="0"/>
    <m/>
    <s v="Q2"/>
    <m/>
    <s v="ALTA"/>
    <n v="1"/>
    <n v="4"/>
    <n v="2"/>
    <n v="550"/>
    <m/>
    <n v="4980"/>
    <m/>
    <m/>
    <d v="2024-06-03T00:00:00"/>
    <d v="2024-07-01T00:00:00"/>
    <e v="#REF!"/>
    <d v="2024-07-02T00:00:00"/>
    <d v="2024-07-16T00:00:00"/>
    <d v="2896-01-31T00:00:00"/>
    <d v="2024-07-17T00:00:00"/>
    <d v="2024-07-31T00:00:00"/>
    <x v="51"/>
    <x v="55"/>
    <n v="1"/>
    <n v="14"/>
    <m/>
    <m/>
    <m/>
    <m/>
  </r>
  <r>
    <s v="2024"/>
    <x v="0"/>
    <m/>
    <x v="103"/>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x v="0"/>
    <s v="Celula Operaciones Maxpoint 2024"/>
    <s v="OPER"/>
    <x v="0"/>
    <s v="Sebastián Jara"/>
    <x v="0"/>
    <x v="2"/>
    <x v="0"/>
    <m/>
    <s v="Q2"/>
    <s v="Se necesita mayor contexto del cliente"/>
    <s v="BAJA"/>
    <n v="1"/>
    <n v="3"/>
    <n v="1"/>
    <n v="550"/>
    <m/>
    <n v="2230"/>
    <m/>
    <m/>
    <d v="2024-05-02T00:00:00"/>
    <d v="2024-05-23T00:00:00"/>
    <e v="#REF!"/>
    <d v="2024-05-24T00:00:00"/>
    <d v="2024-06-07T00:00:00"/>
    <d v="2895-03-25T00:00:00"/>
    <d v="2024-06-08T00:00:00"/>
    <d v="2024-06-22T00:00:00"/>
    <x v="52"/>
    <x v="56"/>
    <n v="0.75"/>
    <n v="14"/>
    <m/>
    <m/>
    <m/>
    <m/>
  </r>
  <r>
    <s v="2024"/>
    <x v="0"/>
    <m/>
    <x v="104"/>
    <s v="MXP 2.0"/>
    <s v="Ver Anexo A2"/>
    <m/>
    <x v="0"/>
    <s v="Celula Operaciones Maxpoint 2024"/>
    <s v="OPER"/>
    <x v="0"/>
    <s v="Sandra Paillacho"/>
    <x v="0"/>
    <x v="2"/>
    <x v="0"/>
    <n v="1"/>
    <s v="Q2"/>
    <m/>
    <s v="BAJA"/>
    <n v="1"/>
    <n v="3"/>
    <n v="1"/>
    <n v="550"/>
    <m/>
    <n v="2230"/>
    <m/>
    <m/>
    <d v="2024-04-01T00:00:00"/>
    <d v="2024-04-22T00:00:00"/>
    <d v="2024-04-23T00:00:00"/>
    <d v="2024-05-07T00:00:00"/>
    <d v="2024-05-08T00:00:00"/>
    <d v="2024-05-22T00:00:00"/>
    <d v="2024-05-08T00:00:00"/>
    <d v="2024-05-22T00:00:00"/>
    <x v="11"/>
    <x v="42"/>
    <n v="0.75"/>
    <n v="14"/>
    <s v="Célula Operaciones"/>
    <m/>
    <m/>
    <m/>
  </r>
  <r>
    <s v="2024"/>
    <x v="2"/>
    <s v="Kioscos"/>
    <x v="105"/>
    <s v="MXP LEGACY_x000a_TRADE"/>
    <s v="Recepción de aceptaciones de la ley de protección de datos de los kioscos Ecuador, Recepcion de aceptación por separado"/>
    <s v="ALTA"/>
    <x v="0"/>
    <s v="Proyectos TD 2024"/>
    <s v="CAR"/>
    <x v="0"/>
    <s v="Daniel Barreno"/>
    <x v="4"/>
    <x v="1"/>
    <x v="1"/>
    <e v="#N/A"/>
    <s v="Q1"/>
    <s v="p19"/>
    <s v="MEDIA"/>
    <m/>
    <n v="6"/>
    <n v="1"/>
    <n v="550"/>
    <m/>
    <n v="3940"/>
    <m/>
    <m/>
    <d v="2024-03-04T00:00:00"/>
    <d v="2024-03-18T00:00:00"/>
    <n v="14"/>
    <d v="2024-03-18T00:00:00"/>
    <d v="2024-03-25T00:00:00"/>
    <n v="362959"/>
    <d v="2024-03-25T00:00:00"/>
    <d v="2024-04-01T00:00:00"/>
    <x v="11"/>
    <x v="5"/>
    <n v="1.5"/>
    <n v="7"/>
    <s v="ECOMERCE"/>
    <m/>
    <s v="x"/>
    <m/>
  </r>
  <r>
    <s v="2024"/>
    <x v="5"/>
    <m/>
    <x v="106"/>
    <m/>
    <s v="Proyecto 2023, continúa implementación 2024, fecha aprox febrero"/>
    <m/>
    <x v="0"/>
    <s v="Implementación Coproductos empresa Embutser"/>
    <s v="CAR"/>
    <x v="0"/>
    <s v="Ana Cordova"/>
    <x v="17"/>
    <x v="1"/>
    <x v="1"/>
    <s v="Q1"/>
    <s v="Q1"/>
    <m/>
    <s v="MEDIA"/>
    <n v="1"/>
    <m/>
    <m/>
    <m/>
    <m/>
    <n v="0"/>
    <m/>
    <m/>
    <d v="2024-01-07T00:00:00"/>
    <d v="2024-01-21T00:00:00"/>
    <n v="14"/>
    <d v="2024-01-21T00:00:00"/>
    <d v="2024-01-28T00:00:00"/>
    <n v="7"/>
    <d v="2024-02-21T00:00:00"/>
    <d v="2024-02-28T00:00:00"/>
    <x v="53"/>
    <x v="48"/>
    <n v="0"/>
    <n v="7"/>
    <m/>
    <m/>
    <m/>
    <m/>
  </r>
  <r>
    <s v="2024"/>
    <x v="5"/>
    <m/>
    <x v="107"/>
    <m/>
    <s v="Contar con una herramienta de reporteria facil de implemantar y puedan utilizar los usuarios de SAP, sin mayor aporte del area de tecnologia"/>
    <m/>
    <x v="3"/>
    <s v="Reportería Regional SAP ANALYTIC CLOUD"/>
    <s v="CAR"/>
    <x v="0"/>
    <s v="Diego Díaz"/>
    <x v="10"/>
    <x v="2"/>
    <x v="0"/>
    <s v="Q2"/>
    <s v="Q2"/>
    <m/>
    <s v="MEDIA"/>
    <n v="1"/>
    <n v="8"/>
    <n v="4"/>
    <n v="637.5"/>
    <n v="40000"/>
    <n v="60400"/>
    <n v="40000"/>
    <m/>
    <d v="2024-04-07T00:00:00"/>
    <d v="2024-05-14T00:00:00"/>
    <n v="37"/>
    <m/>
    <m/>
    <d v="1899-12-30T00:00:00"/>
    <m/>
    <m/>
    <x v="30"/>
    <x v="1"/>
    <n v="2"/>
    <n v="0"/>
    <m/>
    <m/>
    <m/>
    <m/>
  </r>
  <r>
    <s v="2024"/>
    <x v="5"/>
    <m/>
    <x v="108"/>
    <m/>
    <s v="Nuevo Requerimiento"/>
    <m/>
    <x v="0"/>
    <s v="Mejoras B2B - Finanzas"/>
    <s v="DSI"/>
    <x v="4"/>
    <s v="Maria A Stay"/>
    <x v="13"/>
    <x v="1"/>
    <x v="0"/>
    <s v="Q1"/>
    <s v="Q2"/>
    <m/>
    <s v="MEDIA"/>
    <n v="1"/>
    <n v="4"/>
    <n v="1"/>
    <n v="572.5"/>
    <m/>
    <n v="2290"/>
    <m/>
    <m/>
    <d v="2024-02-21T00:00:00"/>
    <d v="2024-03-07T00:00:00"/>
    <n v="15"/>
    <d v="2024-03-07T00:00:00"/>
    <d v="2024-03-14T00:00:00"/>
    <n v="7"/>
    <d v="2024-03-14T00:00:00"/>
    <d v="2024-03-21T00:00:00"/>
    <x v="23"/>
    <x v="57"/>
    <n v="1"/>
    <n v="7"/>
    <m/>
    <m/>
    <m/>
    <m/>
  </r>
  <r>
    <s v="2024"/>
    <x v="5"/>
    <m/>
    <x v="109"/>
    <m/>
    <s v="Tesorería, actualemte se comparten usuarios para acceder a Herramienta "/>
    <m/>
    <x v="0"/>
    <s v="Easy Scripting"/>
    <s v="CAR"/>
    <x v="0"/>
    <s v="Amparo Aleman"/>
    <x v="15"/>
    <x v="2"/>
    <x v="0"/>
    <s v="Q2"/>
    <s v="Q2"/>
    <m/>
    <s v="BAJA"/>
    <n v="1"/>
    <n v="1"/>
    <n v="2"/>
    <n v="550"/>
    <m/>
    <n v="1100"/>
    <n v="1800"/>
    <m/>
    <d v="2024-02-14T00:00:00"/>
    <d v="2024-02-28T00:00:00"/>
    <n v="14"/>
    <d v="2024-02-28T00:00:00"/>
    <d v="2024-03-14T00:00:00"/>
    <n v="15"/>
    <d v="2024-03-14T00:00:00"/>
    <d v="2024-03-21T00:00:00"/>
    <x v="46"/>
    <x v="57"/>
    <n v="0.25"/>
    <n v="7"/>
    <m/>
    <m/>
    <m/>
    <m/>
  </r>
  <r>
    <s v="2024"/>
    <x v="0"/>
    <m/>
    <x v="110"/>
    <s v="MXP 2.0"/>
    <s v="Ver Anexo A2_x000a_Arqueo, Retiros, proceso de cuadre de caja se lo haga en la oficina y no el en fronting POS, pero Imprimir la cinta en el POS caja, agrupador UX de formas de pago, BACK y Front"/>
    <m/>
    <x v="0"/>
    <s v="Celula Operaciones Maxpoint 2024"/>
    <s v="OPER"/>
    <x v="0"/>
    <s v="José Fernandez"/>
    <x v="0"/>
    <x v="2"/>
    <x v="0"/>
    <n v="2"/>
    <s v="Q2"/>
    <m/>
    <s v="BAJA"/>
    <n v="1"/>
    <n v="3"/>
    <n v="1"/>
    <n v="550"/>
    <m/>
    <n v="2230"/>
    <m/>
    <m/>
    <d v="2024-06-17T00:00:00"/>
    <d v="2024-04-22T00:00:00"/>
    <d v="2024-04-23T00:00:00"/>
    <d v="2024-05-07T00:00:00"/>
    <d v="2024-05-08T00:00:00"/>
    <d v="2024-05-22T00:00:00"/>
    <d v="2024-07-22T00:00:00"/>
    <d v="2024-08-05T00:00:00"/>
    <x v="10"/>
    <x v="58"/>
    <n v="0.75"/>
    <n v="14"/>
    <s v="Célula Operaciones"/>
    <m/>
    <m/>
    <m/>
  </r>
  <r>
    <s v="2024"/>
    <x v="0"/>
    <m/>
    <x v="111"/>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x v="0"/>
    <s v="Mejoras Maxpoint Auditoría 2024"/>
    <s v="CAR"/>
    <x v="0"/>
    <s v="Vladimir Morillo"/>
    <x v="2"/>
    <x v="2"/>
    <x v="0"/>
    <n v="2"/>
    <s v="Q2"/>
    <s v="De sistema payroll para que exponga emdiante api la información del personal"/>
    <s v="BAJA"/>
    <n v="1"/>
    <n v="2"/>
    <n v="1"/>
    <n v="550"/>
    <m/>
    <n v="1680"/>
    <m/>
    <m/>
    <d v="2024-04-15T00:00:00"/>
    <d v="2024-04-29T00:00:00"/>
    <d v="1900-01-13T00:00:00"/>
    <d v="2024-04-30T00:00:00"/>
    <d v="2024-05-14T00:00:00"/>
    <d v="2894-09-14T00:00:00"/>
    <d v="2024-05-15T00:00:00"/>
    <d v="2024-05-19T00:00:00"/>
    <x v="45"/>
    <x v="59"/>
    <n v="0.5"/>
    <n v="4"/>
    <m/>
    <m/>
    <m/>
    <m/>
  </r>
  <r>
    <s v="2024"/>
    <x v="0"/>
    <m/>
    <x v="112"/>
    <s v="MXP 2.0"/>
    <s v="Botones adicionales solicitados por mkt kfc"/>
    <m/>
    <x v="0"/>
    <s v="Landing Page"/>
    <s v="CAR"/>
    <x v="0"/>
    <s v="María Paula Tapia / José Fernandez"/>
    <x v="5"/>
    <x v="2"/>
    <x v="0"/>
    <n v="2"/>
    <s v="Q2"/>
    <m/>
    <s v="BAJA"/>
    <n v="1"/>
    <n v="2"/>
    <n v="1"/>
    <n v="550"/>
    <m/>
    <n v="1680"/>
    <m/>
    <m/>
    <d v="2024-05-02T00:00:00"/>
    <d v="2024-05-16T00:00:00"/>
    <d v="1900-01-13T00:00:00"/>
    <d v="2024-05-17T00:00:00"/>
    <d v="2024-05-20T00:00:00"/>
    <d v="2895-01-17T00:00:00"/>
    <d v="2024-05-21T00:00:00"/>
    <d v="2024-05-21T00:00:00"/>
    <x v="52"/>
    <x v="60"/>
    <n v="0.5"/>
    <n v="0"/>
    <m/>
    <m/>
    <m/>
    <m/>
  </r>
  <r>
    <s v="2024"/>
    <x v="1"/>
    <m/>
    <x v="113"/>
    <m/>
    <m/>
    <m/>
    <x v="1"/>
    <s v="Mantenimiento"/>
    <s v="DSI"/>
    <x v="0"/>
    <s v="Vanessa Soria"/>
    <x v="1"/>
    <x v="1"/>
    <x v="0"/>
    <m/>
    <s v="Q3"/>
    <m/>
    <s v="BAJA"/>
    <m/>
    <n v="2"/>
    <n v="1"/>
    <n v="400"/>
    <m/>
    <n v="1440"/>
    <m/>
    <m/>
    <d v="2024-09-16T00:00:00"/>
    <d v="2024-09-27T00:00:00"/>
    <e v="#REF!"/>
    <d v="2024-10-01T00:00:00"/>
    <d v="2024-10-07T00:00:00"/>
    <d v="2898-01-20T00:00:00"/>
    <m/>
    <m/>
    <x v="54"/>
    <x v="1"/>
    <n v="0.5"/>
    <n v="0"/>
    <m/>
    <m/>
    <m/>
    <m/>
  </r>
  <r>
    <s v="2024"/>
    <x v="0"/>
    <m/>
    <x v="114"/>
    <m/>
    <s v="Al reporte de transacciones MAX POINT,  Incluir una columna el numero de mesa"/>
    <m/>
    <x v="0"/>
    <s v="Mejoras Maxpoint Auditoría 2024"/>
    <s v="CAR"/>
    <x v="0"/>
    <s v="Vladimir Morillo"/>
    <x v="2"/>
    <x v="2"/>
    <x v="0"/>
    <n v="4"/>
    <s v="Q2"/>
    <m/>
    <s v="BAJA"/>
    <n v="1"/>
    <n v="2"/>
    <n v="1"/>
    <n v="550"/>
    <m/>
    <n v="1680"/>
    <m/>
    <m/>
    <d v="2024-06-11T00:00:00"/>
    <d v="2024-06-25T00:00:00"/>
    <d v="1900-01-13T00:00:00"/>
    <d v="2024-06-26T00:00:00"/>
    <d v="2024-07-10T00:00:00"/>
    <d v="2895-12-14T00:00:00"/>
    <d v="2024-07-11T00:00:00"/>
    <d v="2024-07-25T00:00:00"/>
    <x v="55"/>
    <x v="61"/>
    <n v="0.5"/>
    <n v="14"/>
    <m/>
    <m/>
    <m/>
    <m/>
  </r>
  <r>
    <s v="2024"/>
    <x v="0"/>
    <m/>
    <x v="115"/>
    <m/>
    <s v="Anulaciones/notas de crédito en transacciones que cuentan con propina - dolce incontro"/>
    <m/>
    <x v="0"/>
    <s v="Notas de Crédito"/>
    <s v="CAR"/>
    <x v="0"/>
    <s v="José Fernandez"/>
    <x v="12"/>
    <x v="2"/>
    <x v="0"/>
    <m/>
    <s v="Q2"/>
    <s v="FACTIBILIDAD TÉCNICA SRI POR VALIDAR"/>
    <s v="ALTA"/>
    <n v="1"/>
    <n v="2"/>
    <n v="1"/>
    <n v="550"/>
    <m/>
    <n v="1680"/>
    <m/>
    <m/>
    <d v="2024-05-06T00:00:00"/>
    <d v="2024-05-20T00:00:00"/>
    <d v="1900-01-13T00:00:00"/>
    <d v="2024-06-05T00:00:00"/>
    <d v="2024-06-19T00:00:00"/>
    <d v="2895-06-29T00:00:00"/>
    <d v="2024-06-24T00:00:00"/>
    <d v="2024-07-08T00:00:00"/>
    <x v="16"/>
    <x v="4"/>
    <n v="0.5"/>
    <n v="14"/>
    <s v="Identificado Grupo de Soporte"/>
    <m/>
    <m/>
    <m/>
  </r>
  <r>
    <s v="2024"/>
    <x v="0"/>
    <m/>
    <x v="116"/>
    <s v="MXP 2.0"/>
    <s v="Al reporte de transacciones MAX POINT,  nos permita visulaizar la factura con sus detalles"/>
    <m/>
    <x v="0"/>
    <s v="Mejoras Maxpoint Auditoría 2024"/>
    <s v="CAR"/>
    <x v="0"/>
    <s v="Vladimir Morillo"/>
    <x v="2"/>
    <x v="2"/>
    <x v="0"/>
    <n v="1"/>
    <s v="Q1"/>
    <m/>
    <s v="BAJA"/>
    <n v="1"/>
    <n v="1"/>
    <n v="2"/>
    <n v="550"/>
    <m/>
    <n v="1680"/>
    <m/>
    <m/>
    <d v="2024-03-25T00:00:00"/>
    <d v="2024-04-08T00:00:00"/>
    <d v="1900-01-13T00:00:00"/>
    <d v="2024-04-09T00:00:00"/>
    <d v="2024-04-23T00:00:00"/>
    <d v="2894-03-30T00:00:00"/>
    <d v="2024-04-24T00:00:00"/>
    <d v="2024-05-08T00:00:00"/>
    <x v="27"/>
    <x v="62"/>
    <n v="0.25"/>
    <n v="14"/>
    <m/>
    <m/>
    <m/>
    <m/>
  </r>
  <r>
    <s v="2024"/>
    <x v="1"/>
    <m/>
    <x v="117"/>
    <m/>
    <m/>
    <m/>
    <x v="0"/>
    <s v="Mejoras Contabilidad"/>
    <s v="CAR"/>
    <x v="0"/>
    <s v="Veronica Suntaxi"/>
    <x v="10"/>
    <x v="2"/>
    <x v="0"/>
    <s v="ALTA"/>
    <s v="Q1"/>
    <m/>
    <s v="BAJA"/>
    <m/>
    <n v="1"/>
    <n v="1"/>
    <n v="400"/>
    <m/>
    <n v="600"/>
    <m/>
    <m/>
    <d v="2024-02-26T00:00:00"/>
    <d v="2024-03-08T00:00:00"/>
    <e v="#REF!"/>
    <d v="2024-03-12T00:00:00"/>
    <d v="2024-03-19T00:00:00"/>
    <d v="2893-08-11T00:00:00"/>
    <m/>
    <m/>
    <x v="17"/>
    <x v="1"/>
    <d v="1899-12-30T06:00:00"/>
    <n v="0"/>
    <m/>
    <m/>
    <m/>
    <m/>
  </r>
  <r>
    <s v="2024"/>
    <x v="1"/>
    <m/>
    <x v="118"/>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x v="0"/>
    <s v="Mantenimiento Restaurantes"/>
    <s v="CAR"/>
    <x v="0"/>
    <s v="MIguel Lincango"/>
    <x v="16"/>
    <x v="2"/>
    <x v="1"/>
    <m/>
    <s v="Q1"/>
    <m/>
    <s v="BAJA"/>
    <m/>
    <n v="2"/>
    <n v="2"/>
    <n v="400"/>
    <m/>
    <n v="2240"/>
    <m/>
    <m/>
    <d v="2024-02-26T00:00:00"/>
    <d v="2024-03-08T00:00:00"/>
    <e v="#REF!"/>
    <d v="2024-03-12T00:00:00"/>
    <d v="2024-03-19T00:00:00"/>
    <d v="2893-08-11T00:00:00"/>
    <m/>
    <m/>
    <x v="17"/>
    <x v="1"/>
    <n v="0.5"/>
    <n v="0"/>
    <m/>
    <m/>
    <m/>
    <m/>
  </r>
  <r>
    <s v="2024"/>
    <x v="1"/>
    <m/>
    <x v="119"/>
    <m/>
    <s v="Ver Anexo A4"/>
    <m/>
    <x v="0"/>
    <s v="Célula de Operaciones SIR 2024"/>
    <s v="OPER"/>
    <x v="0"/>
    <s v="Sandra Pailacho"/>
    <x v="0"/>
    <x v="2"/>
    <x v="0"/>
    <n v="14"/>
    <s v="Q3"/>
    <m/>
    <s v="ALTA"/>
    <m/>
    <n v="6"/>
    <n v="2"/>
    <n v="450"/>
    <m/>
    <n v="6040"/>
    <m/>
    <m/>
    <d v="2024-07-08T00:00:00"/>
    <d v="2024-08-16T00:00:00"/>
    <e v="#REF!"/>
    <d v="2024-08-22T00:00:00"/>
    <d v="2024-09-02T00:00:00"/>
    <d v="2897-03-11T00:00:00"/>
    <m/>
    <m/>
    <x v="20"/>
    <x v="1"/>
    <n v="1.5"/>
    <n v="0"/>
    <s v="Célula Operaciones"/>
    <m/>
    <m/>
    <m/>
  </r>
  <r>
    <s v="2024"/>
    <x v="5"/>
    <m/>
    <x v="120"/>
    <m/>
    <s v="Corregir los motivos por los que se generan log de errores , gasto fabril, particion de lotes, cambio de precios."/>
    <m/>
    <x v="0"/>
    <s v="Optimización Procesos Plantas"/>
    <s v="PLANTA"/>
    <x v="0"/>
    <s v="Diego Díaz"/>
    <x v="10"/>
    <x v="2"/>
    <x v="0"/>
    <s v="Q2"/>
    <s v="Q2"/>
    <m/>
    <s v="MEDIA"/>
    <n v="1"/>
    <n v="3"/>
    <n v="1"/>
    <n v="1100"/>
    <m/>
    <n v="3300"/>
    <m/>
    <m/>
    <m/>
    <m/>
    <n v="0"/>
    <m/>
    <m/>
    <n v="0"/>
    <m/>
    <m/>
    <x v="9"/>
    <x v="1"/>
    <n v="0.75"/>
    <n v="0"/>
    <m/>
    <m/>
    <m/>
    <m/>
  </r>
  <r>
    <s v="2024"/>
    <x v="1"/>
    <m/>
    <x v="121"/>
    <m/>
    <s v="Ver Anexo A4"/>
    <m/>
    <x v="0"/>
    <s v="Célula de Operaciones SIR 2024"/>
    <s v="OPER"/>
    <x v="0"/>
    <s v="Sandra Pailacho"/>
    <x v="0"/>
    <x v="2"/>
    <x v="0"/>
    <n v="9"/>
    <s v="Q2"/>
    <m/>
    <s v="MEDIA"/>
    <m/>
    <n v="4"/>
    <n v="2"/>
    <n v="400"/>
    <m/>
    <n v="3840"/>
    <m/>
    <m/>
    <d v="2024-05-06T00:00:00"/>
    <d v="2024-05-24T00:00:00"/>
    <e v="#REF!"/>
    <d v="2024-05-28T00:00:00"/>
    <d v="2024-06-04T00:00:00"/>
    <d v="2895-04-19T00:00:00"/>
    <m/>
    <m/>
    <x v="16"/>
    <x v="1"/>
    <n v="1"/>
    <n v="0"/>
    <s v="Célula Operaciones"/>
    <m/>
    <m/>
    <m/>
  </r>
  <r>
    <s v="2024"/>
    <x v="4"/>
    <m/>
    <x v="122"/>
    <m/>
    <s v="Reporte de Flujo de Caja que se estaba trabajando con TD, verificar estatus y si podemos  aportar para avanzar"/>
    <m/>
    <x v="0"/>
    <s v="Debe mantenerse reunion con el área de BA y Negocio"/>
    <s v="CAR"/>
    <x v="0"/>
    <s v="Amparo Aleman"/>
    <x v="15"/>
    <x v="2"/>
    <x v="0"/>
    <m/>
    <m/>
    <m/>
    <m/>
    <m/>
    <m/>
    <m/>
    <m/>
    <m/>
    <n v="640"/>
    <m/>
    <m/>
    <m/>
    <m/>
    <n v="0"/>
    <m/>
    <m/>
    <n v="0"/>
    <m/>
    <m/>
    <x v="9"/>
    <x v="1"/>
    <n v="0"/>
    <n v="0"/>
    <s v="BI"/>
    <m/>
    <m/>
    <m/>
  </r>
  <r>
    <n v="2024"/>
    <x v="0"/>
    <m/>
    <x v="123"/>
    <s v="CANALES DIGITALES"/>
    <s v="Integración API CORE Formas PAGO en Kioskos"/>
    <m/>
    <x v="3"/>
    <s v="Funcionalidades Locales"/>
    <s v="REGIONAL"/>
    <x v="4"/>
    <s v="Davis"/>
    <x v="13"/>
    <x v="1"/>
    <x v="1"/>
    <m/>
    <s v="Q1"/>
    <s v="Gestión de ambientes de pruebas"/>
    <s v="ALTA"/>
    <n v="1"/>
    <n v="3"/>
    <n v="2"/>
    <n v="625"/>
    <m/>
    <n v="3750"/>
    <m/>
    <m/>
    <d v="2024-03-04T00:00:00"/>
    <d v="2024-03-15T00:00:00"/>
    <e v="#REF!"/>
    <d v="2024-03-18T00:00:00"/>
    <d v="2024-03-22T00:00:00"/>
    <d v="2893-09-25T00:00:00"/>
    <d v="2024-03-25T00:00:00"/>
    <d v="2024-03-29T00:00:00"/>
    <x v="21"/>
    <x v="63"/>
    <d v="1899-12-30T18:00:00"/>
    <n v="4"/>
    <m/>
    <m/>
    <m/>
    <m/>
  </r>
  <r>
    <n v="2024"/>
    <x v="0"/>
    <m/>
    <x v="124"/>
    <s v="MXP 2.0 _x000a_CANALES DIGITALES"/>
    <m/>
    <m/>
    <x v="1"/>
    <s v="DSI"/>
    <s v="DSI"/>
    <x v="0"/>
    <s v="Juan Estevez"/>
    <x v="1"/>
    <x v="2"/>
    <x v="0"/>
    <m/>
    <s v="Q2"/>
    <m/>
    <m/>
    <m/>
    <n v="12"/>
    <n v="3"/>
    <n v="550"/>
    <m/>
    <n v="20380"/>
    <m/>
    <m/>
    <d v="2024-04-08T00:00:00"/>
    <d v="2024-06-24T00:00:00"/>
    <d v="2024-05-24T00:00:00"/>
    <d v="2024-06-25T00:00:00"/>
    <d v="2024-07-09T00:00:00"/>
    <d v="2024-06-22T00:00:00"/>
    <d v="2024-07-10T00:00:00"/>
    <d v="2024-07-17T00:00:00"/>
    <x v="38"/>
    <x v="64"/>
    <d v="1900-01-02T00:00:00"/>
    <n v="7"/>
    <m/>
    <m/>
    <m/>
    <m/>
  </r>
  <r>
    <s v="2024"/>
    <x v="2"/>
    <s v="Ultimas millas"/>
    <x v="125"/>
    <s v="MXP LEGACY_x000a_TRADE"/>
    <s v="Integración de ultima milla._x000a_Incluir efectivo"/>
    <s v="ALTA"/>
    <x v="0"/>
    <s v="Proyectos TD 2024"/>
    <s v="CAR"/>
    <x v="0"/>
    <s v="Daniel Barreno"/>
    <x v="4"/>
    <x v="1"/>
    <x v="1"/>
    <m/>
    <s v="Q1"/>
    <m/>
    <s v="MEDIA"/>
    <m/>
    <n v="2"/>
    <n v="1"/>
    <n v="550"/>
    <m/>
    <n v="1100"/>
    <m/>
    <m/>
    <d v="2024-01-05T00:00:00"/>
    <d v="2024-02-23T00:00:00"/>
    <n v="49"/>
    <d v="2024-02-23T00:00:00"/>
    <d v="2024-03-01T00:00:00"/>
    <n v="362767"/>
    <d v="2024-03-01T00:00:00"/>
    <d v="2024-03-08T00:00:00"/>
    <x v="15"/>
    <x v="35"/>
    <n v="0.5"/>
    <n v="7"/>
    <s v="ECOMERCE"/>
    <m/>
    <m/>
    <m/>
  </r>
  <r>
    <n v="2024"/>
    <x v="0"/>
    <m/>
    <x v="126"/>
    <m/>
    <s v="Nueva red de datafonos"/>
    <m/>
    <x v="0"/>
    <s v="Funcionalidades Locales"/>
    <s v="REGIONAL"/>
    <x v="3"/>
    <s v="William Villegas"/>
    <x v="9"/>
    <x v="1"/>
    <x v="1"/>
    <m/>
    <s v="Q1"/>
    <m/>
    <s v="ALTA"/>
    <n v="1"/>
    <n v="12"/>
    <n v="1"/>
    <n v="625"/>
    <m/>
    <n v="7500"/>
    <m/>
    <m/>
    <d v="2024-03-04T00:00:00"/>
    <d v="2024-03-22T00:00:00"/>
    <e v="#REF!"/>
    <d v="2024-03-25T00:00:00"/>
    <d v="2024-03-29T00:00:00"/>
    <d v="2893-11-20T00:00:00"/>
    <d v="2024-04-01T00:00:00"/>
    <d v="2024-04-05T00:00:00"/>
    <x v="21"/>
    <x v="20"/>
    <n v="3"/>
    <n v="4"/>
    <m/>
    <m/>
    <m/>
    <m/>
  </r>
  <r>
    <s v="2024"/>
    <x v="0"/>
    <m/>
    <x v="127"/>
    <s v="MXP 2.0"/>
    <s v="Se debe integrar a la versión de Ecuador la funcionalidad de cupones digitales desde la versión de Colombia_x000a_Compromiso Matriz Regional  (Ecuador)"/>
    <m/>
    <x v="0"/>
    <s v="Funcionalidades País"/>
    <s v="OPER"/>
    <x v="0"/>
    <m/>
    <x v="0"/>
    <x v="2"/>
    <x v="0"/>
    <m/>
    <s v="Q3"/>
    <s v="A pesar de ser un requerimiento del 2023 y asociado a la matriz regional sin embargo, ya no existe fondos en este proyecto razón por la cual se debe incluir en la matriz de operaciones ?"/>
    <m/>
    <m/>
    <n v="8"/>
    <n v="1"/>
    <n v="550"/>
    <m/>
    <n v="4980"/>
    <m/>
    <m/>
    <d v="2024-08-05T00:00:00"/>
    <d v="2024-09-09T00:00:00"/>
    <d v="2024-08-06T00:00:00"/>
    <d v="2024-09-10T00:00:00"/>
    <d v="2024-09-24T00:00:00"/>
    <d v="2024-09-04T00:00:00"/>
    <d v="2024-09-25T00:00:00"/>
    <d v="2024-10-09T00:00:00"/>
    <x v="56"/>
    <x v="65"/>
    <n v="2"/>
    <n v="14"/>
    <m/>
    <m/>
    <m/>
    <m/>
  </r>
  <r>
    <s v="2024"/>
    <x v="3"/>
    <m/>
    <x v="128"/>
    <m/>
    <s v="Dependencia de SAP Venezuela"/>
    <m/>
    <x v="0"/>
    <s v="Funcionalidades Locales"/>
    <s v="DSI"/>
    <x v="2"/>
    <s v="Jhustin Vergara"/>
    <x v="6"/>
    <x v="1"/>
    <x v="0"/>
    <m/>
    <s v="Q2"/>
    <m/>
    <s v="MEDIA"/>
    <n v="0"/>
    <n v="10"/>
    <n v="1"/>
    <n v="550"/>
    <m/>
    <n v="0"/>
    <n v="364"/>
    <m/>
    <d v="2024-04-01T00:00:00"/>
    <d v="2024-06-01T00:00:00"/>
    <e v="#REF!"/>
    <d v="2024-06-01T00:00:00"/>
    <d v="2024-06-07T00:00:00"/>
    <d v="2895-05-20T00:00:00"/>
    <d v="2024-06-07T00:00:00"/>
    <d v="2024-06-14T00:00:00"/>
    <x v="11"/>
    <x v="66"/>
    <n v="2.5"/>
    <n v="7"/>
    <s v="Presupuesto incluido en poryecto SAP"/>
    <m/>
    <m/>
    <m/>
  </r>
  <r>
    <s v="2024"/>
    <x v="2"/>
    <s v="Pickup"/>
    <x v="129"/>
    <s v="MXP LEGACY_x000a_MXP 2.0_x000a_TRADE"/>
    <s v="Recepción de descuentos desde inyección V3 hacia Pickup en las tiendas"/>
    <s v="ALTA"/>
    <x v="0"/>
    <s v="Proyectos TD 2024"/>
    <s v="CAR"/>
    <x v="0"/>
    <s v="Mychael Castro"/>
    <x v="4"/>
    <x v="1"/>
    <x v="1"/>
    <m/>
    <s v="Q1"/>
    <s v="p10"/>
    <s v="ALTA"/>
    <n v="1"/>
    <n v="4"/>
    <n v="1"/>
    <n v="550"/>
    <m/>
    <n v="2840"/>
    <m/>
    <m/>
    <d v="2024-02-19T00:00:00"/>
    <d v="2024-02-26T00:00:00"/>
    <n v="7"/>
    <d v="2024-02-26T00:00:00"/>
    <d v="2024-03-04T00:00:00"/>
    <n v="362791"/>
    <d v="2024-03-04T00:00:00"/>
    <d v="2024-03-11T00:00:00"/>
    <x v="11"/>
    <x v="67"/>
    <n v="1"/>
    <n v="7"/>
    <s v="PROYECTO REGIONAL"/>
    <m/>
    <s v="x"/>
    <m/>
  </r>
  <r>
    <s v="2024"/>
    <x v="2"/>
    <s v="Agregadores"/>
    <x v="130"/>
    <s v="MXP LEGACY_x000a_MXP 2.0_x000a_"/>
    <s v="Envío Menús Agregadores KFC_x000a_*PEYA*"/>
    <s v="ALTA"/>
    <x v="3"/>
    <s v="Integración con Agregadores (Regional)"/>
    <s v="DSI"/>
    <x v="2"/>
    <s v="DSI"/>
    <x v="1"/>
    <x v="1"/>
    <x v="0"/>
    <m/>
    <s v="Q2"/>
    <s v="p38"/>
    <s v="MEDIA"/>
    <n v="0.03"/>
    <n v="1"/>
    <n v="1"/>
    <n v="101428"/>
    <m/>
    <n v="3062.04"/>
    <m/>
    <m/>
    <d v="2024-10-21T00:00:00"/>
    <m/>
    <n v="-45586"/>
    <m/>
    <m/>
    <n v="0"/>
    <m/>
    <d v="2024-12-02T00:00:00"/>
    <x v="57"/>
    <x v="68"/>
    <n v="1.5"/>
    <n v="45628"/>
    <s v="PROYECTO REGIONAL"/>
    <m/>
    <m/>
    <m/>
  </r>
  <r>
    <s v="2024"/>
    <x v="2"/>
    <s v="Agregadores"/>
    <x v="130"/>
    <s v="MXP LEGACY_x000a_MXP 2.0_x000a_"/>
    <s v="Envío Menús Agregadores KFC"/>
    <s v="ALTA"/>
    <x v="3"/>
    <s v="Integración con Agregadores (Regional)"/>
    <s v="DSI"/>
    <x v="1"/>
    <s v="DSI"/>
    <x v="1"/>
    <x v="1"/>
    <x v="0"/>
    <m/>
    <s v="Q2"/>
    <s v="p38"/>
    <s v="MEDIA"/>
    <n v="0.12"/>
    <n v="1"/>
    <n v="1"/>
    <n v="101428"/>
    <m/>
    <n v="12248.16"/>
    <m/>
    <m/>
    <d v="2024-11-04T00:00:00"/>
    <m/>
    <n v="-45600"/>
    <m/>
    <m/>
    <n v="0"/>
    <m/>
    <d v="2025-01-13T00:00:00"/>
    <x v="42"/>
    <x v="69"/>
    <n v="2.5"/>
    <n v="45670"/>
    <s v="PROYECTO REGIONAL"/>
    <m/>
    <m/>
    <m/>
  </r>
  <r>
    <s v="2024"/>
    <x v="2"/>
    <s v="Agregadores"/>
    <x v="130"/>
    <s v="MXP LEGACY_x000a_MXP 2.0_x000a_"/>
    <s v="Envío Menús Agregadores KFC"/>
    <s v="ALTA"/>
    <x v="3"/>
    <s v="Integración con Agregadores (Regional)"/>
    <s v="DSI"/>
    <x v="4"/>
    <s v="DSI"/>
    <x v="1"/>
    <x v="1"/>
    <x v="0"/>
    <m/>
    <s v="Q2"/>
    <s v="p38"/>
    <s v="MEDIA"/>
    <n v="0.28999999999999998"/>
    <n v="1"/>
    <n v="1"/>
    <n v="101428"/>
    <m/>
    <n v="29599.719999999998"/>
    <m/>
    <m/>
    <d v="2024-07-15T00:00:00"/>
    <m/>
    <n v="-45488"/>
    <m/>
    <m/>
    <n v="0"/>
    <m/>
    <d v="2024-12-02T00:00:00"/>
    <x v="48"/>
    <x v="68"/>
    <n v="5"/>
    <n v="45628"/>
    <s v="PROYECTO REGIONAL"/>
    <m/>
    <m/>
    <m/>
  </r>
  <r>
    <s v="2024"/>
    <x v="2"/>
    <s v="Agregadores"/>
    <x v="130"/>
    <s v="MXP LEGACY_x000a_MXP 2.0_x000a_"/>
    <s v="Envío Menús Agregadores KFC"/>
    <s v="ALTA"/>
    <x v="3"/>
    <s v="Integración con Agregadores (Regional)"/>
    <s v="DSI"/>
    <x v="3"/>
    <s v="DSI"/>
    <x v="1"/>
    <x v="1"/>
    <x v="0"/>
    <m/>
    <s v="Q2"/>
    <s v="p38"/>
    <s v="MEDIA"/>
    <n v="0.27"/>
    <n v="1"/>
    <n v="1"/>
    <n v="101428"/>
    <m/>
    <n v="27558.36"/>
    <m/>
    <m/>
    <d v="2024-05-20T00:00:00"/>
    <m/>
    <n v="-45432"/>
    <m/>
    <m/>
    <n v="0"/>
    <m/>
    <d v="2024-08-26T00:00:00"/>
    <x v="7"/>
    <x v="70"/>
    <n v="3.5"/>
    <n v="45530"/>
    <s v="PROYECTO REGIONAL"/>
    <m/>
    <m/>
    <m/>
  </r>
  <r>
    <s v="2024"/>
    <x v="3"/>
    <m/>
    <x v="131"/>
    <m/>
    <m/>
    <m/>
    <x v="0"/>
    <s v="Gestión de Contratos de Arriendos"/>
    <s v="CAR"/>
    <x v="0"/>
    <s v="Narciza Espin"/>
    <x v="17"/>
    <x v="2"/>
    <x v="0"/>
    <s v="Q1"/>
    <s v="Q2"/>
    <m/>
    <s v="MEDIA"/>
    <m/>
    <n v="4"/>
    <n v="1"/>
    <n v="600"/>
    <m/>
    <n v="2400"/>
    <m/>
    <m/>
    <d v="2024-03-01T00:00:00"/>
    <d v="2024-04-01T00:00:00"/>
    <e v="#REF!"/>
    <d v="2024-04-01T00:00:00"/>
    <d v="2024-04-14T00:00:00"/>
    <d v="2894-01-24T00:00:00"/>
    <d v="2024-04-14T00:00:00"/>
    <d v="2024-05-01T00:00:00"/>
    <x v="39"/>
    <x v="54"/>
    <n v="1"/>
    <n v="17"/>
    <m/>
    <m/>
    <m/>
    <m/>
  </r>
  <r>
    <s v="2024"/>
    <x v="2"/>
    <s v="Agregadores"/>
    <x v="132"/>
    <s v="MXP LEGACY_x000a_MXP 2.0_x000a_"/>
    <s v="Homologar integración a través de trade.  (Integraccion Agregador Yummy)"/>
    <s v="BAJA"/>
    <x v="0"/>
    <s v="Funcionalidades Locales"/>
    <s v="DSI"/>
    <x v="2"/>
    <s v="Jhustin Vergara"/>
    <x v="1"/>
    <x v="1"/>
    <x v="0"/>
    <m/>
    <s v="Q2"/>
    <s v="p45"/>
    <s v="MEDIA"/>
    <m/>
    <n v="2"/>
    <n v="1"/>
    <n v="550"/>
    <m/>
    <n v="1740"/>
    <m/>
    <m/>
    <d v="2024-05-28T00:00:00"/>
    <d v="2024-05-28T00:00:00"/>
    <n v="0"/>
    <d v="2024-05-28T00:00:00"/>
    <d v="2024-06-04T00:00:00"/>
    <n v="363527"/>
    <d v="2024-06-04T00:00:00"/>
    <d v="2024-06-11T00:00:00"/>
    <x v="33"/>
    <x v="3"/>
    <n v="0.5"/>
    <n v="7"/>
    <m/>
    <m/>
    <m/>
    <m/>
  </r>
  <r>
    <s v="2024"/>
    <x v="0"/>
    <m/>
    <x v="133"/>
    <m/>
    <m/>
    <m/>
    <x v="0"/>
    <s v="Funcionalidades Locales"/>
    <s v="REGIONAL"/>
    <x v="2"/>
    <s v="Jhustin Vergara"/>
    <x v="6"/>
    <x v="1"/>
    <x v="1"/>
    <m/>
    <s v="Q1"/>
    <m/>
    <s v="ALTA"/>
    <n v="1"/>
    <n v="8"/>
    <n v="1"/>
    <n v="550"/>
    <m/>
    <n v="4400"/>
    <m/>
    <m/>
    <d v="2024-02-11T00:00:00"/>
    <d v="2024-03-29T00:00:00"/>
    <e v="#REF!"/>
    <d v="2024-04-01T00:00:00"/>
    <d v="2024-04-05T00:00:00"/>
    <d v="2894-01-15T00:00:00"/>
    <d v="2024-04-08T00:00:00"/>
    <d v="2024-04-10T00:00:00"/>
    <x v="58"/>
    <x v="71"/>
    <n v="2"/>
    <n v="2"/>
    <m/>
    <m/>
    <m/>
    <m/>
  </r>
  <r>
    <s v="2024"/>
    <x v="1"/>
    <m/>
    <x v="134"/>
    <m/>
    <s v="Integración Ventas"/>
    <m/>
    <x v="0"/>
    <s v="España"/>
    <s v="REGIONAL"/>
    <x v="5"/>
    <s v="Jeison Caguana"/>
    <x v="22"/>
    <x v="1"/>
    <x v="0"/>
    <m/>
    <s v="Q3"/>
    <m/>
    <s v="ALTA"/>
    <m/>
    <n v="7"/>
    <n v="2"/>
    <n v="450"/>
    <m/>
    <n v="6940"/>
    <m/>
    <m/>
    <d v="2024-05-15T00:00:00"/>
    <d v="2024-07-10T00:00:00"/>
    <e v="#REF!"/>
    <d v="2024-07-10T00:00:00"/>
    <d v="2024-07-24T00:00:00"/>
    <d v="2896-04-04T00:00:00"/>
    <m/>
    <d v="2024-07-24T00:00:00"/>
    <x v="59"/>
    <x v="24"/>
    <n v="1.75"/>
    <n v="45497"/>
    <m/>
    <m/>
    <m/>
    <m/>
  </r>
  <r>
    <s v="2024"/>
    <x v="2"/>
    <s v="API Inyección v3"/>
    <x v="135"/>
    <s v="MXP LEGACY_x000a_TRADE"/>
    <s v="Compromiso Matriz Regional  (Argentina)_x000a_ -  Web DUNA _x000a_Cambios de Estado"/>
    <s v="MEDIA"/>
    <x v="3"/>
    <s v="Funcionalidades Locales"/>
    <s v="DSI"/>
    <x v="1"/>
    <s v="Mychael Castro - José Fernandez"/>
    <x v="1"/>
    <x v="1"/>
    <x v="0"/>
    <m/>
    <s v="Q2"/>
    <m/>
    <s v="MEDIA"/>
    <n v="1"/>
    <n v="2"/>
    <n v="1"/>
    <n v="550"/>
    <m/>
    <n v="1740"/>
    <m/>
    <m/>
    <d v="2024-03-18T00:00:00"/>
    <d v="2024-03-18T00:00:00"/>
    <n v="0"/>
    <d v="2024-03-18T00:00:00"/>
    <d v="2024-03-25T00:00:00"/>
    <n v="362959"/>
    <d v="2024-03-25T00:00:00"/>
    <d v="2024-04-01T00:00:00"/>
    <x v="15"/>
    <x v="35"/>
    <n v="0.5"/>
    <n v="7"/>
    <s v="PROYECTO REGIONAL"/>
    <m/>
    <m/>
    <m/>
  </r>
  <r>
    <s v="2024"/>
    <x v="2"/>
    <s v="Agregadores"/>
    <x v="136"/>
    <s v="MXP LEGACY_x000a_MXP 2.0_x000a_"/>
    <s v="Compromiso Matriz Regional  (Argentina)_x000a_- + Justo​+Trade"/>
    <s v="MEDIA"/>
    <x v="3"/>
    <s v="Funcionalidades Regionales"/>
    <s v="DSI"/>
    <x v="1"/>
    <s v="Mychael Castro"/>
    <x v="1"/>
    <x v="1"/>
    <x v="0"/>
    <m/>
    <s v="Q2"/>
    <s v="p39"/>
    <s v="MEDIA"/>
    <n v="1"/>
    <n v="4"/>
    <n v="1"/>
    <n v="550"/>
    <m/>
    <n v="2840"/>
    <m/>
    <m/>
    <d v="2024-05-13T00:00:00"/>
    <d v="2024-05-27T00:00:00"/>
    <n v="14"/>
    <d v="2024-05-27T00:00:00"/>
    <d v="2024-06-03T00:00:00"/>
    <n v="363519"/>
    <d v="2024-06-03T00:00:00"/>
    <d v="2024-06-10T00:00:00"/>
    <x v="33"/>
    <x v="30"/>
    <n v="1"/>
    <n v="7"/>
    <s v="PROYECTO REGIONAL"/>
    <m/>
    <m/>
    <m/>
  </r>
  <r>
    <s v="2024"/>
    <x v="2"/>
    <s v="API Inyección v3"/>
    <x v="136"/>
    <s v="MXP LEGACY_x000a_TRADE"/>
    <s v="Compromiso Matriz Regional  (Colombia)_x000a_ - + TicTuk + Trade​"/>
    <s v="MEDIA"/>
    <x v="3"/>
    <s v="Funcionalidades Regionales"/>
    <s v="DSI"/>
    <x v="3"/>
    <s v="Mychael Castro"/>
    <x v="1"/>
    <x v="1"/>
    <x v="1"/>
    <m/>
    <s v="Q2"/>
    <m/>
    <s v="MEDIA"/>
    <n v="1"/>
    <n v="2"/>
    <n v="1"/>
    <n v="550"/>
    <m/>
    <n v="1740"/>
    <m/>
    <m/>
    <d v="2024-05-13T00:00:00"/>
    <d v="2024-05-13T00:00:00"/>
    <n v="0"/>
    <d v="2024-05-13T00:00:00"/>
    <d v="2024-05-20T00:00:00"/>
    <n v="363407"/>
    <d v="2024-05-20T00:00:00"/>
    <d v="2024-05-27T00:00:00"/>
    <x v="15"/>
    <x v="35"/>
    <n v="0.5"/>
    <n v="7"/>
    <s v="PROYECTO REGIONAL"/>
    <m/>
    <m/>
    <m/>
  </r>
  <r>
    <s v="2024"/>
    <x v="1"/>
    <m/>
    <x v="137"/>
    <s v="CONSULTAR ADRIAN"/>
    <s v="Consume información de SIR y actualiza en SAP (Validar con Operaciones). Justificación en base a ahorros en stocks de seguridad"/>
    <m/>
    <x v="0"/>
    <s v="Funcionalidades Locales"/>
    <s v="REGIONAL"/>
    <x v="1"/>
    <s v="Adrian Gadja / Juan Carlos Benalcazar"/>
    <x v="18"/>
    <x v="1"/>
    <x v="0"/>
    <s v="Q2"/>
    <s v="Q3"/>
    <m/>
    <s v="MEDIA"/>
    <n v="1"/>
    <n v="4"/>
    <n v="3"/>
    <n v="600"/>
    <m/>
    <n v="7200"/>
    <m/>
    <m/>
    <m/>
    <m/>
    <n v="0"/>
    <m/>
    <m/>
    <n v="0"/>
    <m/>
    <m/>
    <x v="29"/>
    <x v="31"/>
    <n v="1"/>
    <n v="0"/>
    <m/>
    <m/>
    <m/>
    <m/>
  </r>
  <r>
    <s v="2024"/>
    <x v="5"/>
    <m/>
    <x v="138"/>
    <m/>
    <s v="Contar con Integración de Activos Fijos SAP - SIR"/>
    <m/>
    <x v="0"/>
    <s v="Funcionalidades Locales"/>
    <s v="REGIONAL"/>
    <x v="4"/>
    <s v="Davis Nuñez"/>
    <x v="13"/>
    <x v="1"/>
    <x v="0"/>
    <s v="Q2"/>
    <s v="Q2"/>
    <m/>
    <s v="MEDIA"/>
    <n v="1"/>
    <n v="6"/>
    <n v="2"/>
    <n v="200"/>
    <m/>
    <n v="3040"/>
    <m/>
    <m/>
    <d v="2024-02-19T00:00:00"/>
    <d v="2024-03-31T00:00:00"/>
    <n v="41"/>
    <d v="2024-03-18T00:00:00"/>
    <d v="2024-03-25T00:00:00"/>
    <n v="7"/>
    <d v="2024-03-25T00:00:00"/>
    <d v="2024-04-01T00:00:00"/>
    <x v="1"/>
    <x v="72"/>
    <n v="1.5"/>
    <n v="7"/>
    <m/>
    <m/>
    <m/>
    <m/>
  </r>
  <r>
    <s v="2024"/>
    <x v="5"/>
    <m/>
    <x v="139"/>
    <m/>
    <s v="Contar con una integración entre el sistema de Nómina REX+ y SAP"/>
    <m/>
    <x v="0"/>
    <s v="Funcionalidades Locales"/>
    <s v="REGIONAL"/>
    <x v="4"/>
    <s v="Davis Nuñez"/>
    <x v="13"/>
    <x v="1"/>
    <x v="0"/>
    <s v="Q2"/>
    <s v="Q3"/>
    <m/>
    <s v="ALTA"/>
    <n v="0"/>
    <n v="6"/>
    <n v="3"/>
    <n v="1000"/>
    <m/>
    <n v="0"/>
    <m/>
    <m/>
    <d v="2024-04-07T00:00:00"/>
    <d v="2024-05-14T00:00:00"/>
    <n v="37"/>
    <d v="2024-05-14T00:00:00"/>
    <d v="2024-05-31T00:00:00"/>
    <n v="17"/>
    <d v="2024-05-31T00:00:00"/>
    <d v="2024-06-14T00:00:00"/>
    <x v="30"/>
    <x v="66"/>
    <n v="1.5"/>
    <n v="14"/>
    <m/>
    <m/>
    <m/>
    <m/>
  </r>
  <r>
    <s v="2024"/>
    <x v="1"/>
    <m/>
    <x v="140"/>
    <m/>
    <s v="Nuevo Requerimiento - Activación y adecuación"/>
    <m/>
    <x v="0"/>
    <s v="Funcionalidades Locales"/>
    <s v="REGIONAL"/>
    <x v="4"/>
    <s v="Davis Nuñez"/>
    <x v="13"/>
    <x v="1"/>
    <x v="0"/>
    <m/>
    <s v="Q2"/>
    <m/>
    <s v="MEDIA"/>
    <m/>
    <n v="3"/>
    <n v="1"/>
    <n v="400"/>
    <n v="2000"/>
    <n v="3840"/>
    <m/>
    <m/>
    <d v="2024-04-22T00:00:00"/>
    <d v="2024-05-17T00:00:00"/>
    <e v="#REF!"/>
    <d v="2024-05-21T00:00:00"/>
    <d v="2024-05-31T00:00:00"/>
    <d v="2895-02-25T00:00:00"/>
    <m/>
    <d v="2024-05-31T00:00:00"/>
    <x v="8"/>
    <x v="13"/>
    <n v="0.75"/>
    <n v="45443"/>
    <m/>
    <m/>
    <m/>
    <m/>
  </r>
  <r>
    <s v="2024"/>
    <x v="4"/>
    <m/>
    <x v="141"/>
    <m/>
    <s v=" Reporte diario a descargar a la intranet presenta errores_x000a_- Alertas de límite presupuestario_x000a_- actualizar información se mantiene manual."/>
    <m/>
    <x v="0"/>
    <s v="Reunión con Requisidor, obtener mas información"/>
    <s v="CAR"/>
    <x v="0"/>
    <s v="Rodrigo Burbano"/>
    <x v="23"/>
    <x v="2"/>
    <x v="0"/>
    <s v="Q2"/>
    <s v="Q3"/>
    <m/>
    <s v="MEDIA"/>
    <n v="1"/>
    <m/>
    <m/>
    <m/>
    <m/>
    <n v="0"/>
    <m/>
    <m/>
    <m/>
    <m/>
    <m/>
    <m/>
    <m/>
    <m/>
    <m/>
    <m/>
    <x v="9"/>
    <x v="1"/>
    <n v="0"/>
    <m/>
    <m/>
    <m/>
    <m/>
    <m/>
  </r>
  <r>
    <s v="2024"/>
    <x v="4"/>
    <m/>
    <x v="142"/>
    <m/>
    <s v="Reporte para controlar aquellos despachos que no realizan por falta de productos (vinculo con proveedor y capacidad de la planta. (Costo de oportunidad) (Consultar con Juan Celi) - Total por área - vinculo con pedido de compras."/>
    <m/>
    <x v="0"/>
    <s v="Juan Celi"/>
    <s v="PLANTA"/>
    <x v="0"/>
    <s v="Shuber Aguirre"/>
    <x v="21"/>
    <x v="2"/>
    <x v="0"/>
    <m/>
    <m/>
    <m/>
    <m/>
    <n v="1"/>
    <n v="4"/>
    <n v="1"/>
    <n v="1100"/>
    <m/>
    <n v="4400"/>
    <m/>
    <m/>
    <m/>
    <m/>
    <n v="0"/>
    <m/>
    <m/>
    <n v="0"/>
    <m/>
    <m/>
    <x v="9"/>
    <x v="1"/>
    <n v="1"/>
    <n v="0"/>
    <m/>
    <m/>
    <m/>
    <m/>
  </r>
  <r>
    <s v="2024"/>
    <x v="2"/>
    <s v="API Inyección v3"/>
    <x v="64"/>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x v="0"/>
    <s v="Proyectos TD 2024"/>
    <s v="CAR"/>
    <x v="0"/>
    <s v="Daniel Barreno"/>
    <x v="4"/>
    <x v="1"/>
    <x v="2"/>
    <e v="#N/A"/>
    <s v="Q1"/>
    <s v="P23"/>
    <s v="ALTA"/>
    <n v="1"/>
    <n v="8"/>
    <n v="1"/>
    <n v="550"/>
    <m/>
    <n v="5040"/>
    <m/>
    <m/>
    <d v="2024-02-05T00:00:00"/>
    <d v="2024-02-12T00:00:00"/>
    <n v="7"/>
    <d v="2024-02-12T00:00:00"/>
    <d v="2024-02-19T00:00:00"/>
    <n v="362679"/>
    <d v="2024-02-19T00:00:00"/>
    <d v="2024-02-26T00:00:00"/>
    <x v="44"/>
    <x v="43"/>
    <n v="2"/>
    <n v="7"/>
    <s v="PROYECTO REGIONAL"/>
    <m/>
    <s v="x"/>
    <m/>
  </r>
  <r>
    <s v="2024"/>
    <x v="2"/>
    <s v="Pickup"/>
    <x v="129"/>
    <s v="MXP LEGACY_x000a_MXP 2.0_x000a_TRADE"/>
    <s v="Recepción de descuentos desde inyección V3 hacia Pickup en las tiendas"/>
    <s v="ALTA"/>
    <x v="3"/>
    <s v="Proyectos TD 2024"/>
    <s v="CAR"/>
    <x v="3"/>
    <s v="Mychael Castro"/>
    <x v="4"/>
    <x v="1"/>
    <x v="1"/>
    <m/>
    <s v="Q1"/>
    <s v="p10"/>
    <s v="ALTA"/>
    <n v="1"/>
    <n v="4"/>
    <n v="1"/>
    <n v="550"/>
    <m/>
    <n v="2840"/>
    <m/>
    <m/>
    <d v="2024-03-11T00:00:00"/>
    <d v="2024-03-18T00:00:00"/>
    <n v="7"/>
    <d v="2024-03-18T00:00:00"/>
    <d v="2024-03-25T00:00:00"/>
    <n v="362959"/>
    <d v="2024-03-25T00:00:00"/>
    <d v="2024-04-01T00:00:00"/>
    <x v="11"/>
    <x v="67"/>
    <n v="1"/>
    <n v="7"/>
    <s v="PROYECTO REGIONAL"/>
    <m/>
    <s v="x"/>
    <m/>
  </r>
  <r>
    <s v="2024"/>
    <x v="2"/>
    <s v="Pickup"/>
    <x v="129"/>
    <s v="MXP LEGACY_x000a_MXP 2.0_x000a_TRADE"/>
    <s v="Recepción de descuentos desde inyección V3 hacia Pickup en las tiendas"/>
    <s v="ALTA"/>
    <x v="3"/>
    <s v="Proyectos TD 2024"/>
    <s v="CAR"/>
    <x v="2"/>
    <s v="Mychael Castro"/>
    <x v="4"/>
    <x v="1"/>
    <x v="1"/>
    <m/>
    <s v="Q1"/>
    <m/>
    <s v="ALTA"/>
    <n v="1"/>
    <n v="4"/>
    <n v="1"/>
    <n v="550"/>
    <m/>
    <n v="2840"/>
    <m/>
    <m/>
    <d v="2024-03-04T00:00:00"/>
    <d v="2024-03-18T00:00:00"/>
    <n v="14"/>
    <d v="2024-03-18T00:00:00"/>
    <d v="2024-03-25T00:00:00"/>
    <n v="362959"/>
    <d v="2024-03-25T00:00:00"/>
    <d v="2024-04-01T00:00:00"/>
    <x v="11"/>
    <x v="67"/>
    <n v="1"/>
    <n v="7"/>
    <m/>
    <m/>
    <s v="x"/>
    <m/>
  </r>
  <r>
    <s v="2024"/>
    <x v="2"/>
    <s v="Cupones"/>
    <x v="143"/>
    <s v="MXP LEGACY_x000a_TRADE"/>
    <s v="_x000a_Unificación de Cupones QR y Online_x000a_Mejorar la densidad de todos los códigos QR"/>
    <s v="BAJA"/>
    <x v="0"/>
    <s v="Proyectos TD 2024"/>
    <s v="CAR"/>
    <x v="0"/>
    <s v="Daniel Barreno"/>
    <x v="4"/>
    <x v="1"/>
    <x v="0"/>
    <e v="#N/A"/>
    <s v="Q4"/>
    <s v="p75"/>
    <s v="MEDIA"/>
    <n v="1"/>
    <n v="6"/>
    <n v="1"/>
    <n v="550"/>
    <m/>
    <n v="3940"/>
    <m/>
    <m/>
    <d v="2024-03-04T00:00:00"/>
    <d v="2024-04-01T00:00:00"/>
    <n v="28"/>
    <d v="2024-04-01T00:00:00"/>
    <d v="2024-04-08T00:00:00"/>
    <n v="363071"/>
    <d v="2024-04-08T00:00:00"/>
    <d v="2024-04-15T00:00:00"/>
    <x v="38"/>
    <x v="33"/>
    <n v="1.5"/>
    <n v="7"/>
    <s v="PROYECTO REGIONAL"/>
    <m/>
    <s v="x"/>
    <m/>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2"/>
    <s v="Mychael Castro"/>
    <x v="1"/>
    <x v="1"/>
    <x v="0"/>
    <m/>
    <s v="Q1"/>
    <m/>
    <s v="MEDIA"/>
    <n v="1"/>
    <n v="4"/>
    <n v="1"/>
    <n v="550"/>
    <m/>
    <n v="2840"/>
    <m/>
    <m/>
    <d v="2024-03-04T00:00:00"/>
    <d v="2024-04-01T00:00:00"/>
    <n v="28"/>
    <d v="2024-04-01T00:00:00"/>
    <d v="2024-04-08T00:00:00"/>
    <n v="363071"/>
    <d v="2024-04-08T00:00:00"/>
    <d v="2024-04-15T00:00:00"/>
    <x v="12"/>
    <x v="6"/>
    <n v="1"/>
    <n v="7"/>
    <m/>
    <m/>
    <s v="x"/>
    <m/>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3"/>
    <s v="Mychael Castro"/>
    <x v="1"/>
    <x v="1"/>
    <x v="0"/>
    <s v="Q1"/>
    <s v="Q1"/>
    <m/>
    <s v="MEDIA"/>
    <n v="1"/>
    <n v="12"/>
    <n v="1"/>
    <n v="550"/>
    <m/>
    <n v="7240"/>
    <m/>
    <m/>
    <d v="2024-03-04T00:00:00"/>
    <d v="2024-04-29T00:00:00"/>
    <n v="56"/>
    <d v="2024-04-29T00:00:00"/>
    <d v="2024-05-13T00:00:00"/>
    <n v="363302"/>
    <d v="2024-05-13T00:00:00"/>
    <d v="2024-05-27T00:00:00"/>
    <x v="19"/>
    <x v="73"/>
    <n v="3"/>
    <n v="14"/>
    <s v="PROYECTO REGIONAL"/>
    <m/>
    <s v="x"/>
    <m/>
  </r>
  <r>
    <s v="2024"/>
    <x v="0"/>
    <m/>
    <x v="144"/>
    <m/>
    <m/>
    <m/>
    <x v="0"/>
    <s v="Funcionalidades Regionales"/>
    <s v="REGIONAL"/>
    <x v="2"/>
    <s v="Jhustin Vergara"/>
    <x v="6"/>
    <x v="1"/>
    <x v="1"/>
    <m/>
    <s v="Q2"/>
    <s v="Realizar un piloto para adaptar a la operación al KDS"/>
    <s v="ALTA"/>
    <n v="1"/>
    <n v="8"/>
    <n v="1"/>
    <n v="550"/>
    <m/>
    <n v="4400"/>
    <m/>
    <m/>
    <d v="2024-05-06T00:00:00"/>
    <d v="2024-06-14T00:00:00"/>
    <e v="#REF!"/>
    <d v="2024-06-17T00:00:00"/>
    <d v="2024-06-21T00:00:00"/>
    <d v="2895-09-23T00:00:00"/>
    <d v="2024-06-24T00:00:00"/>
    <d v="2024-06-26T00:00:00"/>
    <x v="16"/>
    <x v="74"/>
    <n v="2"/>
    <n v="2"/>
    <m/>
    <m/>
    <m/>
    <m/>
  </r>
  <r>
    <s v="2024"/>
    <x v="2"/>
    <s v="API Inyección v3"/>
    <x v="145"/>
    <s v="MXP LEGACY_x000a_TRADE"/>
    <s v="Recepción de propinas en v3 y Maxpoint "/>
    <s v="BAJA"/>
    <x v="0"/>
    <s v="Proyectos TD 2024"/>
    <s v="CAR"/>
    <x v="0"/>
    <s v="Daniel Barreno"/>
    <x v="4"/>
    <x v="1"/>
    <x v="0"/>
    <s v="Q3"/>
    <s v="Q3"/>
    <s v="p51"/>
    <s v="MEDIA"/>
    <m/>
    <n v="8"/>
    <n v="1"/>
    <n v="550"/>
    <m/>
    <n v="5040"/>
    <m/>
    <m/>
    <d v="2024-09-02T00:00:00"/>
    <d v="2024-09-16T00:00:00"/>
    <n v="14"/>
    <d v="2024-09-16T00:00:00"/>
    <d v="2024-09-23T00:00:00"/>
    <n v="364415"/>
    <d v="2024-09-23T00:00:00"/>
    <d v="2024-09-30T00:00:00"/>
    <x v="47"/>
    <x v="75"/>
    <n v="2"/>
    <n v="7"/>
    <s v="ECOMERCE"/>
    <m/>
    <s v="x"/>
    <m/>
  </r>
  <r>
    <s v="2024"/>
    <x v="2"/>
    <s v="Appedir"/>
    <x v="146"/>
    <s v="MXP LEGACY_x000a_TRADE"/>
    <s v="La App debe detectar el lugar en donde se encuentra el cliente y ofrecer el pedido en menos de 20 minutos."/>
    <s v="BAJA"/>
    <x v="0"/>
    <s v="Proyectos TD 2024"/>
    <s v="CAR"/>
    <x v="0"/>
    <s v="Daniel Barreno"/>
    <x v="4"/>
    <x v="1"/>
    <x v="0"/>
    <s v="Q3"/>
    <s v="Q4"/>
    <s v="p53"/>
    <s v="BAJA"/>
    <m/>
    <n v="3"/>
    <n v="1"/>
    <n v="550"/>
    <m/>
    <n v="2290"/>
    <m/>
    <m/>
    <d v="2024-10-07T00:00:00"/>
    <d v="2024-10-07T00:00:00"/>
    <n v="0"/>
    <d v="2024-10-07T00:00:00"/>
    <d v="2024-10-14T00:00:00"/>
    <n v="364583"/>
    <d v="2024-10-21T00:00:00"/>
    <d v="2024-10-28T00:00:00"/>
    <x v="14"/>
    <x v="51"/>
    <n v="0.75"/>
    <n v="7"/>
    <s v="ECOMERCE"/>
    <m/>
    <s v="x"/>
    <m/>
  </r>
  <r>
    <s v="2024"/>
    <x v="2"/>
    <s v="Appedir"/>
    <x v="147"/>
    <s v="MXP LEGACY_x000a_TRADE"/>
    <s v="La app acepte propinas para motorizados, evaluar si es posible realizar esto con Pediods Ya"/>
    <s v="BAJA"/>
    <x v="0"/>
    <s v="Proyectos TD 2024"/>
    <s v="CAR"/>
    <x v="0"/>
    <s v="Daniel Barreno"/>
    <x v="4"/>
    <x v="1"/>
    <x v="0"/>
    <s v="Q3"/>
    <s v="Q4"/>
    <s v="p54"/>
    <s v="MEDIA"/>
    <m/>
    <n v="8"/>
    <n v="1"/>
    <n v="550"/>
    <m/>
    <n v="5040"/>
    <m/>
    <m/>
    <d v="2024-11-04T00:00:00"/>
    <d v="2024-11-25T00:00:00"/>
    <n v="21"/>
    <d v="2024-11-25T00:00:00"/>
    <d v="2024-12-02T00:00:00"/>
    <n v="364975"/>
    <d v="2024-12-02T00:00:00"/>
    <d v="2024-12-09T00:00:00"/>
    <x v="41"/>
    <x v="76"/>
    <n v="2"/>
    <n v="7"/>
    <s v="ECOMERCE"/>
    <m/>
    <s v="x"/>
    <m/>
  </r>
  <r>
    <s v="2024"/>
    <x v="2"/>
    <s v="Delivery time"/>
    <x v="148"/>
    <s v="MXP LEGACY_x000a_MXP 2.0_x000a_TRADE"/>
    <s v="Implementacion del Campo delivery time en la sincro de v3 para que se pueda enviar el tiempo de entrega"/>
    <s v="BAJA"/>
    <x v="0"/>
    <s v="Proyectos TD 2024"/>
    <s v="CAR"/>
    <x v="0"/>
    <s v="Daniel Barreno"/>
    <x v="4"/>
    <x v="1"/>
    <x v="0"/>
    <s v="Q1"/>
    <s v="Q3"/>
    <s v="p21"/>
    <s v="BAJA"/>
    <n v="1"/>
    <n v="5"/>
    <n v="1"/>
    <n v="550"/>
    <m/>
    <n v="3390"/>
    <m/>
    <m/>
    <d v="2024-08-12T00:00:00"/>
    <d v="2024-09-02T00:00:00"/>
    <n v="21"/>
    <d v="2024-09-02T00:00:00"/>
    <d v="2024-09-09T00:00:00"/>
    <n v="364303"/>
    <d v="2024-09-09T00:00:00"/>
    <d v="2024-09-16T00:00:00"/>
    <x v="12"/>
    <x v="77"/>
    <n v="1.25"/>
    <n v="7"/>
    <s v="PROYECTO REGIONAL"/>
    <m/>
    <s v="x"/>
    <m/>
  </r>
  <r>
    <s v="2024"/>
    <x v="2"/>
    <s v="Delivery time"/>
    <x v="148"/>
    <s v="MXP LEGACY_x000a_MXP 2.0_x000a_TRADE"/>
    <s v="Implementacion del Campo delivery time en la sincro de v3 para que se pueda enviar el tiempo de entrega"/>
    <s v="BAJA"/>
    <x v="3"/>
    <s v="Proyectos TD 2024"/>
    <s v="CAR"/>
    <x v="2"/>
    <s v="Daniel Barreno"/>
    <x v="4"/>
    <x v="1"/>
    <x v="0"/>
    <s v="Q1"/>
    <s v="Q3"/>
    <s v="p21"/>
    <s v="BAJA"/>
    <n v="1"/>
    <n v="3"/>
    <n v="1"/>
    <n v="550"/>
    <m/>
    <n v="2290"/>
    <m/>
    <m/>
    <d v="2024-09-09T00:00:00"/>
    <d v="2024-09-16T00:00:00"/>
    <n v="7"/>
    <d v="2024-09-16T00:00:00"/>
    <d v="2024-09-23T00:00:00"/>
    <n v="364415"/>
    <d v="2024-09-23T00:00:00"/>
    <d v="2024-09-30T00:00:00"/>
    <x v="47"/>
    <x v="78"/>
    <n v="0.75"/>
    <n v="7"/>
    <s v="PROYECTO REGIONAL"/>
    <m/>
    <s v="x"/>
    <m/>
  </r>
  <r>
    <s v="2024"/>
    <x v="2"/>
    <s v="Delivery time"/>
    <x v="148"/>
    <s v="MXP LEGACY_x000a_MXP 2.0_x000a_TRADE"/>
    <s v="Implementacion del Campo delivery time en la sincro de v3 para que se pueda enviar el tiempo de entrega"/>
    <s v="BAJA"/>
    <x v="3"/>
    <s v="Proyectos TD 2024"/>
    <s v="CAR"/>
    <x v="1"/>
    <s v="Daniel Barreno"/>
    <x v="4"/>
    <x v="1"/>
    <x v="0"/>
    <s v="Q1"/>
    <s v="Q3"/>
    <s v="p21"/>
    <s v="BAJA"/>
    <n v="1"/>
    <n v="3"/>
    <n v="1"/>
    <n v="550"/>
    <m/>
    <n v="2290"/>
    <m/>
    <m/>
    <d v="2024-09-09T00:00:00"/>
    <d v="2024-09-16T00:00:00"/>
    <n v="7"/>
    <d v="2024-09-16T00:00:00"/>
    <d v="2024-09-23T00:00:00"/>
    <n v="364415"/>
    <d v="2024-09-23T00:00:00"/>
    <d v="2024-09-30T00:00:00"/>
    <x v="14"/>
    <x v="51"/>
    <n v="0.75"/>
    <n v="7"/>
    <s v="PROYECTO REGIONAL"/>
    <m/>
    <s v="x"/>
    <m/>
  </r>
  <r>
    <s v="2024"/>
    <x v="2"/>
    <s v="Delivery time"/>
    <x v="148"/>
    <s v="MXP LEGACY_x000a_MXP 2.0_x000a_TRADE"/>
    <s v="Implementacion del Campo delivery time en la sincro de v3 para que se pueda enviar el tiempo de entrega"/>
    <s v="BAJA"/>
    <x v="3"/>
    <s v="Proyectos TD 2024"/>
    <s v="CAR"/>
    <x v="3"/>
    <s v="Daniel Barreno"/>
    <x v="4"/>
    <x v="1"/>
    <x v="0"/>
    <s v="Q1"/>
    <s v="Q3"/>
    <s v="p21"/>
    <s v="BAJA"/>
    <n v="1"/>
    <n v="3"/>
    <n v="1"/>
    <n v="550"/>
    <m/>
    <n v="2290"/>
    <m/>
    <m/>
    <d v="2024-09-09T00:00:00"/>
    <d v="2024-09-16T00:00:00"/>
    <n v="7"/>
    <d v="2024-09-16T00:00:00"/>
    <d v="2024-09-23T00:00:00"/>
    <n v="364415"/>
    <d v="2024-09-23T00:00:00"/>
    <d v="2024-09-30T00:00:00"/>
    <x v="12"/>
    <x v="79"/>
    <n v="0.75"/>
    <n v="7"/>
    <s v="PROYECTO REGIONAL"/>
    <m/>
    <s v="x"/>
    <m/>
  </r>
  <r>
    <s v="2024"/>
    <x v="2"/>
    <s v="Delivery time"/>
    <x v="148"/>
    <s v="MXP LEGACY_x000a_MXP 2.0_x000a_TRADE"/>
    <s v="Implementacion del Campo delivery time en la sincro de v3 para que se pueda enviar el tiempo de entrega"/>
    <s v="BAJA"/>
    <x v="3"/>
    <s v="Proyectos TD 2024"/>
    <s v="CAR"/>
    <x v="4"/>
    <s v="Daniel Barreno"/>
    <x v="4"/>
    <x v="1"/>
    <x v="0"/>
    <s v="Q1"/>
    <s v="Q3"/>
    <s v="p21"/>
    <s v="BAJA"/>
    <n v="1"/>
    <n v="5"/>
    <n v="1"/>
    <n v="550"/>
    <m/>
    <n v="3390"/>
    <m/>
    <m/>
    <d v="2024-09-09T00:00:00"/>
    <d v="2024-09-16T00:00:00"/>
    <n v="7"/>
    <d v="2024-09-16T00:00:00"/>
    <d v="2024-09-23T00:00:00"/>
    <n v="364415"/>
    <d v="2024-09-23T00:00:00"/>
    <d v="2024-10-14T00:00:00"/>
    <x v="47"/>
    <x v="52"/>
    <n v="1.25"/>
    <n v="21"/>
    <s v="PROYECTO REGIONAL"/>
    <m/>
    <s v="x"/>
    <m/>
  </r>
  <r>
    <s v="2024"/>
    <x v="7"/>
    <m/>
    <x v="149"/>
    <m/>
    <s v="Ver Anexo A2_x000a_Desglosar el pedido y mediante popup seleccionar el medio del producto"/>
    <m/>
    <x v="0"/>
    <s v="Celula Operaciones Maxpoint 2024"/>
    <s v="OPER"/>
    <x v="0"/>
    <s v="Sandra Paillacho"/>
    <x v="0"/>
    <x v="0"/>
    <x v="0"/>
    <n v="1"/>
    <s v="Q1"/>
    <s v="Se necesita mayor contexto del cliente"/>
    <s v="MEDIA"/>
    <n v="1"/>
    <n v="1"/>
    <n v="4"/>
    <n v="550"/>
    <m/>
    <n v="2200"/>
    <m/>
    <m/>
    <d v="2024-02-26T00:00:00"/>
    <d v="2024-03-25T00:00:00"/>
    <e v="#REF!"/>
    <d v="2024-03-26T00:00:00"/>
    <d v="2024-04-09T00:00:00"/>
    <d v="2893-12-08T00:00:00"/>
    <d v="2024-04-10T00:00:00"/>
    <d v="2024-04-24T00:00:00"/>
    <x v="17"/>
    <x v="80"/>
    <n v="0.25"/>
    <n v="14"/>
    <s v="Célula Operaciones"/>
    <m/>
    <m/>
    <m/>
  </r>
  <r>
    <s v="2024"/>
    <x v="7"/>
    <m/>
    <x v="150"/>
    <m/>
    <s v="Ver Anexo A2"/>
    <m/>
    <x v="0"/>
    <s v="Celula Operaciones Maxpoint 2024"/>
    <s v="OPER"/>
    <x v="0"/>
    <s v="Sandra Paillacho"/>
    <x v="0"/>
    <x v="0"/>
    <x v="0"/>
    <n v="1"/>
    <s v="Q1"/>
    <m/>
    <s v="BAJA"/>
    <n v="1"/>
    <n v="1"/>
    <n v="3"/>
    <n v="550"/>
    <m/>
    <n v="1650"/>
    <m/>
    <m/>
    <d v="2024-03-18T00:00:00"/>
    <d v="2024-04-08T00:00:00"/>
    <e v="#REF!"/>
    <d v="2024-04-09T00:00:00"/>
    <d v="2024-04-23T00:00:00"/>
    <d v="2894-03-30T00:00:00"/>
    <d v="2024-04-24T00:00:00"/>
    <d v="2024-05-08T00:00:00"/>
    <x v="60"/>
    <x v="62"/>
    <n v="0.25"/>
    <n v="14"/>
    <s v="Célula Operaciones"/>
    <m/>
    <m/>
    <m/>
  </r>
  <r>
    <s v="2024"/>
    <x v="7"/>
    <m/>
    <x v="151"/>
    <m/>
    <s v="Ver Anexo A2"/>
    <m/>
    <x v="0"/>
    <s v="Celula Operaciones Maxpoint 2024"/>
    <s v="OPER"/>
    <x v="0"/>
    <s v="Sandra Paillacho"/>
    <x v="0"/>
    <x v="0"/>
    <x v="0"/>
    <n v="1"/>
    <s v="Q1"/>
    <m/>
    <s v="ALTA"/>
    <n v="1"/>
    <n v="1"/>
    <n v="5"/>
    <n v="550"/>
    <m/>
    <n v="2750"/>
    <m/>
    <m/>
    <d v="2024-03-25T00:00:00"/>
    <d v="2024-04-29T00:00:00"/>
    <e v="#REF!"/>
    <d v="2024-04-30T00:00:00"/>
    <d v="2024-05-14T00:00:00"/>
    <d v="2894-09-14T00:00:00"/>
    <d v="2024-05-15T00:00:00"/>
    <d v="2024-05-29T00:00:00"/>
    <x v="27"/>
    <x v="18"/>
    <n v="0.25"/>
    <n v="14"/>
    <s v="Célula Operaciones"/>
    <m/>
    <m/>
    <m/>
  </r>
  <r>
    <s v="2024"/>
    <x v="2"/>
    <s v="Pickup"/>
    <x v="152"/>
    <s v="MXP LEGACY_x000a_MXP 2.0_x000a_TRADE"/>
    <s v="Recepción de lote de estacionamiento"/>
    <s v="BAJA"/>
    <x v="0"/>
    <s v="Proyectos TD 2024"/>
    <s v="CAR"/>
    <x v="0"/>
    <s v="Daniel Barreno"/>
    <x v="4"/>
    <x v="1"/>
    <x v="0"/>
    <s v="Q3"/>
    <s v="Q3"/>
    <s v="p50"/>
    <s v="ALTA"/>
    <m/>
    <n v="8"/>
    <n v="2"/>
    <n v="550"/>
    <m/>
    <n v="9440"/>
    <m/>
    <m/>
    <d v="2024-08-04T00:00:00"/>
    <d v="2024-09-08T00:00:00"/>
    <n v="35"/>
    <d v="2024-09-08T00:00:00"/>
    <d v="2024-09-15T00:00:00"/>
    <n v="364351"/>
    <d v="2024-09-15T00:00:00"/>
    <d v="2024-09-29T00:00:00"/>
    <x v="12"/>
    <x v="81"/>
    <n v="2"/>
    <n v="14"/>
    <s v="ECOMERCE"/>
    <m/>
    <s v="x"/>
    <m/>
  </r>
  <r>
    <s v="2024"/>
    <x v="2"/>
    <s v="Pickup"/>
    <x v="153"/>
    <s v="MXP LEGACY_x000a_MXP 2.0_x000a_TRADE"/>
    <s v="Recepción de número de mesa "/>
    <s v="MEDIA"/>
    <x v="0"/>
    <s v="Proyectos TD 2024"/>
    <s v="CAR"/>
    <x v="0"/>
    <s v="Daniel Barreno"/>
    <x v="4"/>
    <x v="1"/>
    <x v="0"/>
    <s v="Q3"/>
    <s v="Q3"/>
    <s v="p67"/>
    <s v="ALTA"/>
    <m/>
    <n v="7"/>
    <n v="2"/>
    <n v="550"/>
    <m/>
    <n v="8340"/>
    <m/>
    <m/>
    <d v="2024-08-12T00:00:00"/>
    <d v="2024-09-09T00:00:00"/>
    <n v="28"/>
    <d v="2024-09-09T00:00:00"/>
    <d v="2024-09-23T00:00:00"/>
    <n v="364366"/>
    <d v="2024-09-23T00:00:00"/>
    <d v="2024-09-30T00:00:00"/>
    <x v="12"/>
    <x v="82"/>
    <n v="1.75"/>
    <n v="7"/>
    <s v="ECOMERCE"/>
    <m/>
    <s v="x"/>
    <m/>
  </r>
  <r>
    <s v="2024"/>
    <x v="7"/>
    <m/>
    <x v="154"/>
    <m/>
    <s v="Ver Anexo A2"/>
    <m/>
    <x v="0"/>
    <s v="Celula Operaciones Maxpoint 2024"/>
    <s v="OPER"/>
    <x v="0"/>
    <s v="Sandra Paillacho"/>
    <x v="0"/>
    <x v="0"/>
    <x v="0"/>
    <n v="1"/>
    <s v="Q2"/>
    <m/>
    <s v="MEDIA"/>
    <n v="1"/>
    <n v="1"/>
    <n v="4"/>
    <n v="550"/>
    <m/>
    <n v="2200"/>
    <m/>
    <m/>
    <d v="2024-04-01T00:00:00"/>
    <d v="2024-04-29T00:00:00"/>
    <e v="#REF!"/>
    <d v="2024-04-30T00:00:00"/>
    <d v="2024-05-14T00:00:00"/>
    <d v="2894-09-14T00:00:00"/>
    <d v="2024-05-15T00:00:00"/>
    <d v="2024-05-29T00:00:00"/>
    <x v="11"/>
    <x v="18"/>
    <n v="0.25"/>
    <n v="14"/>
    <s v="Célula Operaciones"/>
    <m/>
    <m/>
    <m/>
  </r>
  <r>
    <s v="2024"/>
    <x v="7"/>
    <m/>
    <x v="155"/>
    <m/>
    <s v="Ver Anexo A2"/>
    <m/>
    <x v="0"/>
    <s v="Celula Operaciones Maxpoint 2024"/>
    <s v="OPER"/>
    <x v="0"/>
    <s v="Sandra Paillacho"/>
    <x v="0"/>
    <x v="0"/>
    <x v="0"/>
    <n v="2"/>
    <s v="Q2"/>
    <m/>
    <s v="MEDIA"/>
    <n v="1"/>
    <n v="1"/>
    <n v="4"/>
    <n v="550"/>
    <m/>
    <n v="2200"/>
    <m/>
    <m/>
    <d v="2024-04-15T00:00:00"/>
    <d v="2024-05-13T00:00:00"/>
    <e v="#REF!"/>
    <d v="2024-05-14T00:00:00"/>
    <d v="2024-05-28T00:00:00"/>
    <d v="2895-01-04T00:00:00"/>
    <d v="2024-05-29T00:00:00"/>
    <d v="2024-06-12T00:00:00"/>
    <x v="45"/>
    <x v="27"/>
    <n v="0.25"/>
    <n v="14"/>
    <s v="Célula Operaciones"/>
    <m/>
    <m/>
    <m/>
  </r>
  <r>
    <s v="2024"/>
    <x v="2"/>
    <s v="APP"/>
    <x v="156"/>
    <s v="MXP LEGACY_x000a_TRADE"/>
    <s v="Implementar la opción de que por un cargo Extra, el pedido pueda llegar en 20 minutos  / Recibir el campo de costo de envio adicional"/>
    <s v="ALTA"/>
    <x v="0"/>
    <s v="Proyectos TD 2024"/>
    <s v="CAR"/>
    <x v="0"/>
    <s v="Daniel Barreno"/>
    <x v="4"/>
    <x v="1"/>
    <x v="0"/>
    <s v="Q2"/>
    <s v="Q2"/>
    <s v="p34"/>
    <s v="ALTA"/>
    <m/>
    <n v="5"/>
    <n v="1"/>
    <n v="550"/>
    <m/>
    <n v="3390"/>
    <m/>
    <m/>
    <d v="2024-03-18T00:00:00"/>
    <d v="2024-04-08T00:00:00"/>
    <n v="21"/>
    <d v="2024-04-08T00:00:00"/>
    <d v="2024-04-15T00:00:00"/>
    <n v="363127"/>
    <d v="2024-04-15T00:00:00"/>
    <d v="2024-04-22T00:00:00"/>
    <x v="33"/>
    <x v="83"/>
    <n v="1.25"/>
    <n v="7"/>
    <s v="ECOMERCE"/>
    <m/>
    <m/>
    <m/>
  </r>
  <r>
    <s v="2024"/>
    <x v="7"/>
    <m/>
    <x v="157"/>
    <m/>
    <s v="Ver Anexo A2"/>
    <m/>
    <x v="0"/>
    <s v="Celula Operaciones Maxpoint 2024"/>
    <s v="OPER"/>
    <x v="0"/>
    <s v="Sandra Paillacho"/>
    <x v="0"/>
    <x v="0"/>
    <x v="0"/>
    <n v="2"/>
    <s v="Q2"/>
    <m/>
    <s v="MEDIA"/>
    <n v="1"/>
    <n v="2"/>
    <n v="4"/>
    <n v="550"/>
    <m/>
    <n v="4400"/>
    <m/>
    <m/>
    <d v="2024-04-01T00:00:00"/>
    <d v="2024-04-29T00:00:00"/>
    <d v="2024-04-30T00:00:00"/>
    <d v="2024-05-14T00:00:00"/>
    <d v="2024-05-15T00:00:00"/>
    <d v="2024-05-29T00:00:00"/>
    <d v="2024-06-19T00:00:00"/>
    <d v="2024-07-03T00:00:00"/>
    <x v="11"/>
    <x v="84"/>
    <n v="0.5"/>
    <n v="14"/>
    <s v="Célula Operaciones"/>
    <m/>
    <m/>
    <m/>
  </r>
  <r>
    <s v="2024"/>
    <x v="7"/>
    <m/>
    <x v="158"/>
    <m/>
    <s v="Ver Anexo A2"/>
    <m/>
    <x v="0"/>
    <s v="Celula Operaciones Maxpoint 2024"/>
    <s v="OPER"/>
    <x v="0"/>
    <s v="Sandra Paillacho"/>
    <x v="0"/>
    <x v="0"/>
    <x v="0"/>
    <n v="3"/>
    <s v="Q2"/>
    <m/>
    <s v="MEDIA"/>
    <n v="1"/>
    <n v="2"/>
    <n v="4"/>
    <n v="550"/>
    <m/>
    <n v="4400"/>
    <m/>
    <m/>
    <d v="2024-05-02T00:00:00"/>
    <d v="2024-05-16T00:00:00"/>
    <d v="2024-05-17T00:00:00"/>
    <d v="2024-05-31T00:00:00"/>
    <d v="2024-06-01T00:00:00"/>
    <d v="2024-06-15T00:00:00"/>
    <d v="2024-06-19T00:00:00"/>
    <d v="2024-07-03T00:00:00"/>
    <x v="52"/>
    <x v="84"/>
    <n v="0.5"/>
    <n v="14"/>
    <s v="Célula Operaciones"/>
    <m/>
    <m/>
    <m/>
  </r>
  <r>
    <s v="2024"/>
    <x v="2"/>
    <s v="Delivery time"/>
    <x v="159"/>
    <s v="MXP LEGACY_x000a_MXP 2.0_x000a_TRADE"/>
    <s v="Enviar el rango de entrega de los locales , para que la app pueda indicarle entre que hora le va a llegar el pedido**** dragon tail"/>
    <s v="BAJA"/>
    <x v="0"/>
    <s v="Proyectos TD 2024"/>
    <s v="CAR"/>
    <x v="0"/>
    <s v="Daniel Barreno"/>
    <x v="4"/>
    <x v="1"/>
    <x v="0"/>
    <s v="Q3"/>
    <s v="Q3"/>
    <s v="p47"/>
    <s v="ALTA"/>
    <m/>
    <n v="6"/>
    <n v="1"/>
    <n v="550"/>
    <m/>
    <n v="3940"/>
    <m/>
    <m/>
    <d v="2024-08-19T00:00:00"/>
    <d v="2024-09-02T00:00:00"/>
    <n v="14"/>
    <d v="2024-09-02T00:00:00"/>
    <d v="2024-09-09T00:00:00"/>
    <n v="364303"/>
    <d v="2024-09-09T00:00:00"/>
    <d v="2024-09-16T00:00:00"/>
    <x v="12"/>
    <x v="53"/>
    <n v="1.5"/>
    <n v="7"/>
    <s v="ECOMERCE"/>
    <m/>
    <m/>
    <m/>
  </r>
  <r>
    <s v="2024"/>
    <x v="2"/>
    <s v="Pickup"/>
    <x v="160"/>
    <s v="MXP LEGACY_x000a_MXP 2.0_x000a_TRADE"/>
    <s v="Receptar el pedido cuando el cliente haya llegado al restaurante "/>
    <s v="MEDIA"/>
    <x v="0"/>
    <s v="Proyectos TD 2024"/>
    <s v="CAR"/>
    <x v="0"/>
    <s v="Daniel Barreno"/>
    <x v="4"/>
    <x v="1"/>
    <x v="0"/>
    <s v="Q3"/>
    <s v="Q3"/>
    <s v="p66"/>
    <s v="ALTA"/>
    <m/>
    <n v="10"/>
    <n v="2"/>
    <n v="550"/>
    <m/>
    <n v="11640"/>
    <m/>
    <m/>
    <d v="2024-07-29T00:00:00"/>
    <d v="2024-09-02T00:00:00"/>
    <n v="35"/>
    <d v="2024-09-02T00:00:00"/>
    <d v="2024-09-16T00:00:00"/>
    <n v="364310"/>
    <d v="2024-09-16T00:00:00"/>
    <d v="2024-09-23T00:00:00"/>
    <x v="12"/>
    <x v="85"/>
    <n v="2.5"/>
    <n v="7"/>
    <s v="ECOMERCE"/>
    <m/>
    <s v="x"/>
    <m/>
  </r>
  <r>
    <s v="2024"/>
    <x v="2"/>
    <s v="Formas de Pago"/>
    <x v="12"/>
    <s v="MXP LEGACY"/>
    <s v="Integrar el API Formas de Pago en Maxpoint de todos los países para usar las Wallets, en CL, CO y EC prioridad 1, Mercado Pago Pay , Daviplata Colombia, Nequi Colombia, Edenred Chile, Sodexo Chile, Amipass Chile, Deuna Banco Pichincha Ecuador"/>
    <s v="ALTA"/>
    <x v="3"/>
    <s v="Funcionalidades Regionales"/>
    <s v="DSI"/>
    <x v="0"/>
    <s v="Mychael Castro"/>
    <x v="1"/>
    <x v="1"/>
    <x v="0"/>
    <s v="Q1"/>
    <s v="Q1"/>
    <m/>
    <s v="MEDIA"/>
    <n v="1"/>
    <n v="6"/>
    <n v="1"/>
    <n v="550"/>
    <m/>
    <n v="3940"/>
    <m/>
    <m/>
    <d v="2024-03-04T00:00:00"/>
    <d v="2024-03-18T00:00:00"/>
    <n v="14"/>
    <d v="2024-03-18T00:00:00"/>
    <d v="2024-03-25T00:00:00"/>
    <n v="362959"/>
    <d v="2024-03-25T00:00:00"/>
    <d v="2024-04-08T00:00:00"/>
    <x v="19"/>
    <x v="21"/>
    <n v="1.5"/>
    <n v="14"/>
    <s v="PROYECTO REGIONAL"/>
    <m/>
    <s v="x"/>
    <m/>
  </r>
  <r>
    <s v="2024"/>
    <x v="2"/>
    <s v="Kioscos"/>
    <x v="87"/>
    <s v="MXP LEGACY_x000a_TRADE"/>
    <s v="Migracion del canal de kioscos a V3 para poder contar las funcionalidades de cupones, descuentos y propinas"/>
    <s v="ALTA"/>
    <x v="3"/>
    <s v="Proyectos TD 2024"/>
    <s v="CAR"/>
    <x v="4"/>
    <s v="Daniel Barreno"/>
    <x v="4"/>
    <x v="1"/>
    <x v="0"/>
    <e v="#N/A"/>
    <s v="Q2"/>
    <s v="p20"/>
    <s v="ALTA"/>
    <n v="1"/>
    <n v="6"/>
    <n v="1"/>
    <n v="550"/>
    <m/>
    <n v="3940"/>
    <m/>
    <m/>
    <d v="2024-03-11T00:00:00"/>
    <d v="2024-05-06T00:00:00"/>
    <n v="56"/>
    <d v="2024-05-06T00:00:00"/>
    <d v="2024-05-20T00:00:00"/>
    <n v="363358"/>
    <d v="2024-05-20T00:00:00"/>
    <d v="2024-06-10T00:00:00"/>
    <x v="15"/>
    <x v="27"/>
    <n v="1.5"/>
    <n v="21"/>
    <s v="PROYECTO REGIONAL"/>
    <m/>
    <s v="x"/>
    <m/>
  </r>
  <r>
    <s v="2024"/>
    <x v="7"/>
    <m/>
    <x v="161"/>
    <m/>
    <s v="Ver Anexo A2"/>
    <m/>
    <x v="0"/>
    <s v="Celula Operaciones Maxpoint 2024"/>
    <s v="OPER"/>
    <x v="0"/>
    <s v="Sandra Paillacho"/>
    <x v="0"/>
    <x v="0"/>
    <x v="0"/>
    <n v="3"/>
    <s v="Q3"/>
    <m/>
    <s v="BAJA"/>
    <n v="1"/>
    <n v="2"/>
    <n v="3"/>
    <n v="550"/>
    <m/>
    <n v="3300"/>
    <m/>
    <m/>
    <d v="2024-08-12T00:00:00"/>
    <d v="2024-08-26T00:00:00"/>
    <d v="2024-08-27T00:00:00"/>
    <d v="2024-09-10T00:00:00"/>
    <d v="2024-09-11T00:00:00"/>
    <d v="2024-09-25T00:00:00"/>
    <d v="2024-07-19T00:00:00"/>
    <d v="2024-08-02T00:00:00"/>
    <x v="0"/>
    <x v="86"/>
    <n v="0.5"/>
    <n v="14"/>
    <s v="Célula Operaciones"/>
    <m/>
    <m/>
    <m/>
  </r>
  <r>
    <s v="2024"/>
    <x v="7"/>
    <m/>
    <x v="162"/>
    <m/>
    <s v="Ver Anexo A2"/>
    <m/>
    <x v="0"/>
    <s v="Celula Operaciones Maxpoint 2024"/>
    <s v="OPER"/>
    <x v="0"/>
    <s v="Sandra Paillacho"/>
    <x v="0"/>
    <x v="0"/>
    <x v="0"/>
    <n v="4"/>
    <s v="Q3"/>
    <m/>
    <s v="BAJA"/>
    <n v="1"/>
    <n v="2"/>
    <n v="2"/>
    <n v="550"/>
    <m/>
    <n v="2200"/>
    <m/>
    <m/>
    <d v="2024-08-05T00:00:00"/>
    <d v="2024-09-09T00:00:00"/>
    <d v="2024-09-10T00:00:00"/>
    <d v="2024-09-24T00:00:00"/>
    <d v="2024-09-25T00:00:00"/>
    <d v="2024-10-09T00:00:00"/>
    <d v="2024-07-26T00:00:00"/>
    <d v="2024-08-09T00:00:00"/>
    <x v="56"/>
    <x v="87"/>
    <n v="0.5"/>
    <n v="14"/>
    <s v="Célula Operaciones"/>
    <m/>
    <m/>
    <m/>
  </r>
  <r>
    <s v="2024"/>
    <x v="7"/>
    <m/>
    <x v="163"/>
    <m/>
    <s v="Ver Anexo A2"/>
    <m/>
    <x v="0"/>
    <s v="Celula Operaciones Maxpoint 2024"/>
    <s v="OPER"/>
    <x v="0"/>
    <s v="Sandra Paillacho"/>
    <x v="0"/>
    <x v="0"/>
    <x v="0"/>
    <n v="4"/>
    <s v="Q2"/>
    <m/>
    <s v="ALTA"/>
    <n v="1"/>
    <n v="2"/>
    <n v="5"/>
    <n v="550"/>
    <m/>
    <n v="5500"/>
    <m/>
    <m/>
    <d v="2024-04-01T00:00:00"/>
    <d v="2024-05-06T00:00:00"/>
    <d v="2024-05-07T00:00:00"/>
    <d v="2024-05-21T00:00:00"/>
    <d v="2024-05-22T00:00:00"/>
    <d v="2024-06-05T00:00:00"/>
    <d v="2024-08-23T00:00:00"/>
    <d v="2024-09-06T00:00:00"/>
    <x v="11"/>
    <x v="88"/>
    <n v="0.5"/>
    <n v="14"/>
    <s v="Célula Operaciones"/>
    <m/>
    <m/>
    <m/>
  </r>
  <r>
    <s v="2024"/>
    <x v="2"/>
    <s v="Kioscos"/>
    <x v="87"/>
    <s v="MXP LEGACY_x000a_TRADE"/>
    <s v="Migracion del canal de kioscos a V3 para poder contar las funcionalidades de cupones, descuentos y propinas"/>
    <s v="ALTA"/>
    <x v="3"/>
    <s v="Proyectos TD 2024"/>
    <s v="CAR"/>
    <x v="3"/>
    <s v="Daniel Barreno"/>
    <x v="4"/>
    <x v="1"/>
    <x v="0"/>
    <e v="#N/A"/>
    <s v="Q2"/>
    <s v="p20"/>
    <s v="ALTA"/>
    <n v="1"/>
    <n v="4"/>
    <n v="1"/>
    <n v="550"/>
    <m/>
    <n v="2840"/>
    <m/>
    <m/>
    <d v="2024-04-29T00:00:00"/>
    <d v="2024-05-13T00:00:00"/>
    <n v="14"/>
    <d v="2024-05-13T00:00:00"/>
    <d v="2024-05-20T00:00:00"/>
    <n v="363407"/>
    <d v="2024-05-20T00:00:00"/>
    <d v="2024-05-27T00:00:00"/>
    <x v="15"/>
    <x v="18"/>
    <n v="1"/>
    <n v="7"/>
    <s v="PROYECTO REGIONAL"/>
    <m/>
    <s v="x"/>
    <m/>
  </r>
  <r>
    <s v="2024"/>
    <x v="2"/>
    <s v="Kioscos"/>
    <x v="87"/>
    <s v="MXP LEGACY_x000a_TRADE"/>
    <s v="Migracion del canal de kioscos a V3 para poder contar las funcionalidades de cupones, descuentos y propinas"/>
    <s v="ALTA"/>
    <x v="3"/>
    <s v="Proyectos TD 2024"/>
    <s v="CAR"/>
    <x v="2"/>
    <s v="Daniel Barreno"/>
    <x v="4"/>
    <x v="1"/>
    <x v="0"/>
    <e v="#N/A"/>
    <s v="Q2"/>
    <s v="p20"/>
    <s v="ALTA"/>
    <n v="1"/>
    <n v="4"/>
    <n v="1"/>
    <n v="550"/>
    <m/>
    <n v="2840"/>
    <m/>
    <m/>
    <d v="2024-04-29T00:00:00"/>
    <d v="2024-05-13T00:00:00"/>
    <n v="14"/>
    <d v="2024-05-13T00:00:00"/>
    <d v="2024-05-20T00:00:00"/>
    <n v="363407"/>
    <d v="2024-05-20T00:00:00"/>
    <d v="2024-05-27T00:00:00"/>
    <x v="19"/>
    <x v="89"/>
    <n v="1"/>
    <n v="7"/>
    <s v="PROYECTO REGIONAL"/>
    <m/>
    <s v="x"/>
    <m/>
  </r>
  <r>
    <s v="2024"/>
    <x v="7"/>
    <m/>
    <x v="164"/>
    <m/>
    <s v="Ver Anexo A2"/>
    <m/>
    <x v="0"/>
    <s v="Celula Operaciones Maxpoint 2024"/>
    <s v="OPER"/>
    <x v="0"/>
    <s v="Sandra Paillacho"/>
    <x v="0"/>
    <x v="0"/>
    <x v="0"/>
    <s v="3T 24"/>
    <s v="Q2"/>
    <m/>
    <s v="BAJA"/>
    <n v="1"/>
    <n v="0"/>
    <n v="0"/>
    <n v="550"/>
    <m/>
    <n v="0"/>
    <m/>
    <m/>
    <d v="2024-05-02T00:00:00"/>
    <d v="2024-05-23T00:00:00"/>
    <d v="2024-05-24T00:00:00"/>
    <d v="2024-06-07T00:00:00"/>
    <d v="2024-06-08T00:00:00"/>
    <d v="2024-06-22T00:00:00"/>
    <d v="2024-09-15T00:00:00"/>
    <d v="2024-09-29T00:00:00"/>
    <x v="52"/>
    <x v="90"/>
    <n v="0"/>
    <n v="14"/>
    <s v="Célula Operaciones"/>
    <m/>
    <m/>
    <m/>
  </r>
  <r>
    <s v="2024"/>
    <x v="2"/>
    <s v="Kioscos"/>
    <x v="87"/>
    <s v="MXP LEGACY_x000a_TRADE"/>
    <s v="Migracion del canal de kioscos a V3 para poder contar las funcionalidades de cupones, descuentos y propinas"/>
    <s v="ALTA"/>
    <x v="3"/>
    <s v="Proyectos TD 2024"/>
    <s v="CAR"/>
    <x v="1"/>
    <s v="Daniel Barreno"/>
    <x v="4"/>
    <x v="1"/>
    <x v="0"/>
    <e v="#N/A"/>
    <s v="Q2"/>
    <s v="p20"/>
    <s v="ALTA"/>
    <n v="1"/>
    <n v="4"/>
    <n v="1"/>
    <n v="550"/>
    <m/>
    <n v="2840"/>
    <m/>
    <m/>
    <d v="2024-04-29T00:00:00"/>
    <d v="2024-05-13T00:00:00"/>
    <n v="14"/>
    <d v="2024-05-13T00:00:00"/>
    <d v="2024-05-20T00:00:00"/>
    <n v="363407"/>
    <d v="2024-05-20T00:00:00"/>
    <d v="2024-05-27T00:00:00"/>
    <x v="19"/>
    <x v="89"/>
    <n v="1"/>
    <n v="7"/>
    <s v="PROYECTO REGIONAL"/>
    <m/>
    <s v="x"/>
    <m/>
  </r>
  <r>
    <s v="2024"/>
    <x v="2"/>
    <s v="Kioscos"/>
    <x v="165"/>
    <s v="MXP LEGACY_x000a_TRADE"/>
    <s v="Complemento de kioskos para poder cobrar en efectivo desde el kiosko"/>
    <s v="BAJA"/>
    <x v="0"/>
    <s v="Proyectos TD 2024"/>
    <s v="CAR"/>
    <x v="0"/>
    <s v="Luis Salazar"/>
    <x v="4"/>
    <x v="1"/>
    <x v="0"/>
    <s v="Q4"/>
    <s v="Q4"/>
    <s v="p76"/>
    <s v="ALTA"/>
    <m/>
    <n v="10"/>
    <n v="2"/>
    <n v="550"/>
    <m/>
    <n v="11640"/>
    <m/>
    <m/>
    <d v="2024-10-07T00:00:00"/>
    <d v="2024-11-11T00:00:00"/>
    <n v="35"/>
    <d v="2024-11-11T00:00:00"/>
    <d v="2024-11-25T00:00:00"/>
    <n v="364870"/>
    <d v="2024-11-25T00:00:00"/>
    <d v="2024-12-02T00:00:00"/>
    <x v="14"/>
    <x v="11"/>
    <n v="2.5"/>
    <n v="7"/>
    <m/>
    <m/>
    <s v="x"/>
    <m/>
  </r>
  <r>
    <s v="2024"/>
    <x v="2"/>
    <s v="Kioscos"/>
    <x v="166"/>
    <s v="MXP LEGACY_x000a_TRADE"/>
    <s v="Implementación de kioskos en todas las tiendas KFC "/>
    <s v="MEDIA"/>
    <x v="3"/>
    <s v="Funcionalidades Regionales"/>
    <s v="DSI"/>
    <x v="1"/>
    <s v="Adrian Gadja"/>
    <x v="1"/>
    <x v="1"/>
    <x v="1"/>
    <s v="Q1"/>
    <s v="Q2"/>
    <s v="p32"/>
    <s v="MEDIA"/>
    <n v="1"/>
    <n v="8"/>
    <n v="1"/>
    <n v="550"/>
    <m/>
    <n v="5040"/>
    <m/>
    <m/>
    <d v="2024-03-18T00:00:00"/>
    <d v="2024-04-15T00:00:00"/>
    <n v="28"/>
    <d v="2024-04-15T00:00:00"/>
    <d v="2024-04-29T00:00:00"/>
    <n v="363190"/>
    <d v="2024-04-29T00:00:00"/>
    <d v="2024-05-13T00:00:00"/>
    <x v="15"/>
    <x v="74"/>
    <n v="2"/>
    <n v="14"/>
    <s v="PROYECTO REGIONAL"/>
    <m/>
    <s v="x"/>
    <m/>
  </r>
  <r>
    <s v="2024"/>
    <x v="2"/>
    <s v="Kioscos"/>
    <x v="166"/>
    <s v="MXP LEGACY_x000a_TRADE"/>
    <s v="Implementación de kioskos en todas las tiendas Wendys"/>
    <s v="MEDIA"/>
    <x v="3"/>
    <s v="Funcionalidades Regionales"/>
    <s v="DSI"/>
    <x v="1"/>
    <s v="Adrian Gadja"/>
    <x v="1"/>
    <x v="1"/>
    <x v="0"/>
    <m/>
    <s v="Q2"/>
    <s v="p35"/>
    <s v="MEDIA"/>
    <n v="1"/>
    <n v="8"/>
    <n v="2"/>
    <n v="550"/>
    <m/>
    <n v="9440"/>
    <m/>
    <m/>
    <d v="2024-03-18T00:00:00"/>
    <d v="2024-04-15T00:00:00"/>
    <n v="28"/>
    <d v="2024-04-15T00:00:00"/>
    <d v="2024-04-29T00:00:00"/>
    <n v="363190"/>
    <d v="2024-04-29T00:00:00"/>
    <d v="2024-05-13T00:00:00"/>
    <x v="15"/>
    <x v="74"/>
    <n v="2"/>
    <n v="14"/>
    <s v="PROYECTO REGIONAL"/>
    <m/>
    <s v="x"/>
    <m/>
  </r>
  <r>
    <s v="2024"/>
    <x v="2"/>
    <s v="Cupones"/>
    <x v="167"/>
    <s v="MXP LEGACY_x000a_TRADE"/>
    <s v="Compromiso Matriz Regional  (Argentina)_x000a_Integrar las pantallas del backoffice de Mxp_x000a_"/>
    <s v="ALTA"/>
    <x v="3"/>
    <s v="Funcionalidades Regionales"/>
    <s v="DSI"/>
    <x v="1"/>
    <s v="Mychael Castro - José Fernandez"/>
    <x v="1"/>
    <x v="1"/>
    <x v="0"/>
    <s v="Q1"/>
    <s v="Q1"/>
    <s v="p33"/>
    <s v="MEDIA"/>
    <n v="1"/>
    <n v="8"/>
    <n v="1"/>
    <n v="550"/>
    <m/>
    <n v="5040"/>
    <m/>
    <m/>
    <d v="2024-03-04T00:00:00"/>
    <d v="2024-04-01T00:00:00"/>
    <n v="28"/>
    <d v="2024-04-01T00:00:00"/>
    <d v="2024-04-08T00:00:00"/>
    <n v="363071"/>
    <d v="2024-04-08T00:00:00"/>
    <d v="2024-05-31T00:00:00"/>
    <x v="11"/>
    <x v="34"/>
    <n v="2"/>
    <n v="53"/>
    <s v="PROYECTO REGIONAL"/>
    <m/>
    <s v="x"/>
    <m/>
  </r>
  <r>
    <s v="2024"/>
    <x v="5"/>
    <m/>
    <x v="168"/>
    <m/>
    <s v="Desbloqueo Automatico, INTERCOMPANY. Particion de lotes, al calcular gasto fabril da una diferencia de 1 o 2 ctvos. LA MIRO tiene una tolerancia de l5%, contabiliza pero da un bloque automático,LEs toca desbloquear todos los dias y tesoreira no puede ejeuctar los pagos"/>
    <m/>
    <x v="0"/>
    <s v="Optimización Procesos Plantas"/>
    <s v="PLANTA"/>
    <x v="0"/>
    <s v="Diego Díaz "/>
    <x v="10"/>
    <x v="2"/>
    <x v="0"/>
    <s v="Q2"/>
    <s v="Q2"/>
    <m/>
    <s v="MEDIA"/>
    <n v="1"/>
    <n v="2"/>
    <n v="1"/>
    <n v="1100"/>
    <m/>
    <n v="2200"/>
    <m/>
    <m/>
    <m/>
    <m/>
    <n v="0"/>
    <m/>
    <m/>
    <n v="0"/>
    <m/>
    <m/>
    <x v="9"/>
    <x v="1"/>
    <n v="0.5"/>
    <n v="0"/>
    <m/>
    <m/>
    <m/>
    <m/>
  </r>
  <r>
    <s v="2023"/>
    <x v="0"/>
    <m/>
    <x v="169"/>
    <m/>
    <m/>
    <m/>
    <x v="1"/>
    <m/>
    <s v="DSI"/>
    <x v="0"/>
    <m/>
    <x v="1"/>
    <x v="1"/>
    <x v="3"/>
    <m/>
    <s v="Q1"/>
    <m/>
    <s v="BAJA"/>
    <m/>
    <m/>
    <m/>
    <m/>
    <m/>
    <m/>
    <m/>
    <m/>
    <m/>
    <m/>
    <e v="#REF!"/>
    <m/>
    <m/>
    <d v="1899-12-30T00:00:00"/>
    <m/>
    <m/>
    <x v="9"/>
    <x v="1"/>
    <n v="0"/>
    <n v="0"/>
    <m/>
    <m/>
    <m/>
    <m/>
  </r>
  <r>
    <s v="2023"/>
    <x v="0"/>
    <m/>
    <x v="170"/>
    <m/>
    <m/>
    <m/>
    <x v="1"/>
    <m/>
    <s v="DSI"/>
    <x v="0"/>
    <m/>
    <x v="1"/>
    <x v="1"/>
    <x v="3"/>
    <m/>
    <s v="Q1"/>
    <m/>
    <s v="BAJA"/>
    <m/>
    <m/>
    <m/>
    <m/>
    <m/>
    <m/>
    <m/>
    <m/>
    <m/>
    <m/>
    <e v="#REF!"/>
    <m/>
    <m/>
    <d v="1899-12-30T00:00:00"/>
    <m/>
    <m/>
    <x v="9"/>
    <x v="1"/>
    <n v="0"/>
    <n v="0"/>
    <m/>
    <m/>
    <m/>
    <m/>
  </r>
  <r>
    <s v="2024"/>
    <x v="0"/>
    <m/>
    <x v="171"/>
    <s v="MXP 2.0"/>
    <m/>
    <m/>
    <x v="0"/>
    <s v="LOPDP"/>
    <s v="CAR"/>
    <x v="0"/>
    <s v="Alex Ponce"/>
    <x v="20"/>
    <x v="2"/>
    <x v="0"/>
    <m/>
    <s v="Q2"/>
    <m/>
    <s v="BAJA"/>
    <m/>
    <n v="6"/>
    <n v="1"/>
    <n v="550"/>
    <m/>
    <n v="3880"/>
    <m/>
    <m/>
    <d v="2024-04-08T00:00:00"/>
    <d v="2024-05-20T00:00:00"/>
    <e v="#REF!"/>
    <d v="2024-05-21T00:00:00"/>
    <d v="2024-06-04T00:00:00"/>
    <d v="2895-03-01T00:00:00"/>
    <d v="2024-06-05T00:00:00"/>
    <d v="2024-06-19T00:00:00"/>
    <x v="38"/>
    <x v="91"/>
    <n v="1.5"/>
    <n v="14"/>
    <m/>
    <m/>
    <m/>
    <m/>
  </r>
  <r>
    <s v="2024"/>
    <x v="1"/>
    <m/>
    <x v="172"/>
    <m/>
    <m/>
    <m/>
    <x v="1"/>
    <s v="Mantenimiento"/>
    <s v="DSI"/>
    <x v="0"/>
    <m/>
    <x v="1"/>
    <x v="1"/>
    <x v="3"/>
    <m/>
    <s v="Q4"/>
    <m/>
    <m/>
    <m/>
    <n v="40"/>
    <n v="1"/>
    <n v="190"/>
    <m/>
    <n v="8240"/>
    <m/>
    <m/>
    <d v="2024-03-01T00:00:00"/>
    <d v="2024-12-31T00:00:00"/>
    <e v="#REF!"/>
    <m/>
    <m/>
    <d v="1899-12-30T00:00:00"/>
    <m/>
    <m/>
    <x v="39"/>
    <x v="1"/>
    <n v="10"/>
    <n v="0"/>
    <m/>
    <m/>
    <m/>
    <m/>
  </r>
  <r>
    <s v="2024"/>
    <x v="1"/>
    <m/>
    <x v="173"/>
    <m/>
    <m/>
    <m/>
    <x v="0"/>
    <s v="Mantenimiento"/>
    <s v="REGIONAL"/>
    <x v="1"/>
    <s v="Adrian Gadja"/>
    <x v="18"/>
    <x v="1"/>
    <x v="1"/>
    <m/>
    <s v="Q4"/>
    <m/>
    <s v="MEDIA"/>
    <m/>
    <n v="36"/>
    <n v="1"/>
    <n v="190"/>
    <m/>
    <n v="7480"/>
    <m/>
    <m/>
    <d v="2024-03-01T00:00:00"/>
    <d v="2025-01-31T00:00:00"/>
    <e v="#REF!"/>
    <d v="2024-03-01T00:00:00"/>
    <d v="2025-01-31T00:00:00"/>
    <d v="2894-04-09T00:00:00"/>
    <m/>
    <d v="2025-01-31T00:00:00"/>
    <x v="39"/>
    <x v="92"/>
    <n v="9"/>
    <n v="45688"/>
    <m/>
    <m/>
    <m/>
    <m/>
  </r>
  <r>
    <s v="2024"/>
    <x v="1"/>
    <m/>
    <x v="174"/>
    <m/>
    <m/>
    <m/>
    <x v="0"/>
    <s v="Mantenimiento"/>
    <s v="REGIONAL"/>
    <x v="4"/>
    <s v="Davis Nuñez"/>
    <x v="13"/>
    <x v="1"/>
    <x v="1"/>
    <m/>
    <s v="Q2"/>
    <m/>
    <s v="MEDIA"/>
    <m/>
    <n v="44"/>
    <n v="1"/>
    <n v="275"/>
    <m/>
    <n v="12740"/>
    <m/>
    <m/>
    <d v="2024-03-01T00:00:00"/>
    <d v="2025-01-31T00:00:00"/>
    <e v="#REF!"/>
    <d v="2024-03-01T00:00:00"/>
    <d v="2025-01-31T00:00:00"/>
    <d v="2894-04-09T00:00:00"/>
    <m/>
    <d v="2025-01-31T00:00:00"/>
    <x v="39"/>
    <x v="92"/>
    <n v="11"/>
    <n v="45688"/>
    <m/>
    <m/>
    <m/>
    <m/>
  </r>
  <r>
    <s v="2024"/>
    <x v="1"/>
    <m/>
    <x v="175"/>
    <m/>
    <m/>
    <m/>
    <x v="0"/>
    <s v="Mantenimiento"/>
    <s v="REGIONAL"/>
    <x v="3"/>
    <s v="William Villegas"/>
    <x v="9"/>
    <x v="1"/>
    <x v="1"/>
    <m/>
    <s v="Q4"/>
    <m/>
    <s v="MEDIA"/>
    <m/>
    <n v="40"/>
    <n v="1"/>
    <n v="475"/>
    <m/>
    <n v="19640"/>
    <m/>
    <m/>
    <d v="2024-03-01T00:00:00"/>
    <d v="2025-01-31T00:00:00"/>
    <e v="#REF!"/>
    <d v="2024-03-01T00:00:00"/>
    <d v="2025-01-31T00:00:00"/>
    <d v="2894-04-09T00:00:00"/>
    <m/>
    <d v="2025-01-31T00:00:00"/>
    <x v="39"/>
    <x v="92"/>
    <n v="10"/>
    <n v="45688"/>
    <m/>
    <m/>
    <m/>
    <m/>
  </r>
  <r>
    <s v="2024"/>
    <x v="1"/>
    <m/>
    <x v="176"/>
    <m/>
    <m/>
    <m/>
    <x v="0"/>
    <s v="Mantenimiento"/>
    <s v="REGIONAL"/>
    <x v="5"/>
    <s v="Jeison Caguana"/>
    <x v="22"/>
    <x v="1"/>
    <x v="1"/>
    <m/>
    <s v="Q4"/>
    <m/>
    <s v="MEDIA"/>
    <m/>
    <n v="40"/>
    <n v="1"/>
    <n v="375"/>
    <m/>
    <n v="15640"/>
    <m/>
    <m/>
    <d v="2024-03-01T00:00:00"/>
    <d v="2025-01-31T00:00:00"/>
    <e v="#REF!"/>
    <d v="2024-03-01T00:00:00"/>
    <d v="2025-01-31T00:00:00"/>
    <d v="2894-04-09T00:00:00"/>
    <m/>
    <d v="2025-01-31T00:00:00"/>
    <x v="39"/>
    <x v="92"/>
    <n v="10"/>
    <n v="45688"/>
    <m/>
    <m/>
    <m/>
    <m/>
  </r>
  <r>
    <s v="2024"/>
    <x v="0"/>
    <m/>
    <x v="177"/>
    <m/>
    <s v="Ver Anexo A3"/>
    <m/>
    <x v="1"/>
    <s v="Mantenimiento"/>
    <s v="DSI"/>
    <x v="0"/>
    <s v="José Fernández"/>
    <x v="1"/>
    <x v="1"/>
    <x v="0"/>
    <m/>
    <s v="Q2"/>
    <m/>
    <s v="ALTA"/>
    <n v="1"/>
    <n v="20"/>
    <n v="8"/>
    <n v="550"/>
    <m/>
    <n v="88580"/>
    <m/>
    <m/>
    <d v="2024-06-15T00:00:00"/>
    <d v="2024-07-06T00:00:00"/>
    <d v="2024-07-07T00:00:00"/>
    <d v="2024-07-21T00:00:00"/>
    <d v="2024-07-22T00:00:00"/>
    <d v="2024-08-05T00:00:00"/>
    <d v="2024-03-10T00:00:00"/>
    <d v="2024-12-31T00:00:00"/>
    <x v="61"/>
    <x v="93"/>
    <n v="5"/>
    <n v="296"/>
    <s v="Identificado Grupo de Soporte"/>
    <m/>
    <m/>
    <m/>
  </r>
  <r>
    <s v="2024"/>
    <x v="0"/>
    <m/>
    <x v="178"/>
    <m/>
    <s v="Correcciones y mejoras en MaxPoint"/>
    <m/>
    <x v="0"/>
    <s v="Mantenimiento"/>
    <s v="DSI"/>
    <x v="2"/>
    <s v="Jhustin Vergara"/>
    <x v="6"/>
    <x v="1"/>
    <x v="1"/>
    <m/>
    <s v="Q1"/>
    <m/>
    <s v="ALTA"/>
    <n v="1"/>
    <n v="8"/>
    <n v="3"/>
    <n v="550"/>
    <m/>
    <n v="13200"/>
    <m/>
    <m/>
    <d v="2024-01-01T00:00:00"/>
    <d v="2024-03-14T00:00:00"/>
    <e v="#REF!"/>
    <d v="2024-03-18T00:00:00"/>
    <d v="2024-03-22T00:00:00"/>
    <d v="2893-09-25T00:00:00"/>
    <d v="2024-03-25T00:00:00"/>
    <d v="2024-03-27T00:00:00"/>
    <x v="43"/>
    <x v="94"/>
    <n v="2"/>
    <n v="2"/>
    <m/>
    <m/>
    <m/>
    <m/>
  </r>
  <r>
    <s v="2024"/>
    <x v="0"/>
    <m/>
    <x v="178"/>
    <m/>
    <s v="Mejoras y corrección bugs"/>
    <m/>
    <x v="0"/>
    <s v="Mantenimiento"/>
    <s v="DSI"/>
    <x v="1"/>
    <s v="Adrian Gadja"/>
    <x v="18"/>
    <x v="1"/>
    <x v="1"/>
    <m/>
    <s v="Q1"/>
    <m/>
    <s v="MEDIA"/>
    <n v="1"/>
    <n v="8"/>
    <n v="3"/>
    <n v="550"/>
    <m/>
    <n v="13200"/>
    <m/>
    <m/>
    <d v="2024-01-01T00:00:00"/>
    <d v="2024-04-12T00:00:00"/>
    <e v="#REF!"/>
    <d v="2024-04-15T00:00:00"/>
    <d v="2024-04-19T00:00:00"/>
    <d v="2894-05-07T00:00:00"/>
    <d v="2024-04-22T00:00:00"/>
    <d v="2024-04-26T00:00:00"/>
    <x v="43"/>
    <x v="32"/>
    <n v="2"/>
    <n v="4"/>
    <m/>
    <m/>
    <m/>
    <m/>
  </r>
  <r>
    <s v="2024"/>
    <x v="7"/>
    <m/>
    <x v="179"/>
    <m/>
    <s v="Ver Anexo A4"/>
    <m/>
    <x v="0"/>
    <s v="Restructura de manejo de Plu´s y MasterPlu"/>
    <s v="OPER"/>
    <x v="0"/>
    <s v="Sandra Pailacho"/>
    <x v="0"/>
    <x v="2"/>
    <x v="0"/>
    <n v="22"/>
    <m/>
    <m/>
    <m/>
    <m/>
    <m/>
    <m/>
    <n v="550"/>
    <m/>
    <m/>
    <m/>
    <m/>
    <m/>
    <m/>
    <e v="#REF!"/>
    <m/>
    <m/>
    <d v="1899-12-30T00:00:00"/>
    <m/>
    <m/>
    <x v="9"/>
    <x v="1"/>
    <n v="0"/>
    <n v="0"/>
    <s v="Jaime va a evaluar el proceso (MAXPOINT)_x000a_No se tiene contexto del requerimiento, evaluar si se lo realiza en nuevo maxpoint"/>
    <m/>
    <m/>
    <m/>
  </r>
  <r>
    <s v="2024"/>
    <x v="0"/>
    <m/>
    <x v="178"/>
    <m/>
    <s v="Mantenimiento y remediaciones en MaxPoint"/>
    <m/>
    <x v="0"/>
    <s v="Mantenimiento"/>
    <s v="DSI"/>
    <x v="3"/>
    <s v="William Villegas"/>
    <x v="9"/>
    <x v="1"/>
    <x v="1"/>
    <m/>
    <s v="Q1"/>
    <m/>
    <s v="ALTA"/>
    <n v="1"/>
    <n v="8"/>
    <n v="3"/>
    <n v="625"/>
    <m/>
    <n v="15000"/>
    <m/>
    <m/>
    <d v="2024-01-01T00:00:00"/>
    <d v="2024-02-15T00:00:00"/>
    <e v="#REF!"/>
    <d v="2024-02-04T00:00:00"/>
    <d v="2024-02-09T00:00:00"/>
    <d v="2892-10-17T00:00:00"/>
    <d v="2024-02-11T00:00:00"/>
    <d v="2024-02-15T00:00:00"/>
    <x v="43"/>
    <x v="45"/>
    <n v="2"/>
    <n v="4"/>
    <m/>
    <m/>
    <m/>
    <m/>
  </r>
  <r>
    <s v="2024"/>
    <x v="1"/>
    <m/>
    <x v="180"/>
    <m/>
    <m/>
    <m/>
    <x v="0"/>
    <s v="Mantenimiento"/>
    <s v="REGIONAL"/>
    <x v="2"/>
    <s v="Jhustin Vergara"/>
    <x v="6"/>
    <x v="1"/>
    <x v="1"/>
    <m/>
    <s v="Q4"/>
    <m/>
    <s v="MEDIA"/>
    <m/>
    <n v="40"/>
    <n v="1"/>
    <n v="450"/>
    <m/>
    <n v="18640"/>
    <m/>
    <m/>
    <d v="2024-03-01T00:00:00"/>
    <d v="2025-01-31T00:00:00"/>
    <e v="#REF!"/>
    <d v="2024-03-01T00:00:00"/>
    <d v="2025-01-31T00:00:00"/>
    <d v="2894-04-09T00:00:00"/>
    <m/>
    <d v="2025-01-31T00:00:00"/>
    <x v="39"/>
    <x v="92"/>
    <n v="10"/>
    <n v="45688"/>
    <m/>
    <m/>
    <m/>
    <m/>
  </r>
  <r>
    <s v="2024"/>
    <x v="0"/>
    <m/>
    <x v="181"/>
    <m/>
    <s v="Base central de clientes para el uso en canales de MaxPoint y Kioskos."/>
    <m/>
    <x v="0"/>
    <s v="Funcionalidades Regionales"/>
    <s v="REGIONAL"/>
    <x v="2"/>
    <s v="Jhustin Vergara"/>
    <x v="6"/>
    <x v="1"/>
    <x v="0"/>
    <m/>
    <s v="Q2"/>
    <s v="Validar con BigData para la integración de la master data de clientes."/>
    <s v="MEDIA"/>
    <n v="1"/>
    <n v="6"/>
    <n v="1"/>
    <n v="550"/>
    <m/>
    <n v="3300"/>
    <m/>
    <m/>
    <d v="2024-04-01T00:00:00"/>
    <d v="2024-04-26T00:00:00"/>
    <e v="#REF!"/>
    <d v="2024-04-29T00:00:00"/>
    <d v="2024-05-03T00:00:00"/>
    <d v="2894-08-27T00:00:00"/>
    <d v="2024-05-06T00:00:00"/>
    <d v="2024-05-08T00:00:00"/>
    <x v="11"/>
    <x v="62"/>
    <n v="1.5"/>
    <n v="2"/>
    <m/>
    <m/>
    <m/>
    <m/>
  </r>
  <r>
    <s v="2024"/>
    <x v="0"/>
    <m/>
    <x v="182"/>
    <m/>
    <s v="Terminar implementación y corrección de bug"/>
    <m/>
    <x v="0"/>
    <s v="Mantenimiento"/>
    <s v="DSI"/>
    <x v="4"/>
    <s v="Davis Nuñez"/>
    <x v="13"/>
    <x v="1"/>
    <x v="1"/>
    <m/>
    <s v="Q1"/>
    <s v="Dependencia estabilización en KFC"/>
    <s v="ALTA"/>
    <n v="1"/>
    <n v="1"/>
    <n v="2"/>
    <n v="625"/>
    <m/>
    <n v="1250"/>
    <m/>
    <m/>
    <d v="2024-03-04T00:00:00"/>
    <d v="2024-03-08T00:00:00"/>
    <e v="#REF!"/>
    <d v="2024-03-11T00:00:00"/>
    <d v="2024-03-15T00:00:00"/>
    <d v="2893-07-31T00:00:00"/>
    <d v="2024-03-18T00:00:00"/>
    <d v="2024-03-22T00:00:00"/>
    <x v="21"/>
    <x v="95"/>
    <n v="0.25"/>
    <n v="4"/>
    <m/>
    <m/>
    <m/>
    <m/>
  </r>
  <r>
    <s v="2024"/>
    <x v="7"/>
    <m/>
    <x v="183"/>
    <m/>
    <s v="Desarrollo PMV "/>
    <m/>
    <x v="0"/>
    <m/>
    <s v="OPER"/>
    <x v="0"/>
    <s v="Juan Estevez"/>
    <x v="0"/>
    <x v="0"/>
    <x v="1"/>
    <m/>
    <m/>
    <m/>
    <m/>
    <m/>
    <m/>
    <m/>
    <m/>
    <m/>
    <n v="640"/>
    <m/>
    <m/>
    <m/>
    <m/>
    <e v="#REF!"/>
    <m/>
    <m/>
    <d v="1899-12-30T00:00:00"/>
    <m/>
    <m/>
    <x v="9"/>
    <x v="1"/>
    <n v="0"/>
    <n v="0"/>
    <m/>
    <m/>
    <m/>
    <m/>
  </r>
  <r>
    <s v="2024"/>
    <x v="0"/>
    <m/>
    <x v="184"/>
    <m/>
    <s v="Terminar implementación y corrección de bug"/>
    <m/>
    <x v="0"/>
    <s v="Funcionalidades Locales"/>
    <s v="REGIONAL"/>
    <x v="4"/>
    <s v="Davis Nuñez"/>
    <x v="13"/>
    <x v="1"/>
    <x v="1"/>
    <m/>
    <s v="Q1"/>
    <s v="Dependencia estabilización en KFC"/>
    <s v="ALTA"/>
    <n v="1"/>
    <n v="1"/>
    <n v="2"/>
    <n v="625"/>
    <m/>
    <n v="1250"/>
    <m/>
    <m/>
    <d v="2024-03-18T00:00:00"/>
    <d v="2024-03-22T00:00:00"/>
    <e v="#REF!"/>
    <d v="2024-03-25T00:00:00"/>
    <d v="2024-03-29T00:00:00"/>
    <d v="2893-11-20T00:00:00"/>
    <d v="2024-04-01T00:00:00"/>
    <d v="2024-04-05T00:00:00"/>
    <x v="60"/>
    <x v="20"/>
    <n v="0.25"/>
    <n v="4"/>
    <m/>
    <m/>
    <m/>
    <m/>
  </r>
  <r>
    <s v="2023"/>
    <x v="1"/>
    <m/>
    <x v="185"/>
    <m/>
    <s v="Ver Anexo A4"/>
    <m/>
    <x v="0"/>
    <s v="Otros - Presupuesto 2023"/>
    <s v="OPER"/>
    <x v="0"/>
    <s v="Byron Realpe"/>
    <x v="0"/>
    <x v="1"/>
    <x v="1"/>
    <m/>
    <s v="Q1"/>
    <m/>
    <s v="BAJA"/>
    <m/>
    <m/>
    <m/>
    <m/>
    <m/>
    <m/>
    <m/>
    <m/>
    <m/>
    <m/>
    <e v="#REF!"/>
    <m/>
    <m/>
    <d v="1899-12-30T00:00:00"/>
    <m/>
    <m/>
    <x v="9"/>
    <x v="1"/>
    <n v="0"/>
    <n v="0"/>
    <s v="Proyecto 2023"/>
    <m/>
    <m/>
    <m/>
  </r>
  <r>
    <s v="2024"/>
    <x v="1"/>
    <m/>
    <x v="186"/>
    <s v="Alcance presupuesto anterior mejoras contabilidad- pedido equipo ERP"/>
    <m/>
    <m/>
    <x v="1"/>
    <s v="Mantenimiento"/>
    <s v="DSI"/>
    <x v="0"/>
    <s v="Juan Alejandro"/>
    <x v="1"/>
    <x v="2"/>
    <x v="1"/>
    <m/>
    <s v="Q1"/>
    <m/>
    <s v="BAJA"/>
    <m/>
    <n v="2"/>
    <n v="2"/>
    <n v="400"/>
    <m/>
    <n v="2240"/>
    <m/>
    <m/>
    <d v="2024-03-18T00:00:00"/>
    <d v="2024-03-29T00:00:00"/>
    <e v="#REF!"/>
    <d v="2024-04-01T00:00:00"/>
    <d v="2024-04-12T00:00:00"/>
    <d v="2894-01-22T00:00:00"/>
    <m/>
    <m/>
    <x v="60"/>
    <x v="1"/>
    <n v="0.5"/>
    <n v="0"/>
    <m/>
    <m/>
    <m/>
    <m/>
  </r>
  <r>
    <s v="2024"/>
    <x v="1"/>
    <m/>
    <x v="187"/>
    <m/>
    <s v="Nuevo Requerimiento"/>
    <m/>
    <x v="0"/>
    <s v="Mantenimiento"/>
    <s v="REGIONAL"/>
    <x v="4"/>
    <s v="Davis Nuñez"/>
    <x v="13"/>
    <x v="1"/>
    <x v="0"/>
    <m/>
    <s v="Q3"/>
    <m/>
    <s v="MEDIA"/>
    <m/>
    <n v="2"/>
    <n v="2"/>
    <n v="400"/>
    <m/>
    <m/>
    <m/>
    <m/>
    <d v="2024-06-17T00:00:00"/>
    <d v="2024-06-28T00:00:00"/>
    <e v="#REF!"/>
    <d v="2024-07-02T00:00:00"/>
    <d v="2024-07-09T00:00:00"/>
    <d v="2896-01-24T00:00:00"/>
    <m/>
    <d v="2024-07-09T00:00:00"/>
    <x v="10"/>
    <x v="96"/>
    <n v="0.5"/>
    <n v="45482"/>
    <m/>
    <m/>
    <m/>
    <m/>
  </r>
  <r>
    <s v="2024"/>
    <x v="1"/>
    <m/>
    <x v="188"/>
    <m/>
    <s v="Activación Modulo Aceite quemado"/>
    <m/>
    <x v="3"/>
    <s v="Mantenimiento"/>
    <s v="REGIONAL"/>
    <x v="3"/>
    <s v="William Villegas"/>
    <x v="9"/>
    <x v="1"/>
    <x v="2"/>
    <n v="1"/>
    <s v="Q1"/>
    <m/>
    <s v="BAJA"/>
    <m/>
    <n v="1"/>
    <n v="1"/>
    <m/>
    <m/>
    <m/>
    <m/>
    <m/>
    <d v="2024-04-01T00:00:00"/>
    <m/>
    <e v="#REF!"/>
    <m/>
    <m/>
    <d v="1899-12-30T00:00:00"/>
    <m/>
    <d v="2024-04-11T00:00:00"/>
    <x v="11"/>
    <x v="97"/>
    <n v="0.25"/>
    <n v="45393"/>
    <m/>
    <m/>
    <m/>
    <m/>
  </r>
  <r>
    <s v="2024"/>
    <x v="1"/>
    <m/>
    <x v="189"/>
    <m/>
    <m/>
    <m/>
    <x v="4"/>
    <s v="Mantenimiento"/>
    <s v="REGIONAL"/>
    <x v="3"/>
    <s v="William Villegas"/>
    <x v="9"/>
    <x v="1"/>
    <x v="1"/>
    <m/>
    <s v="Q2"/>
    <m/>
    <s v="BAJA"/>
    <m/>
    <m/>
    <m/>
    <m/>
    <m/>
    <m/>
    <m/>
    <m/>
    <d v="2024-03-11T00:00:00"/>
    <m/>
    <e v="#REF!"/>
    <m/>
    <d v="2024-03-22T00:00:00"/>
    <d v="2024-03-22T00:00:00"/>
    <m/>
    <d v="2024-03-22T00:00:00"/>
    <x v="31"/>
    <x v="95"/>
    <n v="0"/>
    <n v="45373"/>
    <m/>
    <m/>
    <m/>
    <m/>
  </r>
  <r>
    <s v="2024"/>
    <x v="1"/>
    <m/>
    <x v="190"/>
    <m/>
    <m/>
    <m/>
    <x v="0"/>
    <m/>
    <s v="REGIONAL"/>
    <x v="3"/>
    <s v="William Villegas"/>
    <x v="24"/>
    <x v="3"/>
    <x v="2"/>
    <m/>
    <m/>
    <m/>
    <m/>
    <m/>
    <m/>
    <m/>
    <m/>
    <m/>
    <n v="640"/>
    <m/>
    <m/>
    <m/>
    <m/>
    <e v="#REF!"/>
    <m/>
    <m/>
    <d v="1899-12-30T00:00:00"/>
    <m/>
    <d v="2024-04-08T00:00:00"/>
    <x v="29"/>
    <x v="31"/>
    <d v="1899-12-30T00:00:00"/>
    <n v="45390"/>
    <m/>
    <m/>
    <m/>
    <m/>
  </r>
  <r>
    <s v="2024"/>
    <x v="1"/>
    <m/>
    <x v="191"/>
    <m/>
    <m/>
    <m/>
    <x v="0"/>
    <m/>
    <s v="REGIONAL"/>
    <x v="3"/>
    <s v="William Villegas"/>
    <x v="24"/>
    <x v="3"/>
    <x v="1"/>
    <m/>
    <m/>
    <m/>
    <m/>
    <m/>
    <m/>
    <m/>
    <m/>
    <m/>
    <n v="640"/>
    <m/>
    <m/>
    <m/>
    <m/>
    <e v="#REF!"/>
    <m/>
    <m/>
    <d v="1899-12-30T00:00:00"/>
    <m/>
    <m/>
    <x v="29"/>
    <x v="31"/>
    <d v="1899-12-30T00:00:00"/>
    <n v="0"/>
    <m/>
    <m/>
    <m/>
    <m/>
  </r>
  <r>
    <s v="2024"/>
    <x v="1"/>
    <m/>
    <x v="192"/>
    <m/>
    <s v="Bloqueo del proveedor Inversiones INT para el ingreso de compras"/>
    <m/>
    <x v="0"/>
    <s v="Mantenimiento"/>
    <s v="REGIONAL"/>
    <x v="3"/>
    <s v="William Villegas"/>
    <x v="9"/>
    <x v="1"/>
    <x v="0"/>
    <m/>
    <s v="Q1"/>
    <m/>
    <s v="BAJA"/>
    <m/>
    <m/>
    <m/>
    <m/>
    <m/>
    <m/>
    <m/>
    <m/>
    <d v="2024-05-01T00:00:00"/>
    <m/>
    <e v="#REF!"/>
    <m/>
    <m/>
    <d v="1899-12-30T00:00:00"/>
    <m/>
    <m/>
    <x v="29"/>
    <x v="31"/>
    <n v="0"/>
    <n v="0"/>
    <m/>
    <m/>
    <m/>
    <m/>
  </r>
  <r>
    <s v="2024"/>
    <x v="0"/>
    <m/>
    <x v="193"/>
    <m/>
    <s v="Ver Anexo A2_x000a_Eliminar la pantallla de Datos de Delivery CONFIGURACION"/>
    <m/>
    <x v="0"/>
    <s v="Celula Operaciones Maxpoint 2024"/>
    <s v="OPER"/>
    <x v="0"/>
    <s v="Sandra Paillacho"/>
    <x v="0"/>
    <x v="2"/>
    <x v="0"/>
    <n v="3"/>
    <s v="Q2"/>
    <m/>
    <s v="BAJA"/>
    <n v="1"/>
    <n v="4"/>
    <n v="1"/>
    <n v="550"/>
    <m/>
    <n v="2780"/>
    <m/>
    <m/>
    <d v="2024-06-03T00:00:00"/>
    <d v="2024-06-24T00:00:00"/>
    <d v="2024-06-25T00:00:00"/>
    <d v="2024-07-09T00:00:00"/>
    <d v="2024-07-10T00:00:00"/>
    <d v="2024-07-24T00:00:00"/>
    <d v="2024-06-15T00:00:00"/>
    <d v="2024-06-29T00:00:00"/>
    <x v="51"/>
    <x v="30"/>
    <n v="1"/>
    <n v="14"/>
    <s v="Célula Operaciones"/>
    <m/>
    <m/>
    <m/>
  </r>
  <r>
    <s v="2024"/>
    <x v="0"/>
    <m/>
    <x v="194"/>
    <s v="MXP 2.0"/>
    <s v="Mejora de UX del Turnero para estandarización regional_x000a_Mejoras en turnero_x000a_Uso en modo vertical_x000a_Turnero en pantalla completa._x000a__x000a__x000a_"/>
    <m/>
    <x v="0"/>
    <s v="Celula Operaciones Maxpoint 2024"/>
    <s v="OPER"/>
    <x v="0"/>
    <s v="Francisco López"/>
    <x v="0"/>
    <x v="2"/>
    <x v="0"/>
    <m/>
    <s v="Q2"/>
    <m/>
    <s v="MEDIA"/>
    <m/>
    <n v="6"/>
    <n v="1"/>
    <n v="550"/>
    <m/>
    <n v="3880"/>
    <m/>
    <m/>
    <d v="2024-06-03T00:00:00"/>
    <d v="2024-07-15T00:00:00"/>
    <e v="#REF!"/>
    <d v="2024-07-16T00:00:00"/>
    <d v="2024-07-30T00:00:00"/>
    <m/>
    <d v="2024-07-31T00:00:00"/>
    <d v="2024-08-14T00:00:00"/>
    <x v="51"/>
    <x v="98"/>
    <n v="1.5"/>
    <n v="14"/>
    <m/>
    <m/>
    <m/>
    <m/>
  </r>
  <r>
    <s v="2024"/>
    <x v="0"/>
    <m/>
    <x v="195"/>
    <s v="MXP 2.0"/>
    <s v="Ver Anexo A2"/>
    <m/>
    <x v="0"/>
    <s v="Celula Operaciones Maxpoint 2024"/>
    <s v="OPER"/>
    <x v="0"/>
    <s v="Sandra Paillacho"/>
    <x v="0"/>
    <x v="2"/>
    <x v="0"/>
    <n v="4"/>
    <s v="Q3"/>
    <m/>
    <s v="BAJA"/>
    <n v="1"/>
    <n v="3"/>
    <n v="2"/>
    <n v="550"/>
    <m/>
    <n v="3880"/>
    <m/>
    <m/>
    <d v="2024-09-11T00:00:00"/>
    <d v="2024-10-02T00:00:00"/>
    <d v="2024-10-03T00:00:00"/>
    <d v="2024-10-17T00:00:00"/>
    <d v="2024-10-18T00:00:00"/>
    <d v="2024-11-01T00:00:00"/>
    <d v="2024-06-12T00:00:00"/>
    <d v="2024-06-26T00:00:00"/>
    <x v="2"/>
    <x v="74"/>
    <n v="0.75"/>
    <n v="14"/>
    <s v="Célula Operaciones"/>
    <m/>
    <m/>
    <m/>
  </r>
  <r>
    <s v="2024"/>
    <x v="0"/>
    <m/>
    <x v="196"/>
    <s v="MXP 2.0"/>
    <s v="Ver Anexo A2_x000a_PICKUP / Pantalla mesas-&gt; boton pickup: Mejorar la experiencia del usuario. Actualmente se debe realizar muchos clicks "/>
    <m/>
    <x v="0"/>
    <s v="Celula Operaciones Maxpoint 2024"/>
    <s v="OPER"/>
    <x v="0"/>
    <s v="Sandra Paillacho"/>
    <x v="0"/>
    <x v="2"/>
    <x v="0"/>
    <m/>
    <s v="Q2"/>
    <m/>
    <s v="MEDIA"/>
    <n v="1"/>
    <n v="3"/>
    <n v="2"/>
    <n v="550"/>
    <m/>
    <n v="3880"/>
    <m/>
    <m/>
    <d v="2024-06-03T00:00:00"/>
    <d v="2024-06-24T00:00:00"/>
    <e v="#REF!"/>
    <d v="2024-06-25T00:00:00"/>
    <d v="2024-07-09T00:00:00"/>
    <d v="2895-12-06T00:00:00"/>
    <d v="2024-07-10T00:00:00"/>
    <d v="2024-07-24T00:00:00"/>
    <x v="51"/>
    <x v="24"/>
    <n v="0.75"/>
    <n v="14"/>
    <m/>
    <m/>
    <m/>
    <m/>
  </r>
  <r>
    <s v="2024"/>
    <x v="5"/>
    <m/>
    <x v="197"/>
    <m/>
    <s v="-visibilizar la columna fecha de vencimiento en el B2B_x000a_-adjunto de certificado bancario obligatorio"/>
    <m/>
    <x v="0"/>
    <s v="Mejoras B2B - Finanzas"/>
    <s v="CAR"/>
    <x v="0"/>
    <s v="Amparo Aleman"/>
    <x v="15"/>
    <x v="1"/>
    <x v="1"/>
    <s v="Q2"/>
    <s v="Q1"/>
    <m/>
    <s v="BAJA"/>
    <n v="1"/>
    <n v="1"/>
    <n v="2"/>
    <n v="550"/>
    <m/>
    <n v="1100"/>
    <m/>
    <m/>
    <d v="2024-02-07T00:00:00"/>
    <d v="2024-02-14T00:00:00"/>
    <n v="7"/>
    <d v="2024-02-14T00:00:00"/>
    <d v="2024-02-14T00:00:00"/>
    <n v="0"/>
    <d v="2024-02-14T00:00:00"/>
    <d v="2024-02-21T00:00:00"/>
    <x v="35"/>
    <x v="99"/>
    <n v="0.25"/>
    <n v="7"/>
    <m/>
    <m/>
    <m/>
    <m/>
  </r>
  <r>
    <s v="2024"/>
    <x v="0"/>
    <m/>
    <x v="198"/>
    <m/>
    <s v="Configurable de canales de impresión, pre cuenta, factura, abono, Corte de X, desmontar cajero, fin de día y comandas."/>
    <m/>
    <x v="0"/>
    <m/>
    <s v="REGIONAL"/>
    <x v="5"/>
    <s v="Jeison Caguana"/>
    <x v="22"/>
    <x v="1"/>
    <x v="0"/>
    <m/>
    <s v="Q2"/>
    <m/>
    <s v="BAJA"/>
    <n v="1"/>
    <n v="1"/>
    <n v="3"/>
    <n v="625"/>
    <m/>
    <n v="1875"/>
    <m/>
    <m/>
    <d v="2025-04-06T00:00:00"/>
    <d v="2025-04-18T00:00:00"/>
    <e v="#REF!"/>
    <d v="2024-04-21T00:00:00"/>
    <d v="2024-04-26T00:00:00"/>
    <d v="2894-06-25T00:00:00"/>
    <d v="2024-04-28T00:00:00"/>
    <d v="2024-04-30T00:00:00"/>
    <x v="62"/>
    <x v="25"/>
    <n v="0.25"/>
    <n v="2"/>
    <m/>
    <m/>
    <m/>
    <m/>
  </r>
  <r>
    <s v="2024"/>
    <x v="0"/>
    <m/>
    <x v="199"/>
    <m/>
    <s v="Corrección de bugs pantalla de estaciones, botones, preguntas sugeridas, descuentos, y pantalla de replica."/>
    <m/>
    <x v="0"/>
    <m/>
    <s v="REGIONAL"/>
    <x v="5"/>
    <s v="Jeison Caguana"/>
    <x v="22"/>
    <x v="1"/>
    <x v="0"/>
    <m/>
    <s v="Q3"/>
    <m/>
    <s v="BAJA"/>
    <n v="1"/>
    <n v="1"/>
    <n v="4"/>
    <n v="625"/>
    <m/>
    <n v="2500"/>
    <m/>
    <m/>
    <d v="2024-08-18T00:00:00"/>
    <d v="2024-09-13T00:00:00"/>
    <e v="#REF!"/>
    <d v="2024-09-16T00:00:00"/>
    <d v="2024-09-20T00:00:00"/>
    <d v="2897-09-20T00:00:00"/>
    <d v="2024-09-23T00:00:00"/>
    <d v="2024-09-25T00:00:00"/>
    <x v="63"/>
    <x v="0"/>
    <n v="0.25"/>
    <n v="2"/>
    <m/>
    <m/>
    <m/>
    <m/>
  </r>
  <r>
    <s v="2024"/>
    <x v="0"/>
    <m/>
    <x v="200"/>
    <m/>
    <s v="Lunch y mermas en MaxPoint / Nuevos reportes App MaxPoint"/>
    <m/>
    <x v="0"/>
    <m/>
    <s v="REGIONAL"/>
    <x v="5"/>
    <s v="Jeison Caguana"/>
    <x v="22"/>
    <x v="1"/>
    <x v="0"/>
    <m/>
    <s v="Q3"/>
    <m/>
    <s v="BAJA"/>
    <n v="1"/>
    <n v="1"/>
    <n v="6"/>
    <n v="625"/>
    <m/>
    <n v="3750"/>
    <m/>
    <m/>
    <d v="2024-07-01T00:00:00"/>
    <d v="2024-08-02T00:00:00"/>
    <e v="#REF!"/>
    <d v="2024-08-04T00:00:00"/>
    <d v="2024-08-09T00:00:00"/>
    <d v="2896-10-12T00:00:00"/>
    <d v="2024-08-11T00:00:00"/>
    <d v="2024-08-13T00:00:00"/>
    <x v="19"/>
    <x v="100"/>
    <n v="0.25"/>
    <n v="2"/>
    <m/>
    <m/>
    <m/>
    <m/>
  </r>
  <r>
    <s v="2024"/>
    <x v="2"/>
    <s v="Cupones"/>
    <x v="201"/>
    <s v="MXP LEGACY_x000a_TRADE"/>
    <s v="Compromiso Matriz Regional  (Ecuador) (api v3 cupones)"/>
    <s v="MEDIA"/>
    <x v="3"/>
    <s v="Funcionalidades Regionales"/>
    <s v="DSI"/>
    <x v="0"/>
    <s v="Mychael Castro - José Fernandez"/>
    <x v="1"/>
    <x v="1"/>
    <x v="0"/>
    <m/>
    <s v="Q2"/>
    <s v="P37"/>
    <s v="MEDIA"/>
    <n v="1"/>
    <n v="2"/>
    <n v="1"/>
    <n v="550"/>
    <m/>
    <n v="1420"/>
    <m/>
    <m/>
    <d v="2024-04-01T00:00:00"/>
    <d v="2024-04-15T00:00:00"/>
    <n v="14"/>
    <d v="2024-04-15T00:00:00"/>
    <d v="2024-04-22T00:00:00"/>
    <n v="363183"/>
    <d v="2024-04-22T00:00:00"/>
    <d v="2025-01-31T00:00:00"/>
    <x v="11"/>
    <x v="101"/>
    <n v="0.5"/>
    <n v="284"/>
    <s v="PROYECTO REGIONAL"/>
    <m/>
    <m/>
    <m/>
  </r>
  <r>
    <s v="2024"/>
    <x v="1"/>
    <m/>
    <x v="202"/>
    <m/>
    <m/>
    <m/>
    <x v="0"/>
    <m/>
    <s v="REGIONAL"/>
    <x v="5"/>
    <s v="Jeison Caguana"/>
    <x v="8"/>
    <x v="3"/>
    <x v="1"/>
    <m/>
    <m/>
    <m/>
    <m/>
    <m/>
    <m/>
    <m/>
    <m/>
    <m/>
    <n v="640"/>
    <m/>
    <m/>
    <d v="2024-04-01T00:00:00"/>
    <m/>
    <e v="#REF!"/>
    <m/>
    <m/>
    <d v="1899-12-30T00:00:00"/>
    <m/>
    <d v="2024-04-26T00:00:00"/>
    <x v="64"/>
    <x v="16"/>
    <n v="0"/>
    <n v="45408"/>
    <m/>
    <m/>
    <m/>
    <m/>
  </r>
  <r>
    <s v="2024"/>
    <x v="1"/>
    <m/>
    <x v="203"/>
    <m/>
    <m/>
    <m/>
    <x v="0"/>
    <m/>
    <s v="REGIONAL"/>
    <x v="5"/>
    <s v="Jeison Caguana"/>
    <x v="8"/>
    <x v="3"/>
    <x v="0"/>
    <m/>
    <m/>
    <m/>
    <m/>
    <m/>
    <m/>
    <m/>
    <m/>
    <m/>
    <n v="640"/>
    <m/>
    <m/>
    <d v="2024-05-27T00:00:00"/>
    <m/>
    <e v="#REF!"/>
    <m/>
    <m/>
    <d v="1899-12-30T00:00:00"/>
    <m/>
    <d v="2024-06-21T00:00:00"/>
    <x v="29"/>
    <x v="31"/>
    <n v="0"/>
    <n v="45464"/>
    <m/>
    <m/>
    <m/>
    <m/>
  </r>
  <r>
    <s v="2024"/>
    <x v="1"/>
    <m/>
    <x v="204"/>
    <m/>
    <s v="Configuración por proveedor y cuidad para el bloqueo de costo en compras"/>
    <m/>
    <x v="0"/>
    <s v="Mantenimiento"/>
    <s v="REGIONAL"/>
    <x v="5"/>
    <s v="Jeison Caguana"/>
    <x v="22"/>
    <x v="1"/>
    <x v="0"/>
    <m/>
    <s v="Q2"/>
    <m/>
    <s v="BAJA"/>
    <m/>
    <n v="1"/>
    <n v="1"/>
    <m/>
    <m/>
    <m/>
    <m/>
    <m/>
    <d v="2024-05-15T00:00:00"/>
    <d v="2024-03-22T00:00:00"/>
    <m/>
    <d v="3024-03-26T00:00:00"/>
    <d v="2024-04-02T00:00:00"/>
    <d v="9893-11-28T00:00:00"/>
    <m/>
    <m/>
    <x v="59"/>
    <x v="1"/>
    <n v="0.25"/>
    <n v="0"/>
    <m/>
    <m/>
    <m/>
    <m/>
  </r>
  <r>
    <s v="2024"/>
    <x v="2"/>
    <s v="Kioscos"/>
    <x v="205"/>
    <s v="MXP LEGACY_x000a_TRADE"/>
    <s v="Integrar el API Formas de Pago Deuna"/>
    <s v="BAJA"/>
    <x v="0"/>
    <s v="Proyectos TD 2024"/>
    <s v="CAR"/>
    <x v="0"/>
    <s v="Daniel Barreno"/>
    <x v="4"/>
    <x v="1"/>
    <x v="0"/>
    <m/>
    <s v="Q4"/>
    <m/>
    <s v="BAJA"/>
    <m/>
    <n v="3"/>
    <n v="1"/>
    <n v="550"/>
    <m/>
    <n v="2290"/>
    <m/>
    <m/>
    <d v="2024-11-04T00:00:00"/>
    <d v="2024-11-11T00:00:00"/>
    <n v="7"/>
    <d v="2024-11-11T00:00:00"/>
    <d v="2024-11-18T00:00:00"/>
    <n v="364863"/>
    <d v="2024-11-18T00:00:00"/>
    <d v="2024-11-25T00:00:00"/>
    <x v="41"/>
    <x v="102"/>
    <n v="0.75"/>
    <n v="7"/>
    <m/>
    <m/>
    <s v="x"/>
    <m/>
  </r>
  <r>
    <s v="2024"/>
    <x v="2"/>
    <s v="APP"/>
    <x v="206"/>
    <s v="MXP LEGACY_x000a_TRADE"/>
    <s v="Habilitar a Maxpoint para que ingrese el pago desde la aplicación con un QR (counter y Kiosco) Chile"/>
    <s v="BAJA"/>
    <x v="3"/>
    <s v="Proyectos TD 2024"/>
    <s v="CAR"/>
    <x v="4"/>
    <s v="Daniel Barreno / Davis Nuñez"/>
    <x v="4"/>
    <x v="1"/>
    <x v="0"/>
    <s v="Q4"/>
    <s v="Q4"/>
    <s v="p72"/>
    <s v="ALTA"/>
    <m/>
    <n v="9"/>
    <n v="1"/>
    <n v="550"/>
    <m/>
    <n v="5590"/>
    <m/>
    <m/>
    <d v="2024-11-04T00:00:00"/>
    <d v="2024-12-09T00:00:00"/>
    <n v="35"/>
    <d v="2024-12-09T00:00:00"/>
    <d v="2024-12-23T00:00:00"/>
    <n v="365094"/>
    <d v="2024-12-23T00:00:00"/>
    <d v="2025-01-06T00:00:00"/>
    <x v="41"/>
    <x v="103"/>
    <n v="2.25"/>
    <n v="14"/>
    <s v="ECOMERCE"/>
    <m/>
    <s v="x"/>
    <m/>
  </r>
  <r>
    <s v="2024"/>
    <x v="3"/>
    <m/>
    <x v="207"/>
    <m/>
    <s v="Coordinar en un AKS"/>
    <m/>
    <x v="0"/>
    <s v="Funcionalidades Locales"/>
    <s v="DSI"/>
    <x v="2"/>
    <s v="Jhustin Vergara"/>
    <x v="6"/>
    <x v="1"/>
    <x v="0"/>
    <m/>
    <s v="Q2"/>
    <m/>
    <s v="BAJA"/>
    <n v="1"/>
    <n v="2"/>
    <n v="1"/>
    <n v="550"/>
    <m/>
    <n v="1740"/>
    <m/>
    <m/>
    <d v="2024-04-01T00:00:00"/>
    <d v="2024-04-07T00:00:00"/>
    <e v="#REF!"/>
    <d v="2024-04-07T00:00:00"/>
    <d v="2024-04-10T00:00:00"/>
    <d v="2894-03-03T00:00:00"/>
    <d v="2024-04-10T00:00:00"/>
    <d v="2024-04-14T00:00:00"/>
    <x v="11"/>
    <x v="104"/>
    <n v="0.5"/>
    <n v="4"/>
    <m/>
    <m/>
    <m/>
    <m/>
  </r>
  <r>
    <s v="2024"/>
    <x v="1"/>
    <m/>
    <x v="208"/>
    <m/>
    <s v="Revisión de Zetas Fiscales, validación de Asientos Contables de Ventas de SIR"/>
    <m/>
    <x v="0"/>
    <s v="Funcionalidades Locales"/>
    <s v="REGIONAL"/>
    <x v="2"/>
    <s v="Jhustin Vergara"/>
    <x v="6"/>
    <x v="1"/>
    <x v="0"/>
    <m/>
    <s v="Q2"/>
    <m/>
    <s v="ALTA"/>
    <m/>
    <n v="5"/>
    <n v="2"/>
    <n v="400"/>
    <m/>
    <n v="4640"/>
    <m/>
    <m/>
    <d v="2024-05-15T00:00:00"/>
    <d v="2024-07-10T00:00:00"/>
    <e v="#REF!"/>
    <d v="2024-07-10T00:00:00"/>
    <d v="2024-07-24T00:00:00"/>
    <d v="2896-04-04T00:00:00"/>
    <m/>
    <d v="2024-07-24T00:00:00"/>
    <x v="59"/>
    <x v="24"/>
    <n v="1.25"/>
    <n v="45497"/>
    <m/>
    <m/>
    <m/>
    <m/>
  </r>
  <r>
    <s v="2024"/>
    <x v="0"/>
    <m/>
    <x v="209"/>
    <m/>
    <s v="Migración de Wendys al MaxPoint Legacy"/>
    <m/>
    <x v="0"/>
    <s v="Funcionalidades Locales"/>
    <s v="REGIONAL"/>
    <x v="1"/>
    <s v="Adrian Gadja"/>
    <x v="18"/>
    <x v="1"/>
    <x v="0"/>
    <m/>
    <s v="Q2"/>
    <s v="Compra de nuevos POS"/>
    <s v="MEDIA"/>
    <n v="1"/>
    <n v="10"/>
    <n v="3"/>
    <n v="550"/>
    <m/>
    <n v="16500"/>
    <m/>
    <m/>
    <d v="2024-06-03T00:00:00"/>
    <d v="2024-06-28T00:00:00"/>
    <e v="#REF!"/>
    <d v="2024-07-01T00:00:00"/>
    <d v="2024-07-05T00:00:00"/>
    <d v="2896-01-13T00:00:00"/>
    <d v="2024-07-08T00:00:00"/>
    <d v="2024-07-12T00:00:00"/>
    <x v="51"/>
    <x v="105"/>
    <n v="2.5"/>
    <n v="4"/>
    <m/>
    <m/>
    <m/>
    <m/>
  </r>
  <r>
    <s v="2024"/>
    <x v="1"/>
    <m/>
    <x v="210"/>
    <m/>
    <s v="Vinculo con los compromisos de la matriz regional"/>
    <m/>
    <x v="3"/>
    <s v="Funcionalidades Locales"/>
    <s v="REGIONAL"/>
    <x v="1"/>
    <s v="Adrian Gadja"/>
    <x v="18"/>
    <x v="1"/>
    <x v="1"/>
    <m/>
    <s v="Q1"/>
    <m/>
    <s v="ALTA"/>
    <m/>
    <n v="8"/>
    <n v="1"/>
    <n v="450"/>
    <m/>
    <n v="2500"/>
    <m/>
    <m/>
    <d v="2023-09-01T00:00:00"/>
    <d v="2024-03-26T00:00:00"/>
    <e v="#REF!"/>
    <m/>
    <m/>
    <d v="1899-12-30T00:00:00"/>
    <m/>
    <m/>
    <x v="65"/>
    <x v="1"/>
    <n v="2"/>
    <n v="0"/>
    <s v="El proyecto se inciio el año pasado, por decisión del cliente se retoman pruebas este año"/>
    <m/>
    <m/>
    <m/>
  </r>
  <r>
    <n v="2024"/>
    <x v="5"/>
    <m/>
    <x v="211"/>
    <m/>
    <s v="Migrar plataforma B2B a Genexus"/>
    <m/>
    <x v="0"/>
    <s v="Mejoras B2B - Finanzas"/>
    <s v="DSI"/>
    <x v="3"/>
    <m/>
    <x v="9"/>
    <x v="1"/>
    <x v="1"/>
    <s v="Q2"/>
    <s v="Q3"/>
    <m/>
    <s v="MEDIA"/>
    <n v="0.15"/>
    <n v="4"/>
    <n v="1"/>
    <n v="1600"/>
    <m/>
    <n v="960"/>
    <m/>
    <m/>
    <m/>
    <m/>
    <m/>
    <m/>
    <m/>
    <m/>
    <m/>
    <m/>
    <x v="9"/>
    <x v="1"/>
    <n v="1"/>
    <m/>
    <m/>
    <m/>
    <m/>
    <m/>
  </r>
  <r>
    <n v="2024"/>
    <x v="5"/>
    <m/>
    <x v="211"/>
    <m/>
    <s v="Migrar plataforma B2B a Genexus"/>
    <m/>
    <x v="0"/>
    <s v="Mejoras B2B - Finanzas"/>
    <s v="DSI"/>
    <x v="4"/>
    <m/>
    <x v="13"/>
    <x v="1"/>
    <x v="1"/>
    <s v="Q2"/>
    <s v="Q3"/>
    <m/>
    <s v="MEDIA"/>
    <n v="0.05"/>
    <n v="4"/>
    <n v="1"/>
    <n v="1600"/>
    <m/>
    <n v="320"/>
    <m/>
    <m/>
    <m/>
    <m/>
    <m/>
    <m/>
    <m/>
    <m/>
    <m/>
    <m/>
    <x v="9"/>
    <x v="1"/>
    <n v="1"/>
    <m/>
    <m/>
    <m/>
    <m/>
    <m/>
  </r>
  <r>
    <n v="2024"/>
    <x v="5"/>
    <m/>
    <x v="211"/>
    <m/>
    <s v="Migrar plataforma B2B a Genexus"/>
    <m/>
    <x v="0"/>
    <s v="Mejoras B2B - Finanzas"/>
    <s v="CAR"/>
    <x v="0"/>
    <m/>
    <x v="1"/>
    <x v="1"/>
    <x v="0"/>
    <s v="Q3"/>
    <s v="Q3"/>
    <m/>
    <s v="MEDIA"/>
    <n v="0.8"/>
    <n v="4"/>
    <n v="1"/>
    <n v="1600"/>
    <m/>
    <n v="7340"/>
    <m/>
    <m/>
    <m/>
    <m/>
    <n v="0"/>
    <m/>
    <m/>
    <d v="1899-12-30T00:00:00"/>
    <m/>
    <m/>
    <x v="9"/>
    <x v="1"/>
    <n v="1"/>
    <n v="0"/>
    <m/>
    <m/>
    <m/>
    <m/>
  </r>
  <r>
    <s v="2024"/>
    <x v="1"/>
    <m/>
    <x v="212"/>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x v="0"/>
    <s v="Mejoras Contabilidad"/>
    <s v="CAR"/>
    <x v="0"/>
    <s v="Ruben Guanolisa"/>
    <x v="10"/>
    <x v="2"/>
    <x v="0"/>
    <s v="MEDIA"/>
    <s v="Q2"/>
    <m/>
    <s v="BAJA"/>
    <m/>
    <n v="2"/>
    <n v="2"/>
    <n v="400"/>
    <m/>
    <n v="2240"/>
    <m/>
    <m/>
    <d v="2024-03-25T00:00:00"/>
    <d v="2024-04-05T00:00:00"/>
    <e v="#REF!"/>
    <d v="2024-04-09T00:00:00"/>
    <d v="2014-04-16T00:00:00"/>
    <d v="2884-03-22T00:00:00"/>
    <m/>
    <m/>
    <x v="27"/>
    <x v="1"/>
    <n v="0.5"/>
    <n v="0"/>
    <m/>
    <m/>
    <m/>
    <m/>
  </r>
  <r>
    <s v="2024"/>
    <x v="1"/>
    <m/>
    <x v="213"/>
    <s v="X"/>
    <s v="En el SIR - MODULO CREDITO SIN CUPON, incluir una opción de selección varios clientes"/>
    <m/>
    <x v="0"/>
    <s v="Mejoras Auditoría"/>
    <s v="CAR"/>
    <x v="0"/>
    <s v="Vladimir Morillo"/>
    <x v="2"/>
    <x v="2"/>
    <x v="0"/>
    <n v="2"/>
    <s v="Q2"/>
    <m/>
    <s v="MEDIA"/>
    <m/>
    <n v="2"/>
    <n v="1"/>
    <n v="400"/>
    <m/>
    <n v="1440"/>
    <m/>
    <m/>
    <d v="2024-04-29T00:00:00"/>
    <d v="2024-05-10T00:00:00"/>
    <e v="#REF!"/>
    <d v="2024-05-14T00:00:00"/>
    <d v="2024-05-21T00:00:00"/>
    <d v="2894-12-28T00:00:00"/>
    <m/>
    <d v="2024-05-15T00:00:00"/>
    <x v="34"/>
    <x v="35"/>
    <n v="0.5"/>
    <n v="45427"/>
    <m/>
    <m/>
    <m/>
    <m/>
  </r>
  <r>
    <s v="2024"/>
    <x v="2"/>
    <s v="Menú V3"/>
    <x v="214"/>
    <s v="MXP LEGACY_x000a_MXP 2.0_x000a_TRADE"/>
    <s v="Modificadores Por Default Que los modificadores vengan con una opción ya predeterminada, que mxp pueda enviar los modificadores ya establecidos (APP KFC) "/>
    <s v="BAJA"/>
    <x v="0"/>
    <s v="Proyectos TD 2024"/>
    <s v="CAR"/>
    <x v="0"/>
    <s v="Daniel Barreno"/>
    <x v="4"/>
    <x v="1"/>
    <x v="0"/>
    <s v="Q3"/>
    <s v="Q3"/>
    <s v="p60"/>
    <s v="MEDIA"/>
    <n v="1"/>
    <n v="4"/>
    <n v="1"/>
    <n v="550"/>
    <m/>
    <n v="2840"/>
    <m/>
    <m/>
    <d v="2024-08-20T00:00:00"/>
    <d v="2024-09-03T00:00:00"/>
    <n v="14"/>
    <d v="2024-09-03T00:00:00"/>
    <d v="2024-09-10T00:00:00"/>
    <n v="364311"/>
    <d v="2024-09-10T00:00:00"/>
    <d v="2024-09-17T00:00:00"/>
    <x v="12"/>
    <x v="6"/>
    <n v="1"/>
    <n v="7"/>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3"/>
    <s v="Daniel Barreno"/>
    <x v="4"/>
    <x v="1"/>
    <x v="0"/>
    <s v="Q3"/>
    <s v="Q3"/>
    <s v="p60"/>
    <s v="MEDIA"/>
    <n v="1"/>
    <n v="3"/>
    <n v="1"/>
    <n v="550"/>
    <m/>
    <n v="2290"/>
    <m/>
    <m/>
    <d v="2024-09-10T00:00:00"/>
    <d v="2024-09-17T00:00:00"/>
    <n v="7"/>
    <d v="2024-09-17T00:00:00"/>
    <d v="2024-09-24T00:00:00"/>
    <n v="364423"/>
    <d v="2024-09-24T00:00:00"/>
    <d v="2024-10-01T00:00:00"/>
    <x v="47"/>
    <x v="78"/>
    <n v="0.75"/>
    <n v="7"/>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4"/>
    <s v="Daniel Barreno"/>
    <x v="4"/>
    <x v="1"/>
    <x v="0"/>
    <s v="Q3"/>
    <s v="Q3"/>
    <s v="p60"/>
    <s v="MEDIA"/>
    <n v="1"/>
    <n v="5"/>
    <n v="1"/>
    <n v="550"/>
    <m/>
    <n v="3390"/>
    <m/>
    <m/>
    <d v="2024-09-10T00:00:00"/>
    <d v="2024-09-17T00:00:00"/>
    <n v="7"/>
    <d v="2024-09-17T00:00:00"/>
    <d v="2024-09-24T00:00:00"/>
    <n v="364423"/>
    <d v="2024-09-24T00:00:00"/>
    <d v="2024-10-15T00:00:00"/>
    <x v="47"/>
    <x v="52"/>
    <n v="1.25"/>
    <n v="21"/>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2"/>
    <s v="Daniel Barreno"/>
    <x v="4"/>
    <x v="1"/>
    <x v="0"/>
    <s v="Q3"/>
    <s v="Q3"/>
    <s v="p60"/>
    <s v="MEDIA"/>
    <n v="1"/>
    <n v="3"/>
    <n v="1"/>
    <n v="550"/>
    <m/>
    <n v="2290"/>
    <m/>
    <m/>
    <d v="2024-09-10T00:00:00"/>
    <d v="2024-09-17T00:00:00"/>
    <n v="7"/>
    <d v="2024-09-17T00:00:00"/>
    <d v="2024-09-24T00:00:00"/>
    <n v="364423"/>
    <d v="2024-09-24T00:00:00"/>
    <d v="2024-10-01T00:00:00"/>
    <x v="47"/>
    <x v="78"/>
    <n v="0.75"/>
    <n v="7"/>
    <s v="PROYECTO REGIONAL"/>
    <m/>
    <s v="x"/>
    <m/>
  </r>
  <r>
    <s v="2024"/>
    <x v="2"/>
    <s v="Menú V3"/>
    <x v="214"/>
    <s v="MXP LEGACY_x000a_MXP 2.0_x000a_TRADE"/>
    <s v="Modificadores Por Default Que los modificadores vengan con una opción ya predeterminada, que mxp pueda enviar los modificadores ya establecidos (APP KFC) "/>
    <s v="BAJA"/>
    <x v="3"/>
    <s v="Proyectos TD 2024"/>
    <s v="CAR"/>
    <x v="1"/>
    <s v="Daniel Barreno"/>
    <x v="4"/>
    <x v="1"/>
    <x v="0"/>
    <s v="Q3"/>
    <s v="Q3"/>
    <s v="p60"/>
    <s v="MEDIA"/>
    <n v="1"/>
    <n v="3"/>
    <n v="1"/>
    <n v="550"/>
    <m/>
    <n v="2290"/>
    <m/>
    <m/>
    <d v="2024-09-10T00:00:00"/>
    <d v="2024-09-17T00:00:00"/>
    <n v="7"/>
    <d v="2024-09-17T00:00:00"/>
    <d v="2024-09-24T00:00:00"/>
    <n v="364423"/>
    <d v="2024-09-24T00:00:00"/>
    <d v="2024-10-01T00:00:00"/>
    <x v="47"/>
    <x v="78"/>
    <n v="0.75"/>
    <n v="7"/>
    <s v="PROYECTO REGIONAL"/>
    <m/>
    <s v="x"/>
    <m/>
  </r>
  <r>
    <s v="2024"/>
    <x v="1"/>
    <m/>
    <x v="215"/>
    <m/>
    <s v="Desarrollar un modulo de auditoria en el SIR donde se incorpore. Evaluación Auditoria "/>
    <m/>
    <x v="0"/>
    <s v="Mejoras Auditoría"/>
    <s v="CAR"/>
    <x v="0"/>
    <s v="Vladimir Morillo"/>
    <x v="2"/>
    <x v="2"/>
    <x v="0"/>
    <n v="3"/>
    <s v="Q3"/>
    <m/>
    <s v="MEDIA"/>
    <m/>
    <n v="4"/>
    <n v="2"/>
    <n v="400"/>
    <m/>
    <n v="3840"/>
    <m/>
    <m/>
    <d v="2024-06-03T00:00:00"/>
    <d v="2024-06-28T00:00:00"/>
    <e v="#REF!"/>
    <d v="2024-07-02T00:00:00"/>
    <d v="2024-07-09T00:00:00"/>
    <d v="2896-01-24T00:00:00"/>
    <m/>
    <m/>
    <x v="51"/>
    <x v="1"/>
    <n v="1"/>
    <n v="0"/>
    <s v="Sacrificable"/>
    <m/>
    <m/>
    <m/>
  </r>
  <r>
    <s v="2024"/>
    <x v="2"/>
    <s v="Motorizado Delivery"/>
    <x v="216"/>
    <s v="MXP LEGACY_x000a_TRADE"/>
    <s v="Nuevo Requerimiento"/>
    <s v="MEDIA"/>
    <x v="0"/>
    <s v="Funcionalidades Locales"/>
    <s v="DSI"/>
    <x v="4"/>
    <s v="Davis Nuñez"/>
    <x v="1"/>
    <x v="1"/>
    <x v="0"/>
    <m/>
    <s v="Q4"/>
    <s v="p77"/>
    <s v="MEDIA"/>
    <m/>
    <n v="9"/>
    <n v="1"/>
    <n v="550"/>
    <m/>
    <n v="5590"/>
    <m/>
    <m/>
    <d v="2024-10-14T00:00:00"/>
    <d v="2024-11-11T00:00:00"/>
    <n v="28"/>
    <d v="2024-11-11T00:00:00"/>
    <d v="2024-11-25T00:00:00"/>
    <n v="364870"/>
    <d v="2024-11-25T00:00:00"/>
    <d v="2024-12-16T00:00:00"/>
    <x v="14"/>
    <x v="106"/>
    <n v="2.25"/>
    <n v="21"/>
    <s v="Contexto."/>
    <m/>
    <m/>
    <m/>
  </r>
  <r>
    <s v="2024"/>
    <x v="0"/>
    <m/>
    <x v="217"/>
    <m/>
    <s v="Pantalla de cobro para facilitar el cobro en varias monedas (Actualmente la conversión se realiza de manera manual por fuera del sistema) - Efectivo - Trazabilidad de retiros por cada moneda."/>
    <m/>
    <x v="0"/>
    <s v="Funcionalidades Locales"/>
    <s v="REGIONAL"/>
    <x v="2"/>
    <s v="Jhustin Vergara"/>
    <x v="6"/>
    <x v="1"/>
    <x v="1"/>
    <m/>
    <s v="Q1"/>
    <m/>
    <s v="ALTA"/>
    <n v="1"/>
    <n v="4"/>
    <n v="3"/>
    <n v="550"/>
    <m/>
    <n v="6600"/>
    <m/>
    <m/>
    <d v="2024-03-04T00:00:00"/>
    <d v="2024-03-22T00:00:00"/>
    <e v="#REF!"/>
    <d v="2024-03-25T00:00:00"/>
    <d v="2024-03-29T00:00:00"/>
    <n v="363012"/>
    <d v="2024-04-01T00:00:00"/>
    <d v="2024-04-03T00:00:00"/>
    <x v="21"/>
    <x v="107"/>
    <n v="1"/>
    <n v="2"/>
    <m/>
    <m/>
    <m/>
    <m/>
  </r>
  <r>
    <s v="2024"/>
    <x v="2"/>
    <s v="Multinube"/>
    <x v="218"/>
    <m/>
    <s v="Implmentación de redundancia en servicio de nube de Google"/>
    <s v="BAJA"/>
    <x v="0"/>
    <s v="Funcionalidades Locales"/>
    <s v="DSI"/>
    <x v="3"/>
    <s v="William Villegas"/>
    <x v="1"/>
    <x v="1"/>
    <x v="0"/>
    <m/>
    <s v="Q1"/>
    <s v="p31"/>
    <s v="MEDIA"/>
    <m/>
    <n v="2"/>
    <n v="1"/>
    <n v="550"/>
    <m/>
    <n v="1740"/>
    <m/>
    <m/>
    <d v="2024-03-04T00:00:00"/>
    <d v="2024-03-11T00:00:00"/>
    <n v="7"/>
    <d v="2024-03-11T00:00:00"/>
    <d v="2024-03-18T00:00:00"/>
    <n v="362903"/>
    <d v="2024-03-18T00:00:00"/>
    <d v="2024-03-18T00:00:00"/>
    <x v="33"/>
    <x v="3"/>
    <n v="0.5"/>
    <n v="0"/>
    <m/>
    <m/>
    <m/>
    <m/>
  </r>
  <r>
    <s v="2024"/>
    <x v="1"/>
    <m/>
    <x v="219"/>
    <m/>
    <s v="Defecto"/>
    <m/>
    <x v="0"/>
    <s v="REGIONAL"/>
    <s v="REGIONAL"/>
    <x v="2"/>
    <s v="Jhustin Vergara"/>
    <x v="8"/>
    <x v="3"/>
    <x v="1"/>
    <m/>
    <m/>
    <m/>
    <m/>
    <m/>
    <m/>
    <m/>
    <m/>
    <m/>
    <n v="640"/>
    <m/>
    <m/>
    <d v="2024-04-08T00:00:00"/>
    <m/>
    <e v="#REF!"/>
    <m/>
    <m/>
    <d v="1899-12-30T00:00:00"/>
    <m/>
    <d v="2024-04-17T00:00:00"/>
    <x v="66"/>
    <x v="25"/>
    <d v="1899-12-30T00:00:00"/>
    <n v="45399"/>
    <m/>
    <m/>
    <m/>
    <m/>
  </r>
  <r>
    <s v="2024"/>
    <x v="1"/>
    <m/>
    <x v="220"/>
    <m/>
    <s v="Añadir nueva forma de pago"/>
    <m/>
    <x v="0"/>
    <s v="REGIONAL"/>
    <s v="REGIONAL"/>
    <x v="2"/>
    <s v="Jhustin Vergara"/>
    <x v="8"/>
    <x v="3"/>
    <x v="2"/>
    <m/>
    <m/>
    <m/>
    <m/>
    <m/>
    <m/>
    <m/>
    <m/>
    <m/>
    <n v="640"/>
    <m/>
    <m/>
    <s v="marzo"/>
    <m/>
    <e v="#REF!"/>
    <m/>
    <m/>
    <d v="1899-12-30T00:00:00"/>
    <m/>
    <s v="marzo"/>
    <x v="67"/>
    <x v="108"/>
    <d v="1899-12-30T00:00:00"/>
    <e v="#VALUE!"/>
    <m/>
    <m/>
    <m/>
    <m/>
  </r>
  <r>
    <s v="2024"/>
    <x v="1"/>
    <m/>
    <x v="221"/>
    <m/>
    <s v="Homologar con Ecuador la columna de diferencia en el registro de inventario de SIR (revisar si va directo a soporte)"/>
    <m/>
    <x v="0"/>
    <s v="Mantenimiento"/>
    <s v="REGIONAL"/>
    <x v="2"/>
    <s v="Jhustin Vergara"/>
    <x v="6"/>
    <x v="1"/>
    <x v="0"/>
    <m/>
    <s v="Q2"/>
    <m/>
    <s v="BAJA"/>
    <m/>
    <n v="2"/>
    <n v="1"/>
    <m/>
    <m/>
    <m/>
    <m/>
    <m/>
    <d v="2024-05-15T00:00:00"/>
    <d v="2024-07-10T00:00:00"/>
    <d v="2024-07-10T00:00:00"/>
    <d v="2024-07-10T00:00:00"/>
    <d v="2024-07-24T00:00:00"/>
    <d v="2896-04-04T00:00:00"/>
    <m/>
    <m/>
    <x v="29"/>
    <x v="31"/>
    <n v="0.5"/>
    <n v="0"/>
    <m/>
    <m/>
    <m/>
    <m/>
  </r>
  <r>
    <s v="2023"/>
    <x v="0"/>
    <m/>
    <x v="222"/>
    <m/>
    <s v="Compromiso Matriz Regional  (Ecuador, Colombia, Chile y Argentina)"/>
    <m/>
    <x v="1"/>
    <s v="Pendientes Matriz Regional 2023"/>
    <s v="DSI"/>
    <x v="0"/>
    <s v="José Fernandez - Darwin Mora"/>
    <x v="1"/>
    <x v="1"/>
    <x v="2"/>
    <m/>
    <s v="Q1"/>
    <m/>
    <s v="BAJA"/>
    <m/>
    <m/>
    <m/>
    <m/>
    <m/>
    <n v="580"/>
    <m/>
    <m/>
    <m/>
    <m/>
    <m/>
    <m/>
    <m/>
    <d v="1899-12-30T00:00:00"/>
    <m/>
    <m/>
    <x v="9"/>
    <x v="1"/>
    <n v="0"/>
    <n v="0"/>
    <s v="PROYECTO REGIONAL"/>
    <m/>
    <m/>
    <m/>
  </r>
  <r>
    <s v="2023"/>
    <x v="0"/>
    <m/>
    <x v="222"/>
    <m/>
    <s v="Compromiso Matriz Regional  (Ecuador, Colombia, Chile y Argentina)"/>
    <m/>
    <x v="3"/>
    <s v="Funcionalidades Regionales"/>
    <s v="REGIONAL"/>
    <x v="3"/>
    <s v="José Fernandez - Darwin Mora"/>
    <x v="9"/>
    <x v="1"/>
    <x v="1"/>
    <m/>
    <s v="Q1"/>
    <m/>
    <s v="ALTA"/>
    <m/>
    <n v="8"/>
    <n v="1"/>
    <n v="625"/>
    <m/>
    <n v="5000"/>
    <m/>
    <m/>
    <d v="2024-03-04T00:00:00"/>
    <d v="2024-04-11T00:00:00"/>
    <e v="#REF!"/>
    <d v="2024-04-15T00:00:00"/>
    <d v="2024-04-19T00:00:00"/>
    <d v="2894-05-07T00:00:00"/>
    <d v="2024-04-22T00:00:00"/>
    <d v="2024-04-26T00:00:00"/>
    <x v="21"/>
    <x v="32"/>
    <n v="2"/>
    <n v="4"/>
    <s v="PROYECTO REGIONAL"/>
    <m/>
    <m/>
    <m/>
  </r>
  <r>
    <s v="2023"/>
    <x v="0"/>
    <m/>
    <x v="222"/>
    <m/>
    <s v="Compromiso Matriz Regional  (Ecuador, Colombia, Chile y Argentina)"/>
    <m/>
    <x v="3"/>
    <s v="Funcionalidades Regionales"/>
    <s v="REGIONAL"/>
    <x v="1"/>
    <s v="José Fernandez - Darwin Mora"/>
    <x v="18"/>
    <x v="1"/>
    <x v="0"/>
    <m/>
    <s v="Q2"/>
    <m/>
    <s v="ALTA"/>
    <n v="1"/>
    <n v="12"/>
    <n v="1"/>
    <n v="550"/>
    <m/>
    <n v="6600"/>
    <m/>
    <m/>
    <d v="2024-03-04T00:00:00"/>
    <d v="2024-05-10T00:00:00"/>
    <e v="#REF!"/>
    <d v="2024-05-13T00:00:00"/>
    <d v="2024-05-17T00:00:00"/>
    <d v="2894-12-17T00:00:00"/>
    <d v="2024-05-20T00:00:00"/>
    <d v="2024-05-24T00:00:00"/>
    <x v="21"/>
    <x v="49"/>
    <n v="3"/>
    <n v="4"/>
    <s v="PROYECTO REGIONAL"/>
    <m/>
    <m/>
    <m/>
  </r>
  <r>
    <s v="2024"/>
    <x v="0"/>
    <m/>
    <x v="222"/>
    <m/>
    <s v="de Boletas (Reducción) - Compromiso Matriz Regional  (Ecuador, Colombia, Chile y Argentina)"/>
    <m/>
    <x v="4"/>
    <s v="Funcionalidades Locales"/>
    <s v="REGIONAL"/>
    <x v="4"/>
    <s v="Davis Nuñez"/>
    <x v="13"/>
    <x v="1"/>
    <x v="1"/>
    <m/>
    <s v="Q2"/>
    <s v="Dependencia de una impresora con el modelo, confirmar el inventario"/>
    <s v="ALTA"/>
    <n v="1"/>
    <n v="1"/>
    <n v="12"/>
    <n v="625"/>
    <m/>
    <n v="7500"/>
    <m/>
    <m/>
    <d v="2024-04-01T00:00:00"/>
    <d v="2024-05-31T00:00:00"/>
    <e v="#REF!"/>
    <d v="2024-06-03T00:00:00"/>
    <d v="2024-06-07T00:00:00"/>
    <d v="2895-06-03T00:00:00"/>
    <d v="2024-06-10T00:00:00"/>
    <d v="2024-06-21T00:00:00"/>
    <x v="11"/>
    <x v="109"/>
    <n v="0.25"/>
    <n v="11"/>
    <m/>
    <m/>
    <m/>
    <m/>
  </r>
  <r>
    <s v="2024"/>
    <x v="2"/>
    <s v="Cupones"/>
    <x v="201"/>
    <s v="MXP LEGACY_x000a_TRADE"/>
    <s v="Compromiso Matriz Regional  (Argentina) (api v3 cupones)"/>
    <s v="MEDIA"/>
    <x v="3"/>
    <s v="Funcionalidades Regionales"/>
    <s v="DSI"/>
    <x v="1"/>
    <s v="Mychael Castro - José Fernandez"/>
    <x v="1"/>
    <x v="1"/>
    <x v="1"/>
    <m/>
    <s v="Q2"/>
    <s v="P37"/>
    <s v="MEDIA"/>
    <n v="1"/>
    <n v="2"/>
    <n v="1"/>
    <n v="550"/>
    <m/>
    <n v="1420"/>
    <m/>
    <m/>
    <d v="2024-04-01T00:00:00"/>
    <d v="2024-04-15T00:00:00"/>
    <n v="14"/>
    <d v="2024-04-15T00:00:00"/>
    <d v="2024-04-22T00:00:00"/>
    <n v="363183"/>
    <d v="2024-04-22T00:00:00"/>
    <d v="2025-01-31T00:00:00"/>
    <x v="11"/>
    <x v="101"/>
    <n v="0.5"/>
    <n v="284"/>
    <s v="PROYECTO REGIONAL"/>
    <m/>
    <m/>
    <m/>
  </r>
  <r>
    <s v="2024"/>
    <x v="2"/>
    <s v="Cupones"/>
    <x v="65"/>
    <s v="MXP LEGACY_x000a_TRADE"/>
    <s v="Compromiso Matriz Regional  ( venezuela)"/>
    <s v="MEDIA"/>
    <x v="3"/>
    <s v="Funcionalidades Regionales"/>
    <s v="DSI"/>
    <x v="2"/>
    <s v="Mychael Castro - José Fernandez"/>
    <x v="1"/>
    <x v="1"/>
    <x v="1"/>
    <m/>
    <s v="Q1"/>
    <m/>
    <s v="MEDIA"/>
    <n v="1"/>
    <n v="6"/>
    <n v="1"/>
    <n v="550"/>
    <m/>
    <n v="3940"/>
    <m/>
    <m/>
    <d v="2024-03-04T00:00:00"/>
    <d v="2024-04-01T00:00:00"/>
    <n v="28"/>
    <d v="2024-04-01T00:00:00"/>
    <d v="2024-04-08T00:00:00"/>
    <n v="363071"/>
    <d v="2024-04-08T00:00:00"/>
    <d v="2025-01-31T00:00:00"/>
    <x v="11"/>
    <x v="5"/>
    <n v="1.5"/>
    <n v="298"/>
    <s v="PROYECTO REGIONAL"/>
    <m/>
    <m/>
    <m/>
  </r>
  <r>
    <s v="2024"/>
    <x v="2"/>
    <s v="DragonTail"/>
    <x v="223"/>
    <s v="MXP LEGACY_x000a_MXP 2.0"/>
    <s v="Mxp Delivery - Dragon Tail (Integración)_x000a_Compromiso Matriz Regional  (Venezuela, Ecuador, Chile, Colombia y Argentina)   _x000a_Implementación de KDS en el counter con dragontale para todos los pedido, envío de tracking ID."/>
    <s v="ALTA"/>
    <x v="3"/>
    <s v="Proyectos TD 2024"/>
    <s v="DSI"/>
    <x v="4"/>
    <s v="Mychael Castro - José Fernandez"/>
    <x v="1"/>
    <x v="1"/>
    <x v="0"/>
    <m/>
    <s v="Q4"/>
    <s v="p8"/>
    <s v="ALTA"/>
    <n v="1"/>
    <n v="15"/>
    <n v="1"/>
    <n v="550"/>
    <m/>
    <n v="8890"/>
    <m/>
    <m/>
    <d v="2024-10-07T00:00:00"/>
    <d v="2024-11-04T00:00:00"/>
    <n v="28"/>
    <d v="2024-11-04T00:00:00"/>
    <d v="2024-11-18T00:00:00"/>
    <n v="364814"/>
    <d v="2024-11-18T00:00:00"/>
    <d v="2024-12-09T00:00:00"/>
    <x v="14"/>
    <x v="110"/>
    <n v="3.75"/>
    <n v="21"/>
    <s v="PROYECTO REGIONAL"/>
    <m/>
    <m/>
    <m/>
  </r>
  <r>
    <s v="2024"/>
    <x v="2"/>
    <s v="Agregadores"/>
    <x v="130"/>
    <s v="MXP LEGACY_x000a_MXP 2.0_x000a_"/>
    <s v="Envío Menús Agregadores KFC"/>
    <s v="ALTA"/>
    <x v="3"/>
    <s v="Integración con Agregadores (Regional)"/>
    <s v="DSI"/>
    <x v="0"/>
    <s v="DSI"/>
    <x v="1"/>
    <x v="1"/>
    <x v="1"/>
    <m/>
    <s v="Q2"/>
    <s v="p38"/>
    <s v="MEDIA"/>
    <n v="0.28999999999999998"/>
    <n v="1"/>
    <n v="1"/>
    <n v="101428"/>
    <m/>
    <n v="29599.719999999998"/>
    <m/>
    <m/>
    <d v="2024-03-25T00:00:00"/>
    <m/>
    <n v="-45376"/>
    <m/>
    <m/>
    <n v="0"/>
    <m/>
    <d v="2024-08-12T00:00:00"/>
    <x v="27"/>
    <x v="21"/>
    <n v="5"/>
    <n v="45516"/>
    <s v="PROYECTO REGIONAL"/>
    <m/>
    <m/>
    <m/>
  </r>
  <r>
    <s v="2024"/>
    <x v="2"/>
    <s v="Menú V3"/>
    <x v="224"/>
    <s v="MXP LEGACY_x000a_TRADE"/>
    <s v="Compromiso Matriz Regional  (Falta Argentina - 2023)"/>
    <s v="ALTA"/>
    <x v="3"/>
    <s v="Funcionalidades Regionales"/>
    <s v="DSI"/>
    <x v="1"/>
    <s v="Mychael Castro"/>
    <x v="1"/>
    <x v="1"/>
    <x v="1"/>
    <m/>
    <s v="Q1"/>
    <s v="p15"/>
    <s v="ALTA"/>
    <n v="1"/>
    <n v="2"/>
    <n v="1"/>
    <n v="550"/>
    <m/>
    <n v="1740"/>
    <m/>
    <m/>
    <d v="2024-03-04T00:00:00"/>
    <d v="2024-03-11T00:00:00"/>
    <n v="7"/>
    <d v="2024-03-11T00:00:00"/>
    <d v="2024-03-18T00:00:00"/>
    <n v="362903"/>
    <d v="2024-03-18T00:00:00"/>
    <d v="2024-03-25T00:00:00"/>
    <x v="11"/>
    <x v="101"/>
    <n v="0.5"/>
    <n v="7"/>
    <s v="PROYECTO REGIONAL"/>
    <m/>
    <m/>
    <m/>
  </r>
  <r>
    <s v="2023"/>
    <x v="0"/>
    <m/>
    <x v="194"/>
    <m/>
    <s v="Mxp Delivery - Turneros v3.0 _x000a__x000a_Compromiso Matriz Regional  (Chile Argentina)"/>
    <m/>
    <x v="3"/>
    <s v="Funcionalidades Regionales"/>
    <s v="REGIONAL"/>
    <x v="1"/>
    <s v="Adrian Gadja"/>
    <x v="18"/>
    <x v="1"/>
    <x v="2"/>
    <m/>
    <s v="Q1"/>
    <s v="programadores en Angular"/>
    <s v="MEDIA"/>
    <n v="1"/>
    <n v="4"/>
    <n v="1"/>
    <n v="550"/>
    <m/>
    <n v="2200"/>
    <m/>
    <m/>
    <d v="2024-03-04T00:00:00"/>
    <d v="2024-03-15T00:00:00"/>
    <e v="#REF!"/>
    <d v="2024-03-18T00:00:00"/>
    <d v="2024-03-22T00:00:00"/>
    <d v="2893-09-25T00:00:00"/>
    <d v="2024-03-25T00:00:00"/>
    <d v="2024-03-29T00:00:00"/>
    <x v="21"/>
    <x v="63"/>
    <n v="1"/>
    <n v="4"/>
    <s v="PROYECTO REGIONAL"/>
    <m/>
    <m/>
    <m/>
  </r>
  <r>
    <s v="2023"/>
    <x v="0"/>
    <m/>
    <x v="225"/>
    <m/>
    <s v="Mxp Delivery- Core Integraciones Ultimas Millas_x000a__x000a_Compromiso Matriz Regional  (Argentina"/>
    <m/>
    <x v="3"/>
    <s v="Funcionalidades Regionales"/>
    <s v="REGIONAL"/>
    <x v="1"/>
    <s v="Adrian Gadja"/>
    <x v="18"/>
    <x v="1"/>
    <x v="0"/>
    <m/>
    <s v="Q2"/>
    <m/>
    <s v="MEDIA"/>
    <n v="1"/>
    <n v="8"/>
    <n v="1"/>
    <n v="550"/>
    <m/>
    <n v="4400"/>
    <m/>
    <m/>
    <d v="2024-04-01T00:00:00"/>
    <d v="2024-05-10T00:00:00"/>
    <e v="#REF!"/>
    <d v="2024-05-13T00:00:00"/>
    <d v="2024-05-17T00:00:00"/>
    <d v="2894-12-17T00:00:00"/>
    <d v="2024-05-20T00:00:00"/>
    <d v="2024-05-24T00:00:00"/>
    <x v="11"/>
    <x v="49"/>
    <n v="2"/>
    <n v="4"/>
    <s v="PROYECTO REGIONAL"/>
    <m/>
    <m/>
    <m/>
  </r>
  <r>
    <s v="2024"/>
    <x v="7"/>
    <m/>
    <x v="226"/>
    <m/>
    <s v="Restructura de manejo de Plu´s y MasterPlu"/>
    <m/>
    <x v="0"/>
    <s v="Restructura de manejo de Plu´s y MasterPlu"/>
    <s v="CAR"/>
    <x v="0"/>
    <s v="Verónica Marañon / Renato Loayza"/>
    <x v="19"/>
    <x v="2"/>
    <x v="0"/>
    <m/>
    <s v="Q1"/>
    <s v="Validar con la operación si este requerimiento puede esperar a la nueva versión de maxpoint"/>
    <s v="BAJA"/>
    <n v="1"/>
    <n v="5"/>
    <n v="2"/>
    <n v="550"/>
    <m/>
    <n v="5500"/>
    <m/>
    <m/>
    <m/>
    <m/>
    <d v="1899-12-30T00:00:00"/>
    <m/>
    <m/>
    <d v="1899-12-30T00:00:00"/>
    <m/>
    <m/>
    <x v="9"/>
    <x v="1"/>
    <n v="1.25"/>
    <n v="0"/>
    <m/>
    <m/>
    <m/>
    <m/>
  </r>
  <r>
    <s v="2024"/>
    <x v="4"/>
    <m/>
    <x v="227"/>
    <m/>
    <s v="Control de Cupos en Fiona, desarrollo de BOT en SAP para Generación de Asientos y Debitos en Rol para Payroll"/>
    <m/>
    <x v="0"/>
    <m/>
    <s v="CAR"/>
    <x v="0"/>
    <s v="Rodrigo Burbano"/>
    <x v="23"/>
    <x v="2"/>
    <x v="0"/>
    <m/>
    <m/>
    <m/>
    <s v="MEDIA"/>
    <m/>
    <n v="10"/>
    <n v="1"/>
    <n v="550"/>
    <m/>
    <n v="6140"/>
    <m/>
    <m/>
    <m/>
    <m/>
    <e v="#REF!"/>
    <m/>
    <m/>
    <d v="1899-12-30T00:00:00"/>
    <m/>
    <m/>
    <x v="9"/>
    <x v="1"/>
    <n v="2.5"/>
    <n v="0"/>
    <m/>
    <m/>
    <m/>
    <m/>
  </r>
  <r>
    <s v="2024"/>
    <x v="5"/>
    <m/>
    <x v="228"/>
    <m/>
    <s v="Mediante este desarollo se optimizara el cubicaje del camión y"/>
    <m/>
    <x v="0"/>
    <s v="Control Ocupación Camiones"/>
    <s v="PLANTA"/>
    <x v="0"/>
    <s v="Diego Díaz "/>
    <x v="25"/>
    <x v="2"/>
    <x v="0"/>
    <s v="Q2"/>
    <s v="Q2"/>
    <m/>
    <s v="MEDIA"/>
    <n v="1"/>
    <n v="1"/>
    <n v="2"/>
    <n v="1100"/>
    <m/>
    <n v="2200"/>
    <m/>
    <m/>
    <d v="2024-02-07T00:00:00"/>
    <d v="2024-03-07T00:00:00"/>
    <n v="29"/>
    <d v="2024-03-07T00:00:00"/>
    <d v="2024-03-14T00:00:00"/>
    <n v="7"/>
    <d v="2024-03-14T00:00:00"/>
    <d v="2024-03-21T00:00:00"/>
    <x v="35"/>
    <x v="57"/>
    <n v="0.25"/>
    <n v="7"/>
    <m/>
    <m/>
    <m/>
    <m/>
  </r>
  <r>
    <s v="2024"/>
    <x v="2"/>
    <s v="APP"/>
    <x v="229"/>
    <s v="MXP LEGACY_x000a_TRADE"/>
    <s v="Aplica para KFC Ecuador, cuando el motorizado llegue a la casa del cliente"/>
    <s v="BAJA"/>
    <x v="0"/>
    <s v="Funcionalidades Locales"/>
    <s v="OPER"/>
    <x v="0"/>
    <s v="Vladimir Salazar"/>
    <x v="26"/>
    <x v="1"/>
    <x v="0"/>
    <m/>
    <s v="Q3"/>
    <s v="p59"/>
    <s v="ALTA"/>
    <m/>
    <n v="8"/>
    <n v="1"/>
    <n v="550"/>
    <m/>
    <n v="5040"/>
    <m/>
    <m/>
    <d v="2024-09-02T00:00:00"/>
    <d v="2024-09-23T00:00:00"/>
    <n v="21"/>
    <d v="2024-09-23T00:00:00"/>
    <d v="2024-09-30T00:00:00"/>
    <n v="364471"/>
    <d v="2024-09-30T00:00:00"/>
    <d v="2024-10-07T00:00:00"/>
    <x v="47"/>
    <x v="75"/>
    <n v="2"/>
    <n v="7"/>
    <m/>
    <m/>
    <m/>
    <m/>
  </r>
  <r>
    <s v="2024"/>
    <x v="0"/>
    <m/>
    <x v="230"/>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x v="0"/>
    <s v="Celula Operaciones Maxpoint 2024"/>
    <s v="OPER"/>
    <x v="0"/>
    <s v="Sebastián Jara"/>
    <x v="0"/>
    <x v="2"/>
    <x v="0"/>
    <m/>
    <s v="Q3"/>
    <m/>
    <s v="BAJA"/>
    <n v="1"/>
    <n v="5"/>
    <n v="1"/>
    <n v="550"/>
    <m/>
    <n v="3330"/>
    <m/>
    <m/>
    <d v="2024-08-05T00:00:00"/>
    <d v="2024-09-09T00:00:00"/>
    <e v="#REF!"/>
    <d v="2024-09-10T00:00:00"/>
    <d v="2024-09-24T00:00:00"/>
    <d v="2897-08-13T00:00:00"/>
    <d v="2024-09-25T00:00:00"/>
    <d v="2024-10-09T00:00:00"/>
    <x v="56"/>
    <x v="65"/>
    <n v="1.25"/>
    <n v="14"/>
    <m/>
    <m/>
    <m/>
    <m/>
  </r>
  <r>
    <s v="2024"/>
    <x v="0"/>
    <m/>
    <x v="231"/>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x v="0"/>
    <s v="Celula Operaciones Maxpoint 2024"/>
    <s v="OPER"/>
    <x v="0"/>
    <s v="Sebastián Jara"/>
    <x v="0"/>
    <x v="2"/>
    <x v="0"/>
    <m/>
    <s v="Q3"/>
    <m/>
    <s v="BAJA"/>
    <n v="1"/>
    <n v="4"/>
    <n v="2"/>
    <n v="550"/>
    <m/>
    <n v="4980"/>
    <m/>
    <m/>
    <d v="2024-08-19T00:00:00"/>
    <d v="2024-09-23T00:00:00"/>
    <e v="#REF!"/>
    <d v="2024-09-24T00:00:00"/>
    <d v="2024-10-08T00:00:00"/>
    <d v="2897-12-03T00:00:00"/>
    <d v="2024-10-09T00:00:00"/>
    <d v="2024-10-23T00:00:00"/>
    <x v="68"/>
    <x v="111"/>
    <d v="1899-12-31T00:00:00"/>
    <n v="14"/>
    <m/>
    <m/>
    <m/>
    <m/>
  </r>
  <r>
    <s v="2024"/>
    <x v="0"/>
    <m/>
    <x v="194"/>
    <m/>
    <s v="Desarrollo de nueva versión de turnero para solucionar problemas en el counter (ligado con la implementación de KDS)"/>
    <m/>
    <x v="3"/>
    <s v="Funcionalidades Regionales"/>
    <s v="REGIONAL"/>
    <x v="3"/>
    <s v="William Villegas"/>
    <x v="9"/>
    <x v="1"/>
    <x v="0"/>
    <m/>
    <s v="Q2"/>
    <m/>
    <s v="MEDIA"/>
    <n v="1"/>
    <n v="4"/>
    <n v="1"/>
    <n v="625"/>
    <m/>
    <n v="2500"/>
    <m/>
    <m/>
    <d v="2024-04-01T00:00:00"/>
    <d v="2024-04-12T00:00:00"/>
    <e v="#REF!"/>
    <d v="2024-04-15T00:00:00"/>
    <d v="2024-04-19T00:00:00"/>
    <d v="2894-05-07T00:00:00"/>
    <d v="2024-04-22T00:00:00"/>
    <d v="2024-04-26T00:00:00"/>
    <x v="11"/>
    <x v="32"/>
    <n v="1"/>
    <n v="4"/>
    <m/>
    <m/>
    <m/>
    <m/>
  </r>
  <r>
    <s v="2023"/>
    <x v="0"/>
    <m/>
    <x v="194"/>
    <m/>
    <s v="Compromiso Matriz Regional  (Chile Argentina)"/>
    <m/>
    <x v="3"/>
    <s v="Funcionalidades Regionales"/>
    <s v="REGIONAL"/>
    <x v="4"/>
    <s v="Davis Nuñez / Adrian Gadja"/>
    <x v="13"/>
    <x v="1"/>
    <x v="2"/>
    <m/>
    <s v="Q1"/>
    <s v="programadores en Angular"/>
    <s v="MEDIA"/>
    <n v="1"/>
    <n v="3"/>
    <n v="1"/>
    <n v="625"/>
    <m/>
    <n v="1875"/>
    <m/>
    <m/>
    <d v="2024-02-05T00:00:00"/>
    <d v="2024-02-23T00:00:00"/>
    <e v="#REF!"/>
    <d v="2024-02-26T00:00:00"/>
    <d v="2024-03-01T00:00:00"/>
    <d v="2893-04-10T00:00:00"/>
    <d v="2024-03-04T00:00:00"/>
    <d v="2024-03-08T00:00:00"/>
    <x v="69"/>
    <x v="112"/>
    <n v="0.75"/>
    <n v="4"/>
    <s v="PROYECTO REGIONAL"/>
    <m/>
    <m/>
    <m/>
  </r>
  <r>
    <s v="2024"/>
    <x v="2"/>
    <s v="Appedir"/>
    <x v="232"/>
    <s v="MXP LEGACY_x000a_TRADE"/>
    <s v="Configurar el envío de menú Upsell y crosssell en APPEDIR"/>
    <s v="MEDIA"/>
    <x v="0"/>
    <s v="Proyectos TD 2024"/>
    <s v="CAR"/>
    <x v="0"/>
    <s v="Daniel Barreno"/>
    <x v="4"/>
    <x v="1"/>
    <x v="0"/>
    <s v="Q1"/>
    <s v="Q2"/>
    <m/>
    <s v="MEDIA"/>
    <m/>
    <n v="5"/>
    <n v="1"/>
    <n v="550"/>
    <m/>
    <n v="3390"/>
    <m/>
    <m/>
    <d v="2024-04-15T00:00:00"/>
    <d v="2024-05-06T00:00:00"/>
    <n v="21"/>
    <d v="2024-05-06T00:00:00"/>
    <d v="2024-05-13T00:00:00"/>
    <n v="363351"/>
    <d v="2024-05-13T00:00:00"/>
    <d v="2024-05-20T00:00:00"/>
    <x v="15"/>
    <x v="12"/>
    <n v="1.25"/>
    <n v="7"/>
    <s v="ECOMERCE"/>
    <m/>
    <s v="x"/>
    <m/>
  </r>
  <r>
    <s v="2024"/>
    <x v="0"/>
    <m/>
    <x v="233"/>
    <s v="MXP 2.0"/>
    <s v="Generar un reporte en MAX POINT, donde se pueda visulizar los retiros, arqueos y desmotanjes por usuarios. "/>
    <m/>
    <x v="0"/>
    <s v="Mejoras Maxpoint Auditoría 2024"/>
    <s v="CAR"/>
    <x v="0"/>
    <s v="Vladimir Morillo"/>
    <x v="2"/>
    <x v="2"/>
    <x v="0"/>
    <n v="1"/>
    <s v="Q2"/>
    <m/>
    <s v="BAJA"/>
    <n v="1"/>
    <n v="3"/>
    <n v="1"/>
    <n v="550"/>
    <m/>
    <n v="2230"/>
    <m/>
    <m/>
    <d v="2024-05-06T00:00:00"/>
    <d v="2024-05-27T00:00:00"/>
    <d v="1900-01-20T00:00:00"/>
    <d v="2024-05-18T00:00:00"/>
    <d v="2024-06-11T00:00:00"/>
    <d v="2895-02-15T00:00:00"/>
    <d v="2024-06-12T00:00:00"/>
    <d v="2024-06-26T00:00:00"/>
    <x v="16"/>
    <x v="74"/>
    <n v="0.75"/>
    <n v="14"/>
    <m/>
    <m/>
    <m/>
    <m/>
  </r>
  <r>
    <s v="2024"/>
    <x v="0"/>
    <m/>
    <x v="234"/>
    <m/>
    <s v="Al reporte de transacciones MAX POINT,  Incluir UN REPORTE DE LA VENTA DE BASKIN Y CINNABON con todas las transacciones"/>
    <m/>
    <x v="0"/>
    <s v="Mejoras Maxpoint Auditoría 2024"/>
    <s v="CAR"/>
    <x v="0"/>
    <s v="Vladimir Morillo"/>
    <x v="2"/>
    <x v="2"/>
    <x v="0"/>
    <s v="Q2"/>
    <s v="Q2"/>
    <m/>
    <s v="BAJA"/>
    <n v="1"/>
    <n v="3"/>
    <n v="1"/>
    <n v="550"/>
    <m/>
    <n v="2230"/>
    <m/>
    <m/>
    <d v="2024-06-25T00:00:00"/>
    <d v="2024-07-16T00:00:00"/>
    <d v="1900-01-20T00:00:00"/>
    <d v="2024-07-17T00:00:00"/>
    <d v="2024-07-31T00:00:00"/>
    <d v="2896-05-30T00:00:00"/>
    <d v="2024-08-01T00:00:00"/>
    <d v="2024-08-15T00:00:00"/>
    <x v="70"/>
    <x v="50"/>
    <n v="0.75"/>
    <n v="14"/>
    <m/>
    <m/>
    <m/>
    <m/>
  </r>
  <r>
    <s v="2024"/>
    <x v="0"/>
    <m/>
    <x v="235"/>
    <s v="MXP 2.0"/>
    <s v="Nuevo servicio de tarjetas por api netcore"/>
    <m/>
    <x v="0"/>
    <s v="Servicio de tarjetas en netCore"/>
    <s v="OPER"/>
    <x v="0"/>
    <s v="José Fernandez"/>
    <x v="0"/>
    <x v="2"/>
    <x v="0"/>
    <m/>
    <s v="Q2"/>
    <m/>
    <s v="ALTA"/>
    <n v="1"/>
    <n v="8"/>
    <n v="2"/>
    <n v="550"/>
    <m/>
    <n v="27000"/>
    <m/>
    <m/>
    <d v="2024-04-01T00:00:00"/>
    <d v="2024-05-27T00:00:00"/>
    <d v="1900-02-24T00:00:00"/>
    <d v="2024-05-28T00:00:00"/>
    <d v="2024-06-11T00:00:00"/>
    <d v="2895-04-26T00:00:00"/>
    <d v="2024-06-12T00:00:00"/>
    <d v="2024-07-10T00:00:00"/>
    <x v="11"/>
    <x v="41"/>
    <n v="2"/>
    <n v="28"/>
    <s v="Identificado Grupo de Soporte"/>
    <m/>
    <m/>
    <m/>
  </r>
  <r>
    <s v="2024"/>
    <x v="0"/>
    <m/>
    <x v="236"/>
    <s v="MXP 2.0"/>
    <s v="Ver Anexo A2"/>
    <m/>
    <x v="0"/>
    <s v="Celula Operaciones Maxpoint 2024"/>
    <s v="OPER"/>
    <x v="0"/>
    <s v="Sandra Paillacho"/>
    <x v="0"/>
    <x v="2"/>
    <x v="0"/>
    <m/>
    <s v="Q2"/>
    <m/>
    <s v="MEDIA"/>
    <n v="1"/>
    <n v="5"/>
    <n v="2"/>
    <n v="550"/>
    <m/>
    <n v="6080"/>
    <m/>
    <m/>
    <d v="2024-04-01T00:00:00"/>
    <d v="2024-05-06T00:00:00"/>
    <e v="#REF!"/>
    <d v="2024-05-07T00:00:00"/>
    <d v="2024-05-21T00:00:00"/>
    <d v="2894-11-09T00:00:00"/>
    <d v="2024-05-22T00:00:00"/>
    <d v="2024-06-05T00:00:00"/>
    <x v="11"/>
    <x v="12"/>
    <n v="1.25"/>
    <n v="14"/>
    <m/>
    <m/>
    <m/>
    <m/>
  </r>
  <r>
    <s v="2024"/>
    <x v="0"/>
    <m/>
    <x v="237"/>
    <m/>
    <s v="El negocio requiere añadir a su flujo de facturación el incremento del secuencial de facturas simplificadas centralizado por empresa."/>
    <m/>
    <x v="0"/>
    <m/>
    <s v="REGIONAL"/>
    <x v="5"/>
    <s v="Jeison Caguana"/>
    <x v="22"/>
    <x v="1"/>
    <x v="0"/>
    <m/>
    <s v="Q1"/>
    <m/>
    <s v="ALTA"/>
    <n v="1"/>
    <n v="4"/>
    <n v="1"/>
    <n v="625"/>
    <m/>
    <n v="2500"/>
    <m/>
    <m/>
    <d v="2024-03-03T00:00:00"/>
    <d v="2024-03-15T00:00:00"/>
    <e v="#REF!"/>
    <d v="2024-03-18T00:00:00"/>
    <d v="2024-03-22T00:00:00"/>
    <d v="2893-09-25T00:00:00"/>
    <d v="2024-03-25T00:00:00"/>
    <d v="2024-03-29T00:00:00"/>
    <x v="71"/>
    <x v="63"/>
    <n v="1"/>
    <n v="4"/>
    <m/>
    <m/>
    <m/>
    <m/>
  </r>
  <r>
    <s v="2024"/>
    <x v="0"/>
    <m/>
    <x v="238"/>
    <m/>
    <s v="Reportes a pedido de auditoría"/>
    <m/>
    <x v="0"/>
    <s v="Funcionalidades Locales"/>
    <s v="REGIONAL"/>
    <x v="3"/>
    <s v="William Villegas"/>
    <x v="9"/>
    <x v="1"/>
    <x v="0"/>
    <m/>
    <s v="Q2"/>
    <m/>
    <s v="BAJA"/>
    <n v="1"/>
    <n v="4"/>
    <n v="2"/>
    <n v="625"/>
    <m/>
    <n v="5000"/>
    <m/>
    <m/>
    <d v="2024-04-01T00:00:00"/>
    <d v="2024-04-12T00:00:00"/>
    <e v="#REF!"/>
    <d v="2024-04-15T00:00:00"/>
    <d v="2024-04-19T00:00:00"/>
    <d v="2894-05-07T00:00:00"/>
    <d v="2024-04-22T00:00:00"/>
    <d v="2024-04-26T00:00:00"/>
    <x v="11"/>
    <x v="32"/>
    <d v="1899-12-31T00:00:00"/>
    <n v="4"/>
    <m/>
    <m/>
    <m/>
    <m/>
  </r>
  <r>
    <s v="2024"/>
    <x v="5"/>
    <m/>
    <x v="239"/>
    <m/>
    <s v="Mejorar los desarrollos en SAP"/>
    <m/>
    <x v="1"/>
    <s v="Mejorar los desarrollos en SAP"/>
    <s v="DSI"/>
    <x v="0"/>
    <s v="Juan Alejadro"/>
    <x v="1"/>
    <x v="2"/>
    <x v="0"/>
    <s v="Q3"/>
    <s v="Q3"/>
    <m/>
    <s v="ALTA"/>
    <n v="1"/>
    <n v="24"/>
    <n v="2"/>
    <n v="500"/>
    <m/>
    <n v="24000"/>
    <m/>
    <m/>
    <d v="2024-02-28T00:00:00"/>
    <d v="2024-08-28T00:00:00"/>
    <n v="182"/>
    <m/>
    <m/>
    <n v="0"/>
    <m/>
    <m/>
    <x v="72"/>
    <x v="1"/>
    <n v="6"/>
    <n v="0"/>
    <s v="PROYECTO REGIONAL"/>
    <m/>
    <m/>
    <m/>
  </r>
  <r>
    <s v="2024"/>
    <x v="0"/>
    <m/>
    <x v="240"/>
    <s v="MXP 2.0"/>
    <s v="Ver Anexo A2_x000a_Al ingresar a max point tarda en cargar para el ingreso de claves"/>
    <m/>
    <x v="0"/>
    <s v="Celula Operaciones Maxpoint 2024"/>
    <s v="OPER"/>
    <x v="0"/>
    <s v="Sandra Paillacho"/>
    <x v="0"/>
    <x v="2"/>
    <x v="0"/>
    <n v="1"/>
    <s v="Q2"/>
    <m/>
    <s v="BAJA"/>
    <n v="1"/>
    <n v="3"/>
    <n v="1"/>
    <n v="550"/>
    <m/>
    <n v="2230"/>
    <m/>
    <m/>
    <d v="2024-05-02T00:00:00"/>
    <d v="2024-05-30T00:00:00"/>
    <d v="2024-05-31T00:00:00"/>
    <d v="2024-06-14T00:00:00"/>
    <d v="2024-06-15T00:00:00"/>
    <d v="2024-06-29T00:00:00"/>
    <d v="2024-05-08T00:00:00"/>
    <d v="2024-05-22T00:00:00"/>
    <x v="52"/>
    <x v="42"/>
    <n v="0.75"/>
    <n v="14"/>
    <s v="Célula Operaciones"/>
    <m/>
    <m/>
    <m/>
  </r>
  <r>
    <s v="2024"/>
    <x v="0"/>
    <m/>
    <x v="241"/>
    <s v="MXP 2.0"/>
    <s v="Ver Anexo A2_x000a_No hay busqueda compleja de productos por nombres "/>
    <m/>
    <x v="0"/>
    <s v="Celula Operaciones Maxpoint 2024"/>
    <s v="OPER"/>
    <x v="0"/>
    <s v="Sandra Paillacho"/>
    <x v="0"/>
    <x v="2"/>
    <x v="0"/>
    <n v="4"/>
    <s v="Q3"/>
    <m/>
    <s v="BAJA"/>
    <n v="1"/>
    <n v="2"/>
    <n v="1"/>
    <n v="550"/>
    <m/>
    <n v="1680"/>
    <m/>
    <m/>
    <d v="2024-07-01T00:00:00"/>
    <d v="2024-08-05T00:00:00"/>
    <d v="2024-08-06T00:00:00"/>
    <d v="2024-08-20T00:00:00"/>
    <d v="2024-08-21T00:00:00"/>
    <d v="2024-09-04T00:00:00"/>
    <d v="2024-06-19T00:00:00"/>
    <d v="2024-07-03T00:00:00"/>
    <x v="19"/>
    <x v="84"/>
    <n v="0.5"/>
    <n v="14"/>
    <s v="Célula Operaciones"/>
    <m/>
    <m/>
    <m/>
  </r>
  <r>
    <n v="2024"/>
    <x v="5"/>
    <m/>
    <x v="242"/>
    <m/>
    <s v="Mejorar, Optimizar los tableros existentes de RPA"/>
    <m/>
    <x v="0"/>
    <s v="Mantenimiento procesos RPA"/>
    <s v="CAR"/>
    <x v="0"/>
    <s v="Amparo Aleman"/>
    <x v="15"/>
    <x v="2"/>
    <x v="0"/>
    <s v="Q3"/>
    <s v="Q3"/>
    <m/>
    <s v="MEDIA"/>
    <n v="1"/>
    <n v="24"/>
    <n v="1"/>
    <n v="150"/>
    <m/>
    <n v="3600"/>
    <m/>
    <m/>
    <d v="2024-04-01T00:00:00"/>
    <d v="2024-10-31T00:00:00"/>
    <n v="213"/>
    <m/>
    <m/>
    <d v="1899-12-30T00:00:00"/>
    <m/>
    <m/>
    <x v="11"/>
    <x v="1"/>
    <n v="6"/>
    <n v="0"/>
    <m/>
    <m/>
    <m/>
    <m/>
  </r>
  <r>
    <s v="2024"/>
    <x v="1"/>
    <m/>
    <x v="243"/>
    <m/>
    <s v="Creación de ordenes de compra en SIR para proveedores externos, validar integración con proveedor y solicitud de productos por sabores"/>
    <m/>
    <x v="0"/>
    <s v="Mejoras Contabilidad"/>
    <s v="CAR"/>
    <x v="0"/>
    <s v="Diego Díaz"/>
    <x v="10"/>
    <x v="2"/>
    <x v="0"/>
    <s v="ALTA"/>
    <s v="Q2"/>
    <m/>
    <s v="MEDIA"/>
    <m/>
    <n v="5"/>
    <n v="2"/>
    <n v="450"/>
    <m/>
    <n v="5140"/>
    <m/>
    <m/>
    <d v="2024-04-29T00:00:00"/>
    <d v="2024-05-24T00:00:00"/>
    <e v="#REF!"/>
    <d v="2024-05-21T00:00:00"/>
    <d v="2024-05-31T00:00:00"/>
    <d v="2895-02-25T00:00:00"/>
    <m/>
    <d v="2024-05-31T00:00:00"/>
    <x v="34"/>
    <x v="13"/>
    <n v="1.25"/>
    <n v="45443"/>
    <m/>
    <m/>
    <m/>
    <m/>
  </r>
  <r>
    <s v="2024"/>
    <x v="2"/>
    <s v="Tracking"/>
    <x v="244"/>
    <s v="MXP LEGACY_x000a_TRADE"/>
    <s v="Aplica para KFC Ecuador"/>
    <s v="BAJA"/>
    <x v="0"/>
    <s v="Funcionalidades Locales"/>
    <s v="OPER"/>
    <x v="0"/>
    <s v="Vladimir Salazar"/>
    <x v="26"/>
    <x v="1"/>
    <x v="0"/>
    <m/>
    <s v="Q3"/>
    <s v="p58"/>
    <s v="ALTA"/>
    <m/>
    <n v="8"/>
    <n v="1"/>
    <n v="550"/>
    <m/>
    <n v="5040"/>
    <m/>
    <m/>
    <d v="2024-08-12T00:00:00"/>
    <d v="2024-09-23T00:00:00"/>
    <n v="42"/>
    <d v="2024-09-23T00:00:00"/>
    <d v="2024-09-30T00:00:00"/>
    <n v="364471"/>
    <d v="2024-09-30T00:00:00"/>
    <d v="2024-10-07T00:00:00"/>
    <x v="12"/>
    <x v="81"/>
    <n v="2"/>
    <n v="7"/>
    <m/>
    <m/>
    <m/>
    <m/>
  </r>
  <r>
    <s v="2023"/>
    <x v="5"/>
    <m/>
    <x v="245"/>
    <m/>
    <m/>
    <m/>
    <x v="0"/>
    <s v="Respaldo Digital Mayor Contable"/>
    <s v="CAR"/>
    <x v="0"/>
    <s v="Diego Díaz"/>
    <x v="10"/>
    <x v="1"/>
    <x v="1"/>
    <s v="Q2"/>
    <s v="Q2"/>
    <m/>
    <s v="ALTA"/>
    <n v="1"/>
    <m/>
    <m/>
    <m/>
    <m/>
    <n v="0"/>
    <m/>
    <m/>
    <m/>
    <m/>
    <n v="0"/>
    <m/>
    <m/>
    <n v="0"/>
    <m/>
    <m/>
    <x v="9"/>
    <x v="1"/>
    <d v="1899-12-30T00:00:00"/>
    <n v="0"/>
    <m/>
    <m/>
    <m/>
    <m/>
  </r>
  <r>
    <s v="2024"/>
    <x v="3"/>
    <m/>
    <x v="246"/>
    <m/>
    <s v="Implementación de Payrol e Integraciones, Se puso un macro pero este proyecto maneja los costos de Dennis y Sabri"/>
    <m/>
    <x v="0"/>
    <s v="Funcionalidades Locales"/>
    <s v="DSI"/>
    <x v="2"/>
    <s v="Jhustin Vergara"/>
    <x v="6"/>
    <x v="1"/>
    <x v="1"/>
    <m/>
    <s v="Q2"/>
    <m/>
    <s v="ALTA"/>
    <n v="0"/>
    <n v="32"/>
    <n v="2"/>
    <n v="700"/>
    <m/>
    <n v="0"/>
    <m/>
    <m/>
    <d v="2024-04-01T00:00:00"/>
    <d v="2024-12-14T00:00:00"/>
    <e v="#REF!"/>
    <d v="2024-12-14T00:00:00"/>
    <d v="2024-12-21T00:00:00"/>
    <n v="365127"/>
    <d v="2024-12-21T00:00:00"/>
    <d v="2024-12-28T00:00:00"/>
    <x v="11"/>
    <x v="113"/>
    <d v="1900-01-07T00:00:00"/>
    <n v="7"/>
    <s v="Cancelado el 40%"/>
    <m/>
    <m/>
    <m/>
  </r>
  <r>
    <s v="2024"/>
    <x v="3"/>
    <m/>
    <x v="247"/>
    <m/>
    <s v="Redimencionamiento de requerimiento para control de cupos en Planta"/>
    <m/>
    <x v="0"/>
    <s v="Talento Humano Planta"/>
    <s v="PLANTA"/>
    <x v="0"/>
    <s v="Diego Díaz "/>
    <x v="12"/>
    <x v="2"/>
    <x v="0"/>
    <m/>
    <s v="Q3"/>
    <m/>
    <s v="MEDIA"/>
    <n v="1"/>
    <n v="5"/>
    <n v="1"/>
    <n v="550"/>
    <m/>
    <n v="2750"/>
    <m/>
    <m/>
    <d v="2024-07-01T00:00:00"/>
    <d v="2024-08-01T00:00:00"/>
    <n v="31"/>
    <d v="2024-08-01T00:00:00"/>
    <d v="2024-08-07T00:00:00"/>
    <n v="6"/>
    <d v="2024-08-07T00:00:00"/>
    <d v="2024-08-14T00:00:00"/>
    <x v="19"/>
    <x v="98"/>
    <n v="1.25"/>
    <n v="7"/>
    <m/>
    <m/>
    <m/>
    <m/>
  </r>
  <r>
    <s v="2024"/>
    <x v="3"/>
    <m/>
    <x v="248"/>
    <m/>
    <s v="Generar aplicación para dar seguimiento reclamos a proveedores, conexión con SAP para obtener código de material y código de proveedor"/>
    <m/>
    <x v="0"/>
    <s v="Calidad Planta"/>
    <s v="CAR"/>
    <x v="0"/>
    <s v="Verónica Ramos"/>
    <x v="27"/>
    <x v="2"/>
    <x v="0"/>
    <m/>
    <s v="Q3"/>
    <m/>
    <s v="MEDIA"/>
    <m/>
    <n v="15"/>
    <n v="1"/>
    <n v="550"/>
    <m/>
    <n v="8890"/>
    <m/>
    <m/>
    <d v="2024-07-01T00:00:00"/>
    <d v="2024-09-14T00:00:00"/>
    <e v="#REF!"/>
    <d v="2024-09-14T00:00:00"/>
    <d v="2024-09-21T00:00:00"/>
    <d v="2897-09-07T00:00:00"/>
    <d v="2024-09-21T00:00:00"/>
    <d v="2024-10-01T00:00:00"/>
    <x v="19"/>
    <x v="114"/>
    <n v="3.75"/>
    <n v="10"/>
    <m/>
    <m/>
    <m/>
    <m/>
  </r>
  <r>
    <s v="2024"/>
    <x v="2"/>
    <s v="APP"/>
    <x v="249"/>
    <s v="MXP LEGACY_x000a_TRADE"/>
    <s v="Receptar pedidos "/>
    <s v="BAJA"/>
    <x v="0"/>
    <s v="Proyectos TD 2024"/>
    <s v="CAR"/>
    <x v="0"/>
    <s v="Daniel Barreno"/>
    <x v="4"/>
    <x v="1"/>
    <x v="0"/>
    <s v="Q3"/>
    <s v="Q4"/>
    <s v="p48"/>
    <s v="ALTA"/>
    <m/>
    <n v="12"/>
    <n v="2"/>
    <n v="550"/>
    <m/>
    <n v="13840"/>
    <m/>
    <m/>
    <d v="2024-10-21T00:00:00"/>
    <d v="2024-11-25T00:00:00"/>
    <n v="35"/>
    <d v="2024-11-25T00:00:00"/>
    <d v="2024-12-09T00:00:00"/>
    <n v="364982"/>
    <d v="2024-12-09T00:00:00"/>
    <d v="2024-12-16T00:00:00"/>
    <x v="14"/>
    <x v="115"/>
    <n v="3"/>
    <n v="7"/>
    <s v="ECOMERCE"/>
    <m/>
    <m/>
    <m/>
  </r>
  <r>
    <s v="2023"/>
    <x v="1"/>
    <m/>
    <x v="250"/>
    <m/>
    <s v="Ver Anexo A4"/>
    <m/>
    <x v="0"/>
    <s v="Célula de Operaciones SIR 2023"/>
    <s v="OPER"/>
    <x v="0"/>
    <s v="Sandra Pailacho"/>
    <x v="0"/>
    <x v="1"/>
    <x v="0"/>
    <n v="8"/>
    <s v="Q2"/>
    <m/>
    <s v="ALTA"/>
    <m/>
    <n v="3"/>
    <n v="5"/>
    <n v="400"/>
    <m/>
    <n v="6640"/>
    <m/>
    <m/>
    <m/>
    <m/>
    <e v="#REF!"/>
    <m/>
    <m/>
    <d v="1899-12-30T00:00:00"/>
    <m/>
    <m/>
    <x v="9"/>
    <x v="1"/>
    <n v="0.75"/>
    <n v="0"/>
    <s v="Célula Operaciones"/>
    <m/>
    <m/>
    <m/>
  </r>
  <r>
    <s v="2023"/>
    <x v="1"/>
    <m/>
    <x v="251"/>
    <m/>
    <s v="Ver Anexo A4"/>
    <m/>
    <x v="0"/>
    <s v="Célula de Operaciones SIR 2024"/>
    <s v="OPER"/>
    <x v="0"/>
    <s v="Sandra Pailacho"/>
    <x v="0"/>
    <x v="2"/>
    <x v="0"/>
    <n v="20"/>
    <s v="Q4"/>
    <m/>
    <s v="ALTA"/>
    <m/>
    <n v="8"/>
    <n v="1"/>
    <n v="400"/>
    <m/>
    <n v="3840"/>
    <m/>
    <m/>
    <m/>
    <m/>
    <e v="#REF!"/>
    <m/>
    <m/>
    <d v="1899-12-30T00:00:00"/>
    <m/>
    <m/>
    <x v="9"/>
    <x v="1"/>
    <n v="2"/>
    <n v="0"/>
    <m/>
    <m/>
    <m/>
    <m/>
  </r>
  <r>
    <s v="2024"/>
    <x v="0"/>
    <m/>
    <x v="252"/>
    <s v="MXP 2.0"/>
    <s v="Ver Anexo A2_x000a_Al realizar facturas hay cedulas de extranjeros que no permite ingresar"/>
    <m/>
    <x v="0"/>
    <s v="Celula Operaciones Maxpoint 2024"/>
    <s v="OPER"/>
    <x v="0"/>
    <s v="Sandra Paillacho"/>
    <x v="0"/>
    <x v="2"/>
    <x v="0"/>
    <n v="3"/>
    <s v="Q2"/>
    <m/>
    <s v="BAJA"/>
    <n v="1"/>
    <n v="4"/>
    <n v="1"/>
    <n v="550"/>
    <m/>
    <n v="2780"/>
    <m/>
    <m/>
    <d v="2024-05-06T00:00:00"/>
    <d v="2024-05-27T00:00:00"/>
    <d v="2024-05-28T00:00:00"/>
    <d v="2024-06-11T00:00:00"/>
    <d v="2024-06-12T00:00:00"/>
    <d v="2024-06-26T00:00:00"/>
    <d v="2024-05-15T00:00:00"/>
    <d v="2024-05-29T00:00:00"/>
    <x v="16"/>
    <x v="18"/>
    <n v="1"/>
    <n v="14"/>
    <s v="Célula Operaciones"/>
    <m/>
    <m/>
    <m/>
  </r>
  <r>
    <s v="2024"/>
    <x v="5"/>
    <m/>
    <x v="253"/>
    <m/>
    <s v="Contar con sistema de despacho mediante consolidacion de lotes Packing"/>
    <m/>
    <x v="0"/>
    <s v="Optimización Procesos Plantas"/>
    <s v="PLANTA"/>
    <x v="0"/>
    <s v="Diego Díaz "/>
    <x v="28"/>
    <x v="2"/>
    <x v="0"/>
    <s v="Q2"/>
    <s v="Q3"/>
    <m/>
    <s v="MEDIA"/>
    <n v="1"/>
    <n v="3"/>
    <n v="2"/>
    <n v="1100"/>
    <m/>
    <n v="6600"/>
    <m/>
    <m/>
    <m/>
    <m/>
    <n v="0"/>
    <m/>
    <m/>
    <n v="0"/>
    <m/>
    <m/>
    <x v="9"/>
    <x v="1"/>
    <n v="0.75"/>
    <n v="0"/>
    <m/>
    <m/>
    <m/>
    <m/>
  </r>
  <r>
    <s v="2024"/>
    <x v="2"/>
    <s v="Motorizado Delivery"/>
    <x v="254"/>
    <s v="MXP LEGACY"/>
    <s v="Nuevo Requerimiento (Ya levantado a Juan Daniel, documentación adjunta)"/>
    <s v="MEDIA"/>
    <x v="0"/>
    <s v="Funcionalidades Regionales"/>
    <s v="DSI"/>
    <x v="4"/>
    <s v="Davis Nuñez"/>
    <x v="1"/>
    <x v="1"/>
    <x v="0"/>
    <m/>
    <s v="Q3"/>
    <m/>
    <s v="ALTA"/>
    <n v="1"/>
    <n v="10"/>
    <n v="3"/>
    <n v="625"/>
    <m/>
    <n v="18750"/>
    <m/>
    <m/>
    <d v="2024-07-15T00:00:00"/>
    <d v="2024-07-22T00:00:00"/>
    <n v="7"/>
    <d v="2024-07-22T00:00:00"/>
    <d v="2024-07-29T00:00:00"/>
    <n v="363967"/>
    <d v="2024-07-29T00:00:00"/>
    <d v="2024-08-19T00:00:00"/>
    <x v="33"/>
    <x v="116"/>
    <n v="2.5"/>
    <n v="21"/>
    <m/>
    <m/>
    <m/>
    <m/>
  </r>
  <r>
    <s v="2024"/>
    <x v="5"/>
    <m/>
    <x v="255"/>
    <m/>
    <s v="Implementar la Planificación de Producción para Plantas (Master Production Schedule)"/>
    <m/>
    <x v="0"/>
    <s v="Implementacion Modelo MPS Plantas"/>
    <s v="PLANTA"/>
    <x v="0"/>
    <s v="Diego Díaz "/>
    <x v="29"/>
    <x v="2"/>
    <x v="0"/>
    <s v="Q3"/>
    <s v="Q3"/>
    <m/>
    <s v="MEDIA"/>
    <n v="1"/>
    <n v="6"/>
    <n v="1"/>
    <n v="1100"/>
    <m/>
    <n v="6600"/>
    <m/>
    <m/>
    <d v="2024-04-07T00:00:00"/>
    <d v="2024-05-28T00:00:00"/>
    <n v="51"/>
    <d v="2024-05-28T00:00:00"/>
    <d v="2024-05-28T00:00:00"/>
    <n v="0"/>
    <d v="2024-05-28T00:00:00"/>
    <d v="2024-06-28T00:00:00"/>
    <x v="30"/>
    <x v="19"/>
    <n v="1.5"/>
    <n v="31"/>
    <m/>
    <m/>
    <m/>
    <m/>
  </r>
  <r>
    <s v="2024"/>
    <x v="1"/>
    <m/>
    <x v="256"/>
    <m/>
    <s v="Ver Anexo A4"/>
    <m/>
    <x v="0"/>
    <s v="Célula de Operaciones SIR 2024"/>
    <s v="OPER"/>
    <x v="0"/>
    <s v="Sandra Pailacho"/>
    <x v="0"/>
    <x v="2"/>
    <x v="0"/>
    <n v="23"/>
    <s v="Q4"/>
    <m/>
    <s v="ALTA"/>
    <m/>
    <n v="8"/>
    <n v="2"/>
    <n v="450"/>
    <m/>
    <n v="7840"/>
    <m/>
    <m/>
    <d v="2024-09-23T00:00:00"/>
    <d v="2024-11-08T00:00:00"/>
    <e v="#REF!"/>
    <d v="2024-11-12T00:00:00"/>
    <d v="2024-11-19T00:00:00"/>
    <d v="2898-12-23T00:00:00"/>
    <m/>
    <m/>
    <x v="6"/>
    <x v="1"/>
    <n v="2"/>
    <n v="0"/>
    <s v="Célula Operaciones"/>
    <m/>
    <m/>
    <m/>
  </r>
  <r>
    <s v="2024"/>
    <x v="3"/>
    <m/>
    <x v="257"/>
    <m/>
    <s v="Nuevo Requerimiento - Levantar"/>
    <m/>
    <x v="0"/>
    <s v="Funcionalidades Locales"/>
    <s v="REGIONAL"/>
    <x v="4"/>
    <s v="Davis Nuñez"/>
    <x v="13"/>
    <x v="1"/>
    <x v="0"/>
    <s v="Q4"/>
    <s v="Q4"/>
    <s v="Proyecto Elearning"/>
    <s v="ALTA"/>
    <m/>
    <n v="8"/>
    <n v="2"/>
    <n v="550"/>
    <m/>
    <n v="8800"/>
    <n v="364"/>
    <m/>
    <d v="2024-05-20T00:00:00"/>
    <d v="2024-05-27T00:00:00"/>
    <e v="#REF!"/>
    <d v="2024-11-01T00:00:00"/>
    <d v="2024-11-30T00:00:00"/>
    <d v="2898-10-18T00:00:00"/>
    <d v="2024-11-30T00:00:00"/>
    <d v="2024-12-15T00:00:00"/>
    <x v="7"/>
    <x v="117"/>
    <n v="2"/>
    <n v="15"/>
    <m/>
    <m/>
    <m/>
    <m/>
  </r>
  <r>
    <s v="2024"/>
    <x v="3"/>
    <m/>
    <x v="258"/>
    <m/>
    <s v="Fase de despliegue a Paises para E-Learning"/>
    <m/>
    <x v="0"/>
    <s v="Funcionalidades Locales"/>
    <s v="DSI"/>
    <x v="2"/>
    <s v="Jhustin Vergara"/>
    <x v="6"/>
    <x v="1"/>
    <x v="0"/>
    <m/>
    <s v="Q4"/>
    <m/>
    <s v="ALTA"/>
    <n v="1"/>
    <n v="6"/>
    <n v="1"/>
    <n v="550"/>
    <m/>
    <n v="3940"/>
    <n v="364"/>
    <m/>
    <d v="2024-10-01T00:00:00"/>
    <d v="2025-11-01T00:00:00"/>
    <e v="#REF!"/>
    <d v="2024-11-01T00:00:00"/>
    <d v="2024-11-07T00:00:00"/>
    <d v="2898-09-25T00:00:00"/>
    <d v="2024-11-07T00:00:00"/>
    <d v="2024-11-07T00:00:00"/>
    <x v="14"/>
    <x v="118"/>
    <d v="1899-12-31T12:00:00"/>
    <n v="0"/>
    <m/>
    <m/>
    <m/>
    <m/>
  </r>
  <r>
    <s v="2024"/>
    <x v="3"/>
    <m/>
    <x v="259"/>
    <m/>
    <s v="herramienta que permita entrenar al personal operativo para ejecución de procesos productivos. - Relación con solicitud de capacitación otras marcas (Español)"/>
    <m/>
    <x v="0"/>
    <s v="Elearning Varios Clientes"/>
    <s v="PLANTA"/>
    <x v="0"/>
    <s v="Shuber Ahuirre"/>
    <x v="21"/>
    <x v="2"/>
    <x v="0"/>
    <m/>
    <s v="Q4"/>
    <m/>
    <s v="ALTA"/>
    <m/>
    <n v="8"/>
    <n v="1"/>
    <n v="1000"/>
    <m/>
    <n v="8640"/>
    <n v="4000"/>
    <m/>
    <d v="2024-08-14T00:00:00"/>
    <d v="2024-09-21T00:00:00"/>
    <e v="#REF!"/>
    <d v="2024-09-21T00:00:00"/>
    <d v="2024-10-07T00:00:00"/>
    <d v="2897-11-11T00:00:00"/>
    <d v="2024-10-07T00:00:00"/>
    <d v="2024-10-21T00:00:00"/>
    <x v="73"/>
    <x v="119"/>
    <n v="2"/>
    <n v="14"/>
    <m/>
    <m/>
    <m/>
    <m/>
  </r>
  <r>
    <s v="2024"/>
    <x v="3"/>
    <m/>
    <x v="260"/>
    <m/>
    <s v="Desarrollo interno de plataforma Elearning, actualmente se tiene un proveedor externo con un costo de 20 usd por local (presupuesto anual 86 k anual)"/>
    <m/>
    <x v="0"/>
    <s v="Elearning Varios Clientes"/>
    <s v="OPER"/>
    <x v="0"/>
    <s v=" Sandra PAillacho / Andrea Rodríguez"/>
    <x v="30"/>
    <x v="1"/>
    <x v="0"/>
    <s v="Q1"/>
    <s v="Q3"/>
    <m/>
    <s v="ALTA"/>
    <m/>
    <n v="30"/>
    <n v="3"/>
    <n v="750"/>
    <m/>
    <n v="70000"/>
    <n v="364"/>
    <m/>
    <d v="2024-03-14T00:00:00"/>
    <d v="2024-07-14T00:00:00"/>
    <e v="#REF!"/>
    <d v="2024-07-14T00:00:00"/>
    <d v="2024-08-14T00:00:00"/>
    <d v="2896-05-23T00:00:00"/>
    <d v="2024-08-14T00:00:00"/>
    <d v="2024-09-14T00:00:00"/>
    <x v="37"/>
    <x v="120"/>
    <n v="7.5"/>
    <n v="31"/>
    <m/>
    <s v="Con datos del costo actual a proveedor"/>
    <m/>
    <m/>
  </r>
  <r>
    <s v="2024"/>
    <x v="1"/>
    <m/>
    <x v="261"/>
    <m/>
    <m/>
    <m/>
    <x v="1"/>
    <s v="Mantenimiento"/>
    <s v="DSI"/>
    <x v="0"/>
    <s v="Amarilis Loor"/>
    <x v="31"/>
    <x v="1"/>
    <x v="0"/>
    <m/>
    <s v="Q3"/>
    <m/>
    <s v="ALTA"/>
    <m/>
    <n v="6"/>
    <n v="2"/>
    <n v="450"/>
    <m/>
    <n v="6040"/>
    <m/>
    <m/>
    <d v="2024-08-19T00:00:00"/>
    <d v="2024-09-27T00:00:00"/>
    <e v="#REF!"/>
    <d v="2024-10-01T00:00:00"/>
    <d v="2024-10-07T00:00:00"/>
    <d v="2898-01-20T00:00:00"/>
    <m/>
    <m/>
    <x v="68"/>
    <x v="1"/>
    <n v="1.5"/>
    <n v="0"/>
    <m/>
    <m/>
    <m/>
    <m/>
  </r>
  <r>
    <s v="2024"/>
    <x v="3"/>
    <m/>
    <x v="262"/>
    <m/>
    <s v="Flujo de firma digital para contratos. (Revisar alcance a nivel corporativo) pendiente levantar a fondo, ya existe una herramienta de firma, requiere una licencia Anual y se ha dejado de pagar, se tiene que gestionar retomar este tema, (MERCADEO OTRAS MARCAS)"/>
    <m/>
    <x v="0"/>
    <s v="Firma Digitales Contratos"/>
    <s v="CAR"/>
    <x v="0"/>
    <s v="Andres Canelos / Ma. Paula Tapia"/>
    <x v="5"/>
    <x v="2"/>
    <x v="0"/>
    <s v="Q3"/>
    <s v="Q2"/>
    <m/>
    <s v="MEDIA"/>
    <m/>
    <n v="0"/>
    <n v="0"/>
    <n v="0"/>
    <m/>
    <n v="4800"/>
    <m/>
    <m/>
    <d v="2024-08-14T00:00:00"/>
    <d v="2024-09-14T00:00:00"/>
    <e v="#REF!"/>
    <d v="2024-09-14T00:00:00"/>
    <d v="2024-09-21T00:00:00"/>
    <d v="2897-09-07T00:00:00"/>
    <d v="2024-09-21T00:00:00"/>
    <d v="2024-09-28T00:00:00"/>
    <x v="73"/>
    <x v="121"/>
    <n v="0"/>
    <n v="7"/>
    <s v="Pendiente Conversar con proveedor"/>
    <m/>
    <m/>
    <m/>
  </r>
  <r>
    <s v="2024"/>
    <x v="5"/>
    <m/>
    <x v="263"/>
    <m/>
    <s v="En lugar del costo de negociación se trabaje con: costo de compra,  variables (transporte internacional, aranceles, aduana, bodega, agente afianzado, transporte interno) y  costo final (suma de costo de compra + variables)"/>
    <m/>
    <x v="0"/>
    <s v="Control Costos Productos Importados"/>
    <s v="CAR"/>
    <x v="0"/>
    <s v="Juan Carlos Benalcázar"/>
    <x v="11"/>
    <x v="2"/>
    <x v="0"/>
    <s v="Q2"/>
    <s v="Q2"/>
    <m/>
    <s v="ALTA"/>
    <n v="1"/>
    <n v="2"/>
    <n v="1"/>
    <n v="1280"/>
    <m/>
    <n v="2560"/>
    <m/>
    <m/>
    <d v="2024-04-07T00:00:00"/>
    <d v="2024-05-14T00:00:00"/>
    <n v="37"/>
    <d v="2024-05-14T00:00:00"/>
    <d v="2024-05-21T00:00:00"/>
    <n v="7"/>
    <d v="2024-05-21T00:00:00"/>
    <d v="2024-05-28T00:00:00"/>
    <x v="30"/>
    <x v="122"/>
    <n v="0.5"/>
    <n v="7"/>
    <m/>
    <m/>
    <m/>
    <m/>
  </r>
  <r>
    <s v="2024"/>
    <x v="0"/>
    <m/>
    <x v="264"/>
    <m/>
    <s v="Nuevo Requerimiento (Ya levantado a Juan Daniel, documentación adjunta)"/>
    <m/>
    <x v="0"/>
    <s v="Funcionalidades Locales"/>
    <s v="REGIONAL"/>
    <x v="4"/>
    <s v="Davis Nuñez"/>
    <x v="13"/>
    <x v="1"/>
    <x v="1"/>
    <m/>
    <s v="Q1"/>
    <s v="Ambientes de desarrollo, y pinpad de test."/>
    <s v="MEDIA"/>
    <n v="1"/>
    <n v="3"/>
    <n v="1"/>
    <n v="625"/>
    <m/>
    <n v="1875"/>
    <m/>
    <m/>
    <d v="2024-03-04T00:00:00"/>
    <d v="2024-03-15T00:00:00"/>
    <e v="#REF!"/>
    <d v="2024-03-18T00:00:00"/>
    <d v="2024-03-22T00:00:00"/>
    <d v="2893-09-25T00:00:00"/>
    <d v="2024-03-25T00:00:00"/>
    <d v="2024-03-29T00:00:00"/>
    <x v="21"/>
    <x v="63"/>
    <n v="0.75"/>
    <n v="4"/>
    <m/>
    <m/>
    <m/>
    <m/>
  </r>
  <r>
    <s v="2024"/>
    <x v="2"/>
    <s v="Pickup"/>
    <x v="265"/>
    <s v="MXP LEGACY_x000a_MXP 2.0_x000a_TRADE"/>
    <s v="Envío de menú y recepción en la terminal de autorápido "/>
    <s v="BAJA"/>
    <x v="0"/>
    <s v="Proyectos TD 2024"/>
    <s v="CAR"/>
    <x v="0"/>
    <s v="Daniel Barreno"/>
    <x v="4"/>
    <x v="1"/>
    <x v="0"/>
    <s v="Q3"/>
    <s v="Q3"/>
    <s v="p49"/>
    <s v="MEDIA"/>
    <m/>
    <n v="2"/>
    <n v="1"/>
    <n v="550"/>
    <m/>
    <n v="1740"/>
    <m/>
    <m/>
    <d v="2024-08-19T00:00:00"/>
    <d v="2024-08-19T00:00:00"/>
    <n v="0"/>
    <d v="2024-08-19T00:00:00"/>
    <d v="2024-08-26T00:00:00"/>
    <n v="364191"/>
    <d v="2024-08-26T00:00:00"/>
    <d v="2024-09-02T00:00:00"/>
    <x v="12"/>
    <x v="50"/>
    <n v="0.5"/>
    <n v="7"/>
    <s v="ECOMERCE"/>
    <m/>
    <s v="x"/>
    <m/>
  </r>
  <r>
    <s v="2024"/>
    <x v="2"/>
    <s v="Appedir"/>
    <x v="266"/>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x v="0"/>
    <s v="Proyectos TD 2024"/>
    <s v="CAR"/>
    <x v="0"/>
    <s v="Daniel Barreno"/>
    <x v="4"/>
    <x v="1"/>
    <x v="0"/>
    <s v="Q3"/>
    <s v="Q4"/>
    <s v="p55"/>
    <s v="BAJA"/>
    <m/>
    <n v="1"/>
    <n v="1"/>
    <n v="550"/>
    <m/>
    <n v="1190"/>
    <m/>
    <m/>
    <d v="2024-11-04T00:00:00"/>
    <d v="2024-11-11T00:00:00"/>
    <n v="7"/>
    <d v="2024-11-11T00:00:00"/>
    <d v="2024-11-18T00:00:00"/>
    <n v="364863"/>
    <d v="2024-11-18T00:00:00"/>
    <d v="2024-11-18T00:00:00"/>
    <x v="41"/>
    <x v="123"/>
    <n v="0.25"/>
    <n v="0"/>
    <s v="ECOMERCE"/>
    <m/>
    <s v="x"/>
    <m/>
  </r>
  <r>
    <s v="2024"/>
    <x v="2"/>
    <s v="Formas de Pago"/>
    <x v="267"/>
    <s v="MXP LEGACY_x000a_TRADE"/>
    <s v="Implementación OneClick Checkout Chile Transbank; Pruebas y códigos de forma de pago "/>
    <s v="MEDIA"/>
    <x v="0"/>
    <s v="Proyectos TD 2024"/>
    <s v="CAR"/>
    <x v="4"/>
    <s v="Daniel Barreno"/>
    <x v="4"/>
    <x v="1"/>
    <x v="0"/>
    <e v="#N/A"/>
    <s v="Q2"/>
    <m/>
    <s v="BAJA"/>
    <m/>
    <n v="5"/>
    <n v="1"/>
    <n v="550"/>
    <m/>
    <n v="3390"/>
    <m/>
    <m/>
    <d v="2024-05-28T00:00:00"/>
    <d v="2024-06-04T00:00:00"/>
    <n v="7"/>
    <d v="2024-06-04T00:00:00"/>
    <d v="2024-06-11T00:00:00"/>
    <n v="363583"/>
    <d v="2024-06-11T00:00:00"/>
    <d v="2024-07-02T00:00:00"/>
    <x v="15"/>
    <x v="12"/>
    <n v="1.25"/>
    <n v="21"/>
    <s v="ECOMERCE"/>
    <m/>
    <s v="x"/>
    <m/>
  </r>
  <r>
    <s v="2024"/>
    <x v="2"/>
    <s v="DragonTail"/>
    <x v="223"/>
    <s v="MXP LEGACY_x000a_MXP 2.0_x000a_TRADE"/>
    <s v="Mxp Delivery - Dragon Tail (Envío de TrackingID)_x000a_Envío del  trackingID hacia TRADE para que se muestre el mapa de seguimiento de dragonTail desde la App"/>
    <s v="ALTA"/>
    <x v="3"/>
    <s v="Funcionalidades Locales"/>
    <s v="DSI"/>
    <x v="3"/>
    <s v="Mychael Castro - José Fernandez"/>
    <x v="1"/>
    <x v="1"/>
    <x v="1"/>
    <m/>
    <s v="Q1"/>
    <s v="p8"/>
    <s v="ALTA"/>
    <n v="1"/>
    <n v="6"/>
    <n v="1"/>
    <n v="550"/>
    <m/>
    <n v="3940"/>
    <m/>
    <m/>
    <d v="2024-02-05T00:00:00"/>
    <d v="2024-03-04T00:00:00"/>
    <n v="28"/>
    <d v="2024-03-11T00:00:00"/>
    <d v="2024-03-11T00:00:00"/>
    <n v="362896"/>
    <d v="2024-03-18T00:00:00"/>
    <d v="2024-04-01T00:00:00"/>
    <x v="11"/>
    <x v="5"/>
    <n v="1.5"/>
    <n v="14"/>
    <s v="PROYECTO REGIONAL"/>
    <m/>
    <m/>
    <m/>
  </r>
  <r>
    <s v="2024"/>
    <x v="5"/>
    <m/>
    <x v="268"/>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x v="0"/>
    <s v="Optimización Procesos Plantas"/>
    <s v="PLANTA"/>
    <x v="0"/>
    <s v="Diego Díaz "/>
    <x v="28"/>
    <x v="2"/>
    <x v="0"/>
    <s v="Q2"/>
    <s v="Q2"/>
    <m/>
    <s v="MEDIA"/>
    <n v="1"/>
    <n v="3"/>
    <n v="1"/>
    <n v="1100"/>
    <m/>
    <n v="3300"/>
    <m/>
    <m/>
    <d v="2024-02-07T00:00:00"/>
    <d v="2024-03-07T00:00:00"/>
    <n v="29"/>
    <d v="2024-03-14T00:00:00"/>
    <d v="2024-03-14T00:00:00"/>
    <n v="0"/>
    <d v="2024-03-14T00:00:00"/>
    <d v="2024-03-21T00:00:00"/>
    <x v="35"/>
    <x v="57"/>
    <n v="0.75"/>
    <n v="7"/>
    <m/>
    <m/>
    <m/>
    <m/>
  </r>
  <r>
    <s v="2024"/>
    <x v="5"/>
    <m/>
    <x v="269"/>
    <m/>
    <s v="Hacer el registro con una matriz y revisar el debito con Robot que usa actualmente tesoreria"/>
    <m/>
    <x v="0"/>
    <s v="RPA: Cruce Suministros"/>
    <s v="CAR"/>
    <x v="0"/>
    <s v="Diego Díaz "/>
    <x v="10"/>
    <x v="2"/>
    <x v="0"/>
    <s v="Q2"/>
    <s v="Q2"/>
    <m/>
    <s v="MEDIA"/>
    <n v="1"/>
    <n v="4"/>
    <n v="1"/>
    <n v="1600"/>
    <m/>
    <n v="6400"/>
    <m/>
    <m/>
    <d v="2024-04-07T00:00:00"/>
    <d v="2024-05-07T00:00:00"/>
    <n v="30"/>
    <d v="2024-05-07T00:00:00"/>
    <d v="2024-05-07T00:00:00"/>
    <n v="0"/>
    <d v="2024-05-07T00:00:00"/>
    <d v="2024-05-21T00:00:00"/>
    <x v="30"/>
    <x v="60"/>
    <n v="1"/>
    <n v="14"/>
    <m/>
    <m/>
    <m/>
    <m/>
  </r>
  <r>
    <s v="2024"/>
    <x v="2"/>
    <s v="DragonTail"/>
    <x v="223"/>
    <s v="MXP LEGACY_x000a_MXP 2.0"/>
    <s v="Mxp Delivery - Dragon Tail (Integración)_x000a_Compromiso Matriz Regional  (Venezuela, Ecuador, Chile, Colombia y Argentina)_x000a_Implementación de KDS en el counter con dragontale para todos los pedido"/>
    <s v="ALTA"/>
    <x v="3"/>
    <s v="Funcionalidades Locales"/>
    <s v="DSI"/>
    <x v="0"/>
    <s v="Mychael Castro - José Fernandez"/>
    <x v="1"/>
    <x v="1"/>
    <x v="1"/>
    <m/>
    <s v="Q1"/>
    <s v="p8"/>
    <s v="ALTA"/>
    <n v="1"/>
    <n v="6"/>
    <n v="2"/>
    <n v="550"/>
    <m/>
    <n v="7240"/>
    <m/>
    <m/>
    <d v="2024-02-05T00:00:00"/>
    <d v="2024-03-11T00:00:00"/>
    <n v="35"/>
    <d v="2024-03-11T00:00:00"/>
    <d v="2024-03-18T00:00:00"/>
    <n v="362903"/>
    <d v="2024-03-18T00:00:00"/>
    <d v="2024-04-01T00:00:00"/>
    <x v="11"/>
    <x v="5"/>
    <n v="1.5"/>
    <n v="14"/>
    <s v="PROYECTO REGIONAL"/>
    <m/>
    <m/>
    <m/>
  </r>
  <r>
    <s v="2024"/>
    <x v="2"/>
    <s v="Pickup"/>
    <x v="129"/>
    <s v="MXP LEGACY_x000a_MXP 2.0_x000a_TRADE"/>
    <s v="Recepción de descuentos desde inyección V3 hacia Pickup en las tiendas"/>
    <s v="ALTA"/>
    <x v="3"/>
    <s v="Proyectos TD 2024"/>
    <s v="CAR"/>
    <x v="4"/>
    <s v="Mychael Castro"/>
    <x v="4"/>
    <x v="1"/>
    <x v="0"/>
    <m/>
    <s v="Q2"/>
    <m/>
    <s v="ALTA"/>
    <n v="1"/>
    <n v="6"/>
    <n v="1"/>
    <n v="550"/>
    <m/>
    <n v="3940"/>
    <m/>
    <m/>
    <d v="2024-03-25T00:00:00"/>
    <d v="2024-04-08T00:00:00"/>
    <n v="14"/>
    <d v="2024-04-08T00:00:00"/>
    <d v="2024-04-15T00:00:00"/>
    <n v="363127"/>
    <d v="2024-04-15T00:00:00"/>
    <d v="2024-05-06T00:00:00"/>
    <x v="15"/>
    <x v="27"/>
    <n v="1.5"/>
    <n v="21"/>
    <m/>
    <m/>
    <s v="x"/>
    <m/>
  </r>
  <r>
    <s v="2024"/>
    <x v="2"/>
    <s v="DragonTail"/>
    <x v="223"/>
    <s v="MXP LEGACY_x000a_MXP 2.0"/>
    <s v="Mxp Delivery - Dragon Tail (Seguimiento)_x000a_Compromiso Matriz Regional  (Venezuela, Ecuador, Chile, Colombia y Argentina)_x000a_Implementación de KDS en el counter con dragontale para todos los pedido_x000a_"/>
    <s v="ALTA"/>
    <x v="3"/>
    <s v="Funcionalidades Locales"/>
    <s v="DSI"/>
    <x v="2"/>
    <s v="Mychael Castro - José Fernandez"/>
    <x v="1"/>
    <x v="1"/>
    <x v="1"/>
    <m/>
    <s v="Q1"/>
    <s v="p8"/>
    <s v="ALTA"/>
    <n v="1"/>
    <n v="6"/>
    <n v="1"/>
    <n v="550"/>
    <m/>
    <n v="3940"/>
    <m/>
    <m/>
    <d v="2024-02-05T00:00:00"/>
    <d v="2024-03-04T00:00:00"/>
    <n v="28"/>
    <d v="2024-03-04T00:00:00"/>
    <d v="2024-03-11T00:00:00"/>
    <n v="362847"/>
    <d v="2024-03-11T00:00:00"/>
    <d v="2024-03-25T00:00:00"/>
    <x v="11"/>
    <x v="5"/>
    <n v="1.5"/>
    <n v="14"/>
    <s v="PROYECTO REGIONAL"/>
    <m/>
    <m/>
    <m/>
  </r>
  <r>
    <s v="2024"/>
    <x v="2"/>
    <s v="Pickup"/>
    <x v="129"/>
    <s v="MXP LEGACY_x000a_MXP 2.0_x000a_TRADE"/>
    <s v="Recepción de descuentos desde inyección V3 hacia Pickup en las tiendas"/>
    <s v="ALTA"/>
    <x v="3"/>
    <s v="Proyectos TD 2024"/>
    <s v="CAR"/>
    <x v="1"/>
    <s v="Mychael Castro"/>
    <x v="4"/>
    <x v="1"/>
    <x v="0"/>
    <m/>
    <s v="Q1"/>
    <s v="p10"/>
    <s v="ALTA"/>
    <n v="1"/>
    <n v="4"/>
    <n v="1"/>
    <n v="550"/>
    <m/>
    <n v="2840"/>
    <m/>
    <m/>
    <d v="2024-03-04T00:00:00"/>
    <d v="2024-03-18T00:00:00"/>
    <n v="14"/>
    <d v="2024-03-18T00:00:00"/>
    <d v="2024-03-25T00:00:00"/>
    <n v="362959"/>
    <d v="2024-03-25T00:00:00"/>
    <d v="2024-04-01T00:00:00"/>
    <x v="33"/>
    <x v="30"/>
    <n v="1"/>
    <n v="7"/>
    <s v="PROYECTO REGIONAL"/>
    <m/>
    <s v="x"/>
    <m/>
  </r>
  <r>
    <s v="2024"/>
    <x v="2"/>
    <s v="Ultimas millas"/>
    <x v="270"/>
    <s v="MXP LEGACY_x000a_TRADE"/>
    <s v="Compromiso Matriz Regional  (Ecuador)"/>
    <s v="BAJA"/>
    <x v="3"/>
    <s v="Funcionalidades Regionales"/>
    <s v="DSI"/>
    <x v="0"/>
    <s v="Mychael Castro"/>
    <x v="1"/>
    <x v="1"/>
    <x v="1"/>
    <m/>
    <s v="Q1"/>
    <s v="p9"/>
    <s v="MEDIA"/>
    <n v="1"/>
    <n v="3"/>
    <n v="1"/>
    <n v="550"/>
    <m/>
    <n v="2290"/>
    <m/>
    <m/>
    <d v="2024-02-12T00:00:00"/>
    <d v="2024-02-26T00:00:00"/>
    <n v="14"/>
    <d v="2024-02-26T00:00:00"/>
    <d v="2024-03-04T00:00:00"/>
    <n v="362791"/>
    <d v="2024-03-04T00:00:00"/>
    <d v="2024-03-11T00:00:00"/>
    <x v="11"/>
    <x v="124"/>
    <n v="0.75"/>
    <n v="7"/>
    <s v="PROYECTO REGIONAL"/>
    <m/>
    <m/>
    <m/>
  </r>
  <r>
    <s v="2024"/>
    <x v="2"/>
    <s v="API Inyección v3"/>
    <x v="271"/>
    <s v="MXP LEGACY_x000a_TRADE"/>
    <m/>
    <s v="ALTA"/>
    <x v="3"/>
    <s v="Funcionalidades Regionales"/>
    <s v="DSI"/>
    <x v="0"/>
    <s v="Mychael Castro"/>
    <x v="1"/>
    <x v="1"/>
    <x v="1"/>
    <m/>
    <s v="Q1"/>
    <s v="p11"/>
    <s v="ALTA"/>
    <n v="1"/>
    <n v="3"/>
    <n v="1"/>
    <n v="550"/>
    <m/>
    <n v="2290"/>
    <m/>
    <m/>
    <d v="2024-02-05T00:00:00"/>
    <d v="2024-02-05T00:00:00"/>
    <n v="0"/>
    <d v="2024-02-05T00:00:00"/>
    <d v="2024-02-19T00:00:00"/>
    <n v="362630"/>
    <d v="2024-02-19T00:00:00"/>
    <d v="2024-02-26T00:00:00"/>
    <x v="15"/>
    <x v="42"/>
    <n v="0.75"/>
    <n v="7"/>
    <s v="PROYECTO REGIONAL"/>
    <m/>
    <m/>
    <m/>
  </r>
  <r>
    <s v="2024"/>
    <x v="2"/>
    <s v="API Inyección v3"/>
    <x v="271"/>
    <s v="MXP LEGACY_x000a_TRADE"/>
    <m/>
    <s v="ALTA"/>
    <x v="3"/>
    <s v="Funcionalidades Regionales"/>
    <s v="DSI"/>
    <x v="2"/>
    <s v="Mychael Castro"/>
    <x v="1"/>
    <x v="1"/>
    <x v="0"/>
    <m/>
    <s v="Q1"/>
    <s v="p11"/>
    <s v="ALTA"/>
    <n v="1"/>
    <n v="3"/>
    <n v="1"/>
    <n v="550"/>
    <m/>
    <n v="2290"/>
    <m/>
    <m/>
    <d v="2024-03-04T00:00:00"/>
    <d v="2024-03-04T00:00:00"/>
    <n v="0"/>
    <d v="2024-03-04T00:00:00"/>
    <d v="2024-03-18T00:00:00"/>
    <n v="362854"/>
    <d v="2024-03-18T00:00:00"/>
    <d v="2024-03-25T00:00:00"/>
    <x v="33"/>
    <x v="56"/>
    <n v="0.75"/>
    <n v="7"/>
    <s v="PROYECTO REGIONAL"/>
    <m/>
    <s v="x"/>
    <m/>
  </r>
  <r>
    <s v="2024"/>
    <x v="2"/>
    <s v="API Inyección v3"/>
    <x v="271"/>
    <s v="MXP LEGACY_x000a_TRADE"/>
    <m/>
    <s v="ALTA"/>
    <x v="3"/>
    <s v="Funcionalidades Regionales"/>
    <s v="DSI"/>
    <x v="1"/>
    <s v="Mychael Castro"/>
    <x v="1"/>
    <x v="1"/>
    <x v="0"/>
    <m/>
    <s v="Q1"/>
    <s v="p11"/>
    <s v="ALTA"/>
    <n v="1"/>
    <n v="3"/>
    <n v="1"/>
    <n v="550"/>
    <m/>
    <n v="2290"/>
    <m/>
    <m/>
    <d v="2024-03-18T00:00:00"/>
    <d v="2024-03-18T00:00:00"/>
    <n v="0"/>
    <d v="2024-03-18T00:00:00"/>
    <d v="2024-03-25T00:00:00"/>
    <n v="362959"/>
    <d v="2024-03-25T00:00:00"/>
    <d v="2024-04-01T00:00:00"/>
    <x v="33"/>
    <x v="56"/>
    <n v="0.75"/>
    <n v="7"/>
    <s v="PROYECTO REGIONAL"/>
    <m/>
    <m/>
    <m/>
  </r>
  <r>
    <s v="2024"/>
    <x v="5"/>
    <m/>
    <x v="272"/>
    <m/>
    <m/>
    <m/>
    <x v="0"/>
    <m/>
    <s v="CAR"/>
    <x v="0"/>
    <s v="Diego Díaz"/>
    <x v="12"/>
    <x v="0"/>
    <x v="0"/>
    <m/>
    <m/>
    <m/>
    <m/>
    <m/>
    <m/>
    <m/>
    <m/>
    <m/>
    <n v="21300"/>
    <m/>
    <m/>
    <m/>
    <m/>
    <e v="#REF!"/>
    <m/>
    <m/>
    <d v="1899-12-30T00:00:00"/>
    <m/>
    <m/>
    <x v="9"/>
    <x v="1"/>
    <n v="0"/>
    <n v="0"/>
    <m/>
    <m/>
    <m/>
    <m/>
  </r>
  <r>
    <s v="2024"/>
    <x v="2"/>
    <s v="API Inyección v3"/>
    <x v="273"/>
    <s v="MXP LEGACY_x000a_TRADE"/>
    <s v="Compromiso Matriz Regional  (Argentina"/>
    <s v="MEDIA"/>
    <x v="3"/>
    <s v="Funcionalidades Regionales"/>
    <s v="DSI"/>
    <x v="1"/>
    <s v="Mychael Castro"/>
    <x v="1"/>
    <x v="1"/>
    <x v="2"/>
    <m/>
    <s v="Q1"/>
    <s v="p12"/>
    <s v="MEDIA"/>
    <n v="1"/>
    <n v="4"/>
    <n v="1"/>
    <n v="550"/>
    <m/>
    <n v="2840"/>
    <m/>
    <m/>
    <d v="2024-03-04T00:00:00"/>
    <d v="2024-03-18T00:00:00"/>
    <n v="14"/>
    <d v="2024-03-18T00:00:00"/>
    <d v="2024-03-25T00:00:00"/>
    <n v="362959"/>
    <d v="2024-03-25T00:00:00"/>
    <d v="2024-04-01T00:00:00"/>
    <x v="33"/>
    <x v="30"/>
    <n v="1"/>
    <n v="7"/>
    <s v="PROYECTO REGIONAL"/>
    <m/>
    <m/>
    <m/>
  </r>
  <r>
    <s v="2024"/>
    <x v="2"/>
    <s v="API Inyección v3"/>
    <x v="274"/>
    <s v="MXP LEGACY_x000a_TRADE"/>
    <s v="Compromiso Matriz Regional  (Argentina - 2023"/>
    <s v="ALTA"/>
    <x v="3"/>
    <s v="Funcionalidades Regionales"/>
    <s v="DSI"/>
    <x v="1"/>
    <s v="Mychael Castro"/>
    <x v="1"/>
    <x v="1"/>
    <x v="0"/>
    <m/>
    <s v="Q2"/>
    <m/>
    <s v="ALTA"/>
    <n v="1"/>
    <n v="6"/>
    <n v="1"/>
    <n v="550"/>
    <m/>
    <n v="3940"/>
    <m/>
    <m/>
    <d v="2024-03-18T00:00:00"/>
    <d v="2024-04-15T00:00:00"/>
    <n v="28"/>
    <d v="2024-04-15T00:00:00"/>
    <d v="2024-04-22T00:00:00"/>
    <n v="363183"/>
    <d v="2024-04-22T00:00:00"/>
    <d v="2024-04-29T00:00:00"/>
    <x v="15"/>
    <x v="27"/>
    <n v="1.5"/>
    <n v="7"/>
    <s v="PROYECTO REGIONAL"/>
    <m/>
    <m/>
    <m/>
  </r>
  <r>
    <s v="2023"/>
    <x v="0"/>
    <m/>
    <x v="274"/>
    <m/>
    <s v="Herramienta para CDC que permite ver todos los pedidos de domicilio, incluye tranking y ubicación del motorizado. no supero el piloto por carga "/>
    <m/>
    <x v="0"/>
    <s v="Funcionalidades Regionales"/>
    <s v="REGIONAL"/>
    <x v="3"/>
    <s v="William Villegas"/>
    <x v="9"/>
    <x v="1"/>
    <x v="1"/>
    <m/>
    <s v="Q1"/>
    <m/>
    <s v="ALTA"/>
    <n v="1"/>
    <n v="4"/>
    <n v="2"/>
    <n v="625"/>
    <m/>
    <n v="5000"/>
    <m/>
    <m/>
    <d v="2023-12-17T00:00:00"/>
    <d v="2024-02-02T00:00:00"/>
    <e v="#REF!"/>
    <d v="2024-02-04T00:00:00"/>
    <d v="2024-02-09T00:00:00"/>
    <d v="2892-10-17T00:00:00"/>
    <d v="2024-02-11T00:00:00"/>
    <d v="2024-02-15T00:00:00"/>
    <x v="49"/>
    <x v="45"/>
    <n v="1"/>
    <n v="4"/>
    <m/>
    <m/>
    <m/>
    <m/>
  </r>
  <r>
    <s v="2024"/>
    <x v="0"/>
    <m/>
    <x v="275"/>
    <s v="MXP 2.0"/>
    <s v="- Actualmente se realiza ingreso mensual en la caja  (se registra en menú llamadas)_x000a_- Dolce Incontro: no dispones de botón de pago, se utiliza salón_x000a_ - Botones de Pago Inyección (Otros Agregadores Provincias): "/>
    <m/>
    <x v="0"/>
    <s v="Celula Operaciones Maxpoint 2024"/>
    <s v="OPER"/>
    <x v="0"/>
    <s v="Sebastián Jara"/>
    <x v="0"/>
    <x v="2"/>
    <x v="0"/>
    <m/>
    <s v="Q3"/>
    <s v="Se necesita mayor contexto del cliente"/>
    <s v="BAJA"/>
    <n v="1"/>
    <n v="5"/>
    <n v="1"/>
    <n v="550"/>
    <m/>
    <n v="3330"/>
    <m/>
    <m/>
    <d v="2024-07-01T00:00:00"/>
    <d v="2024-08-05T00:00:00"/>
    <e v="#REF!"/>
    <d v="2024-08-06T00:00:00"/>
    <d v="2024-08-20T00:00:00"/>
    <d v="2896-11-06T00:00:00"/>
    <d v="2024-08-21T00:00:00"/>
    <d v="2024-09-04T00:00:00"/>
    <x v="19"/>
    <x v="14"/>
    <n v="1.25"/>
    <n v="14"/>
    <m/>
    <m/>
    <m/>
    <m/>
  </r>
  <r>
    <s v="2024"/>
    <x v="1"/>
    <m/>
    <x v="276"/>
    <m/>
    <s v="Ver Anexo A4"/>
    <m/>
    <x v="0"/>
    <s v="Célula de Operaciones SIR 2024"/>
    <s v="OPER"/>
    <x v="0"/>
    <s v="Sandra Pailacho"/>
    <x v="0"/>
    <x v="2"/>
    <x v="0"/>
    <n v="11"/>
    <s v="Q3"/>
    <m/>
    <s v="ALTA"/>
    <m/>
    <n v="8"/>
    <n v="2"/>
    <n v="450"/>
    <m/>
    <n v="7840"/>
    <m/>
    <m/>
    <d v="2024-08-12T00:00:00"/>
    <d v="2024-10-04T00:00:00"/>
    <e v="#REF!"/>
    <d v="2014-10-08T00:00:00"/>
    <d v="2024-10-22T00:00:00"/>
    <d v="2828-03-21T00:00:00"/>
    <m/>
    <m/>
    <x v="0"/>
    <x v="1"/>
    <n v="2"/>
    <n v="0"/>
    <s v="Célula Operaciones"/>
    <m/>
    <m/>
    <m/>
  </r>
  <r>
    <s v="2024"/>
    <x v="5"/>
    <m/>
    <x v="277"/>
    <m/>
    <s v="Capacitacion Prorrateos - Automatizacion de descuentos, LA FAC QUEDA EN UNA CUENTA TRANSITORIA Y SE GENERAN LAS FACTURAS A CADA UNO DE LOS PROVEEDORES. lUEGO DESDE FIONA SE INTEGRE CON SAP Y GENERE ASIENTEO CONTABLE_x000a_uN DIA L MES 2 PAX NACIONAL"/>
    <m/>
    <x v="0"/>
    <s v="Optimización Procesos Plantas"/>
    <s v="PLANTA"/>
    <x v="0"/>
    <s v="Diego Díaz "/>
    <x v="10"/>
    <x v="0"/>
    <x v="0"/>
    <s v="Q2"/>
    <s v="Q2"/>
    <m/>
    <s v="MEDIA"/>
    <n v="1"/>
    <n v="4"/>
    <n v="1"/>
    <n v="1100"/>
    <m/>
    <n v="4400"/>
    <m/>
    <m/>
    <m/>
    <m/>
    <n v="0"/>
    <m/>
    <m/>
    <n v="0"/>
    <m/>
    <m/>
    <x v="9"/>
    <x v="1"/>
    <n v="1"/>
    <n v="0"/>
    <m/>
    <m/>
    <m/>
    <m/>
  </r>
  <r>
    <s v="2024"/>
    <x v="3"/>
    <m/>
    <x v="278"/>
    <m/>
    <s v="Esquema de administración - kfc_x000a_Migración de bases a la nube_x000a_reingeniería funcional_x000a_"/>
    <m/>
    <x v="0"/>
    <s v="Reingeniería Payroll - Cambio a AKS"/>
    <s v="CAR"/>
    <x v="0"/>
    <s v="Sabrina Chinchin"/>
    <x v="32"/>
    <x v="2"/>
    <x v="0"/>
    <m/>
    <s v="Q3"/>
    <m/>
    <s v="ALTA"/>
    <m/>
    <n v="8"/>
    <n v="1"/>
    <n v="1000"/>
    <m/>
    <n v="8640"/>
    <m/>
    <m/>
    <m/>
    <m/>
    <e v="#REF!"/>
    <m/>
    <m/>
    <d v="1899-12-30T00:00:00"/>
    <m/>
    <m/>
    <x v="9"/>
    <x v="1"/>
    <n v="2"/>
    <n v="0"/>
    <m/>
    <m/>
    <m/>
    <m/>
  </r>
  <r>
    <s v="2024"/>
    <x v="0"/>
    <m/>
    <x v="279"/>
    <m/>
    <s v="Nuevo Requerimiento de mejoras de rendimiento y seguridades."/>
    <m/>
    <x v="4"/>
    <s v="Mantenimiento"/>
    <s v="DSI"/>
    <x v="4"/>
    <s v="Davis Nuñez"/>
    <x v="13"/>
    <x v="1"/>
    <x v="1"/>
    <m/>
    <s v="Q2"/>
    <s v="Depende del análisis ed Dytrace, para establecer el plan. Validar si es a nivel de server o caja."/>
    <s v="ALTA"/>
    <n v="1"/>
    <n v="1"/>
    <n v="10"/>
    <n v="625"/>
    <m/>
    <n v="6250"/>
    <m/>
    <m/>
    <d v="2024-04-01T00:00:00"/>
    <d v="2024-05-17T00:00:00"/>
    <e v="#REF!"/>
    <d v="2024-05-20T00:00:00"/>
    <d v="2024-05-24T00:00:00"/>
    <d v="2895-02-11T00:00:00"/>
    <d v="2024-05-27T00:00:00"/>
    <d v="2024-05-31T00:00:00"/>
    <x v="11"/>
    <x v="13"/>
    <n v="0.25"/>
    <n v="4"/>
    <m/>
    <m/>
    <m/>
    <m/>
  </r>
  <r>
    <s v="2024"/>
    <x v="0"/>
    <m/>
    <x v="279"/>
    <m/>
    <s v="Implementación de Dynatrace, analisis  de resultados y ejecución del plan de acción."/>
    <m/>
    <x v="3"/>
    <s v="Mantenimiento"/>
    <s v="DSI"/>
    <x v="2"/>
    <s v="Jhustin Vergara"/>
    <x v="6"/>
    <x v="1"/>
    <x v="0"/>
    <m/>
    <s v="Q3"/>
    <m/>
    <s v="ALTA"/>
    <n v="1"/>
    <n v="8"/>
    <n v="1"/>
    <n v="550"/>
    <m/>
    <n v="4400"/>
    <m/>
    <m/>
    <d v="2024-07-01T00:00:00"/>
    <d v="2024-08-16T00:00:00"/>
    <e v="#REF!"/>
    <d v="2024-08-19T00:00:00"/>
    <d v="2024-08-23T00:00:00"/>
    <d v="2897-02-08T00:00:00"/>
    <d v="2024-08-26T00:00:00"/>
    <d v="2024-08-28T00:00:00"/>
    <x v="19"/>
    <x v="46"/>
    <n v="2"/>
    <n v="2"/>
    <m/>
    <m/>
    <m/>
    <m/>
  </r>
  <r>
    <n v="2024"/>
    <x v="0"/>
    <m/>
    <x v="279"/>
    <m/>
    <s v="Implementación de Dynatrace, analisis  de resultados y ejecución del plan de acción."/>
    <m/>
    <x v="3"/>
    <s v="Mantenimiento"/>
    <s v="DSI"/>
    <x v="1"/>
    <s v="Adrian Gadja"/>
    <x v="18"/>
    <x v="1"/>
    <x v="0"/>
    <m/>
    <s v="Q3"/>
    <m/>
    <s v="ALTA"/>
    <n v="1"/>
    <n v="8"/>
    <n v="1"/>
    <n v="550"/>
    <m/>
    <n v="4400"/>
    <m/>
    <m/>
    <d v="2024-06-03T00:00:00"/>
    <d v="2024-07-26T00:00:00"/>
    <e v="#REF!"/>
    <d v="2024-07-29T00:00:00"/>
    <d v="2024-08-02T00:00:00"/>
    <d v="2896-08-24T00:00:00"/>
    <d v="2024-08-05T00:00:00"/>
    <d v="2024-08-09T00:00:00"/>
    <x v="51"/>
    <x v="87"/>
    <d v="1900-01-01T00:00:00"/>
    <n v="4"/>
    <m/>
    <m/>
    <m/>
    <m/>
  </r>
  <r>
    <s v="2024"/>
    <x v="0"/>
    <m/>
    <x v="280"/>
    <m/>
    <s v="Correcciones y mejoras de estabilización del proceso de facturación counter y delivery."/>
    <m/>
    <x v="0"/>
    <s v="Mantenimiento"/>
    <s v="DSI"/>
    <x v="4"/>
    <s v="Vanessa Soria"/>
    <x v="13"/>
    <x v="1"/>
    <x v="1"/>
    <m/>
    <s v="Q1"/>
    <m/>
    <s v="ALTA"/>
    <n v="1"/>
    <n v="3"/>
    <n v="13"/>
    <n v="625"/>
    <m/>
    <n v="24375"/>
    <m/>
    <m/>
    <d v="2024-01-01T00:00:00"/>
    <d v="2024-03-22T00:00:00"/>
    <e v="#REF!"/>
    <d v="2024-03-25T00:00:00"/>
    <d v="2024-03-29T00:00:00"/>
    <d v="2893-11-20T00:00:00"/>
    <d v="2024-04-01T00:00:00"/>
    <d v="2024-04-12T00:00:00"/>
    <x v="43"/>
    <x v="125"/>
    <n v="0.75"/>
    <n v="11"/>
    <m/>
    <m/>
    <m/>
    <m/>
  </r>
  <r>
    <s v="2024"/>
    <x v="0"/>
    <m/>
    <x v="281"/>
    <m/>
    <s v="Compromiso Matriz Regional  (Ecuador)"/>
    <m/>
    <x v="0"/>
    <s v="Funcionalidades País"/>
    <s v="DSI"/>
    <x v="0"/>
    <s v="José Fernandez - Darwin Mora"/>
    <x v="1"/>
    <x v="2"/>
    <x v="1"/>
    <m/>
    <s v="Q2"/>
    <m/>
    <s v="BAJA"/>
    <m/>
    <n v="8"/>
    <n v="2"/>
    <n v="550"/>
    <m/>
    <n v="9380"/>
    <m/>
    <m/>
    <d v="2024-04-01T00:00:00"/>
    <d v="2024-05-27T00:00:00"/>
    <m/>
    <d v="2024-05-28T00:00:00"/>
    <d v="2024-06-11T00:00:00"/>
    <d v="2895-04-26T00:00:00"/>
    <d v="2024-06-12T00:00:00"/>
    <d v="2024-07-10T00:00:00"/>
    <x v="11"/>
    <x v="41"/>
    <n v="2"/>
    <n v="28"/>
    <s v="PROYECTO REGIONAL"/>
    <m/>
    <m/>
    <m/>
  </r>
  <r>
    <s v="2024"/>
    <x v="1"/>
    <m/>
    <x v="282"/>
    <m/>
    <s v="Reporte consolidado de compras, filtro por proveedor"/>
    <m/>
    <x v="0"/>
    <s v="Mejoras Contabilidad"/>
    <s v="CAR"/>
    <x v="0"/>
    <s v="Veronica Suntaxi"/>
    <x v="10"/>
    <x v="2"/>
    <x v="0"/>
    <s v="ALTA"/>
    <s v="Q2"/>
    <m/>
    <s v="BAJA"/>
    <m/>
    <n v="2"/>
    <n v="2"/>
    <n v="400"/>
    <m/>
    <n v="2240"/>
    <m/>
    <m/>
    <d v="2024-03-25T00:00:00"/>
    <d v="2024-04-05T00:00:00"/>
    <d v="2024-04-09T00:00:00"/>
    <d v="2024-04-06T00:00:00"/>
    <d v="2024-04-02T00:00:00"/>
    <d v="2894-02-16T00:00:00"/>
    <m/>
    <m/>
    <x v="27"/>
    <x v="1"/>
    <n v="0.5"/>
    <n v="0"/>
    <m/>
    <m/>
    <m/>
    <m/>
  </r>
  <r>
    <s v="2024"/>
    <x v="1"/>
    <m/>
    <x v="283"/>
    <m/>
    <s v="Ver Anexo A4"/>
    <m/>
    <x v="0"/>
    <s v="Célula de Operaciones SIR 2024"/>
    <s v="OPER"/>
    <x v="0"/>
    <s v="Sandra Pailacho"/>
    <x v="0"/>
    <x v="2"/>
    <x v="0"/>
    <n v="24"/>
    <s v="Q2"/>
    <m/>
    <s v="MEDIA"/>
    <m/>
    <n v="4"/>
    <n v="2"/>
    <n v="400"/>
    <m/>
    <n v="3840"/>
    <m/>
    <m/>
    <d v="2024-04-01T00:00:00"/>
    <d v="2024-04-26T00:00:00"/>
    <e v="#REF!"/>
    <d v="2024-04-30T00:00:00"/>
    <d v="2024-05-07T00:00:00"/>
    <d v="2894-09-07T00:00:00"/>
    <m/>
    <m/>
    <x v="11"/>
    <x v="1"/>
    <n v="1"/>
    <n v="0"/>
    <m/>
    <m/>
    <m/>
    <m/>
  </r>
  <r>
    <s v="2024"/>
    <x v="5"/>
    <m/>
    <x v="284"/>
    <m/>
    <s v="Tesorería, vinculo con SAP, con corte a la fecha ( en línea)"/>
    <m/>
    <x v="0"/>
    <s v="Desarrollo Reporte Deuda"/>
    <s v="CAR"/>
    <x v="0"/>
    <s v="Amparo Aleman"/>
    <x v="15"/>
    <x v="2"/>
    <x v="0"/>
    <s v="Q2"/>
    <s v="Q2"/>
    <m/>
    <s v="MEDIA"/>
    <n v="1"/>
    <n v="4"/>
    <n v="1"/>
    <n v="1600"/>
    <m/>
    <n v="7040"/>
    <m/>
    <m/>
    <d v="2024-03-07T00:00:00"/>
    <d v="2024-05-07T00:00:00"/>
    <n v="61"/>
    <d v="2024-05-07T00:00:00"/>
    <d v="2024-05-14T00:00:00"/>
    <n v="7"/>
    <d v="2024-05-14T00:00:00"/>
    <d v="2024-05-21T00:00:00"/>
    <x v="36"/>
    <x v="60"/>
    <n v="1"/>
    <n v="7"/>
    <m/>
    <m/>
    <m/>
    <m/>
  </r>
  <r>
    <s v="2024"/>
    <x v="0"/>
    <m/>
    <x v="285"/>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x v="0"/>
    <s v="Mejoras Maxpoint Auditoría 2024"/>
    <s v="CAR"/>
    <x v="0"/>
    <s v="Vladimir Morillo"/>
    <x v="2"/>
    <x v="2"/>
    <x v="0"/>
    <n v="1"/>
    <s v="Q1"/>
    <s v="Socializar con auditoría que este proceso ya se encuentra implementado"/>
    <s v="BAJA"/>
    <n v="1"/>
    <n v="4"/>
    <n v="1"/>
    <n v="550"/>
    <m/>
    <n v="2780"/>
    <m/>
    <m/>
    <d v="2024-03-25T00:00:00"/>
    <d v="2024-04-22T00:00:00"/>
    <d v="1900-01-27T00:00:00"/>
    <d v="2024-04-23T00:00:00"/>
    <d v="2024-05-07T00:00:00"/>
    <d v="2894-07-20T00:00:00"/>
    <d v="2024-05-08T00:00:00"/>
    <d v="2024-05-22T00:00:00"/>
    <x v="27"/>
    <x v="42"/>
    <n v="1"/>
    <n v="14"/>
    <m/>
    <m/>
    <m/>
    <m/>
  </r>
  <r>
    <s v="2024"/>
    <x v="0"/>
    <m/>
    <x v="286"/>
    <m/>
    <s v="control de retiros solicitados con distintas formas de pago desde delivery."/>
    <m/>
    <x v="0"/>
    <s v="Funcionalidades Locales"/>
    <s v="REGIONAL"/>
    <x v="2"/>
    <s v="Jhustin Vergara"/>
    <x v="6"/>
    <x v="1"/>
    <x v="0"/>
    <m/>
    <s v="Q2"/>
    <s v="Se ejecutaría si el retiro de motorizados regional no cumple con la operación multimoneda de Venezuela"/>
    <s v="MEDIA"/>
    <n v="1"/>
    <n v="4"/>
    <n v="2"/>
    <n v="550"/>
    <m/>
    <n v="4400"/>
    <m/>
    <m/>
    <m/>
    <m/>
    <e v="#REF!"/>
    <d v="2024-05-06T00:00:00"/>
    <d v="2024-05-24T00:00:00"/>
    <n v="363362"/>
    <d v="2024-05-27T00:00:00"/>
    <d v="2024-05-29T00:00:00"/>
    <x v="9"/>
    <x v="18"/>
    <d v="1899-12-31T00:00:00"/>
    <n v="2"/>
    <m/>
    <m/>
    <m/>
    <m/>
  </r>
  <r>
    <s v="2024"/>
    <x v="5"/>
    <m/>
    <x v="287"/>
    <m/>
    <s v="Cierre Automatico de ordenes de venta no tratadas en 48 horas _x000a_Se crean pedidos y no se tratan toca obtener un reporte y eliminar los mismos_x000a_JOB automatico"/>
    <m/>
    <x v="0"/>
    <s v="Optimización Procesos Plantas"/>
    <s v="PLANTA"/>
    <x v="0"/>
    <s v="Diego Díaz "/>
    <x v="10"/>
    <x v="2"/>
    <x v="0"/>
    <s v="Q2"/>
    <s v="Q2"/>
    <m/>
    <s v="MEDIA"/>
    <n v="1"/>
    <n v="1"/>
    <n v="1"/>
    <n v="1100"/>
    <m/>
    <n v="1100"/>
    <m/>
    <m/>
    <m/>
    <m/>
    <n v="0"/>
    <m/>
    <m/>
    <n v="0"/>
    <m/>
    <m/>
    <x v="9"/>
    <x v="1"/>
    <d v="1899-12-30T06:00:00"/>
    <n v="0"/>
    <m/>
    <m/>
    <m/>
    <m/>
  </r>
  <r>
    <s v="2024"/>
    <x v="5"/>
    <m/>
    <x v="288"/>
    <m/>
    <s v="Implementar SAP Logistica Chile"/>
    <m/>
    <x v="0"/>
    <s v="Funcionalidades Locales"/>
    <s v="REGIONAL"/>
    <x v="4"/>
    <s v="Martin Iparraguirre"/>
    <x v="13"/>
    <x v="1"/>
    <x v="0"/>
    <s v="Q4"/>
    <s v="Q4"/>
    <m/>
    <s v="ALTA"/>
    <n v="1"/>
    <m/>
    <m/>
    <m/>
    <m/>
    <n v="0"/>
    <m/>
    <m/>
    <d v="2024-09-07T00:00:00"/>
    <d v="2025-02-28T00:00:00"/>
    <n v="174"/>
    <d v="2025-03-01T00:00:00"/>
    <d v="2025-03-31T00:00:00"/>
    <n v="30"/>
    <d v="2025-03-01T00:00:00"/>
    <d v="2025-03-31T00:00:00"/>
    <x v="74"/>
    <x v="126"/>
    <n v="0"/>
    <n v="30"/>
    <m/>
    <m/>
    <m/>
    <m/>
  </r>
  <r>
    <s v="2024"/>
    <x v="5"/>
    <m/>
    <x v="289"/>
    <m/>
    <s v="Implementar SAP en Venezuela"/>
    <m/>
    <x v="0"/>
    <s v="Funcionalidades Locales"/>
    <s v="REGIONAL"/>
    <x v="2"/>
    <s v="Antonio Sampayo"/>
    <x v="6"/>
    <x v="1"/>
    <x v="0"/>
    <s v="Q2"/>
    <s v="Q2"/>
    <m/>
    <s v="ALTA"/>
    <n v="1"/>
    <m/>
    <m/>
    <m/>
    <m/>
    <n v="0"/>
    <m/>
    <m/>
    <d v="2024-03-07T00:00:00"/>
    <d v="2024-06-28T00:00:00"/>
    <n v="113"/>
    <d v="2024-07-01T00:00:00"/>
    <d v="2024-07-31T00:00:00"/>
    <n v="30"/>
    <d v="2024-07-01T00:00:00"/>
    <d v="2024-07-31T00:00:00"/>
    <x v="36"/>
    <x v="55"/>
    <d v="1899-12-30T00:00:00"/>
    <n v="30"/>
    <m/>
    <m/>
    <m/>
    <m/>
  </r>
  <r>
    <s v="2024"/>
    <x v="5"/>
    <m/>
    <x v="290"/>
    <m/>
    <s v="Analizar solución con RPA"/>
    <m/>
    <x v="0"/>
    <s v="Consolidacion prestamos intercompany"/>
    <s v="CAR"/>
    <x v="0"/>
    <s v="Amparo Aleman"/>
    <x v="15"/>
    <x v="2"/>
    <x v="0"/>
    <s v="Q2"/>
    <s v="Q2"/>
    <m/>
    <s v="ALTA"/>
    <n v="1"/>
    <n v="4"/>
    <n v="1"/>
    <n v="1600"/>
    <m/>
    <n v="7040"/>
    <m/>
    <m/>
    <d v="2024-04-07T00:00:00"/>
    <d v="2024-05-07T00:00:00"/>
    <n v="30"/>
    <d v="2024-05-07T00:00:00"/>
    <d v="2024-05-07T00:00:00"/>
    <n v="0"/>
    <d v="2024-05-07T00:00:00"/>
    <d v="2024-05-21T00:00:00"/>
    <x v="30"/>
    <x v="60"/>
    <n v="1"/>
    <n v="14"/>
    <m/>
    <m/>
    <m/>
    <m/>
  </r>
  <r>
    <s v="2024"/>
    <x v="5"/>
    <m/>
    <x v="291"/>
    <m/>
    <s v="CONTAR CON UN PLAN DE RECUPERACION ANTE DESASTERES Y PLAN DE CONTINUIDAD DE NEGOCIO "/>
    <m/>
    <x v="1"/>
    <s v="Implementar DRP / BCP SAP Países"/>
    <s v="DSI"/>
    <x v="0"/>
    <m/>
    <x v="1"/>
    <x v="2"/>
    <x v="1"/>
    <s v="Q2"/>
    <s v="Q3"/>
    <m/>
    <s v="ALTA"/>
    <n v="0.8"/>
    <n v="12"/>
    <n v="10"/>
    <n v="1221"/>
    <m/>
    <n v="117216"/>
    <n v="108310.40000000001"/>
    <m/>
    <d v="2024-02-21T00:00:00"/>
    <d v="2024-05-21T00:00:00"/>
    <n v="90"/>
    <d v="2024-03-21T00:00:00"/>
    <d v="2024-03-28T00:00:00"/>
    <n v="7"/>
    <d v="2024-03-21T00:00:00"/>
    <d v="2024-03-28T00:00:00"/>
    <x v="23"/>
    <x v="127"/>
    <n v="3"/>
    <n v="7"/>
    <s v="PROYECTO REGIONAL"/>
    <m/>
    <m/>
    <m/>
  </r>
  <r>
    <s v="2024"/>
    <x v="5"/>
    <m/>
    <x v="291"/>
    <m/>
    <s v="CONTAR CON UN PLAN DE RECUPERACION ANTE DESASTERES Y PLAN DE CONTINUIDAD DE NEGOCIO "/>
    <m/>
    <x v="3"/>
    <s v="Implementar DRP / BCP SAP Países"/>
    <s v="REGIONAL"/>
    <x v="4"/>
    <m/>
    <x v="13"/>
    <x v="1"/>
    <x v="1"/>
    <s v="Q1"/>
    <s v="Q3"/>
    <m/>
    <s v="ALTA"/>
    <n v="0.05"/>
    <n v="12"/>
    <n v="10"/>
    <n v="1221"/>
    <m/>
    <n v="7326"/>
    <n v="6769.4000000000005"/>
    <m/>
    <d v="2024-02-21T00:00:00"/>
    <d v="2024-05-21T00:00:00"/>
    <n v="90"/>
    <d v="2024-03-21T00:00:00"/>
    <d v="2024-03-28T00:00:00"/>
    <n v="7"/>
    <d v="2024-03-21T00:00:00"/>
    <d v="2024-03-28T00:00:00"/>
    <x v="23"/>
    <x v="127"/>
    <n v="3"/>
    <n v="7"/>
    <s v="PROYECTO REGIONAL"/>
    <m/>
    <m/>
    <m/>
  </r>
  <r>
    <s v="2024"/>
    <x v="5"/>
    <m/>
    <x v="291"/>
    <m/>
    <s v="CONTAR CON UN PLAN DE RECUPERACION ANTE DESASTERES Y PLAN DE CONTINUIDAD DE NEGOCIO "/>
    <m/>
    <x v="3"/>
    <s v="Implementar DRP / BCP SAP Países"/>
    <s v="REGIONAL"/>
    <x v="3"/>
    <m/>
    <x v="9"/>
    <x v="1"/>
    <x v="1"/>
    <s v="Q1"/>
    <s v="Q3"/>
    <m/>
    <s v="ALTA"/>
    <n v="0.15"/>
    <n v="12"/>
    <n v="10"/>
    <n v="1221"/>
    <m/>
    <n v="21978"/>
    <n v="20308.2"/>
    <m/>
    <d v="2024-02-21T00:00:00"/>
    <d v="2024-05-21T00:00:00"/>
    <n v="90"/>
    <d v="2024-03-21T00:00:00"/>
    <d v="2024-03-28T00:00:00"/>
    <n v="7"/>
    <d v="2024-03-21T00:00:00"/>
    <d v="2024-03-28T00:00:00"/>
    <x v="23"/>
    <x v="127"/>
    <n v="3"/>
    <n v="7"/>
    <s v="PROYECTO REGIONAL"/>
    <m/>
    <m/>
    <m/>
  </r>
  <r>
    <s v="2024"/>
    <x v="5"/>
    <m/>
    <x v="292"/>
    <m/>
    <s v="PAM Basis"/>
    <m/>
    <x v="1"/>
    <s v="SAP(Licencias, Servicios Externos)"/>
    <s v="DSI"/>
    <x v="0"/>
    <s v="Juan Alejadro"/>
    <x v="1"/>
    <x v="1"/>
    <x v="0"/>
    <s v="Q3"/>
    <s v="Q3"/>
    <m/>
    <s v="ALTA"/>
    <n v="0.8"/>
    <n v="3"/>
    <n v="24"/>
    <n v="500"/>
    <m/>
    <n v="289120"/>
    <m/>
    <m/>
    <d v="2024-02-28T00:00:00"/>
    <d v="2024-08-28T00:00:00"/>
    <n v="182"/>
    <m/>
    <m/>
    <n v="0"/>
    <m/>
    <m/>
    <x v="72"/>
    <x v="1"/>
    <n v="0.75"/>
    <n v="0"/>
    <s v="PROYECTO REGIONAL"/>
    <m/>
    <m/>
    <m/>
  </r>
  <r>
    <s v="2024"/>
    <x v="5"/>
    <m/>
    <x v="292"/>
    <m/>
    <s v="PAM Basis"/>
    <m/>
    <x v="3"/>
    <s v="SAP(Licencias, Servicios Externos)"/>
    <s v="DSI"/>
    <x v="3"/>
    <s v="Juan Alejadro"/>
    <x v="9"/>
    <x v="1"/>
    <x v="0"/>
    <s v="Q3"/>
    <s v="Q3"/>
    <m/>
    <s v="ALTA"/>
    <n v="0.15"/>
    <n v="3"/>
    <n v="24"/>
    <n v="500"/>
    <m/>
    <n v="22692"/>
    <m/>
    <m/>
    <d v="2024-02-28T00:00:00"/>
    <d v="2024-08-28T00:00:00"/>
    <n v="182"/>
    <m/>
    <m/>
    <n v="0"/>
    <m/>
    <m/>
    <x v="72"/>
    <x v="1"/>
    <n v="0.75"/>
    <n v="0"/>
    <s v="PROYECTO REGIONAL"/>
    <m/>
    <m/>
    <m/>
  </r>
  <r>
    <s v="2024"/>
    <x v="5"/>
    <m/>
    <x v="292"/>
    <m/>
    <s v="PAM Basis"/>
    <m/>
    <x v="3"/>
    <s v="SAP(Licencias, Servicios Externos)"/>
    <s v="DSI"/>
    <x v="4"/>
    <s v="Juan Alejadro"/>
    <x v="13"/>
    <x v="1"/>
    <x v="0"/>
    <s v="Q2"/>
    <s v="Q3"/>
    <m/>
    <s v="ALTA"/>
    <n v="0.05"/>
    <n v="3"/>
    <n v="24"/>
    <n v="500"/>
    <m/>
    <n v="25219"/>
    <m/>
    <m/>
    <d v="2024-02-28T00:00:00"/>
    <d v="2024-08-28T00:00:00"/>
    <n v="182"/>
    <m/>
    <m/>
    <n v="0"/>
    <m/>
    <m/>
    <x v="72"/>
    <x v="1"/>
    <n v="0.75"/>
    <n v="0"/>
    <s v="PROYECTO REGIONAL"/>
    <m/>
    <m/>
    <m/>
  </r>
  <r>
    <s v="2024"/>
    <x v="5"/>
    <m/>
    <x v="293"/>
    <m/>
    <m/>
    <m/>
    <x v="0"/>
    <m/>
    <s v="CAR"/>
    <x v="0"/>
    <s v="Diego Díaz"/>
    <x v="12"/>
    <x v="0"/>
    <x v="0"/>
    <m/>
    <m/>
    <m/>
    <m/>
    <m/>
    <m/>
    <m/>
    <m/>
    <m/>
    <n v="3300"/>
    <m/>
    <m/>
    <m/>
    <m/>
    <e v="#REF!"/>
    <m/>
    <m/>
    <d v="1899-12-30T00:00:00"/>
    <m/>
    <m/>
    <x v="9"/>
    <x v="1"/>
    <n v="0"/>
    <n v="0"/>
    <m/>
    <m/>
    <m/>
    <m/>
  </r>
  <r>
    <s v="2023"/>
    <x v="1"/>
    <m/>
    <x v="294"/>
    <m/>
    <m/>
    <m/>
    <x v="0"/>
    <s v="Otros - Presupuesto 2023"/>
    <s v="CAR"/>
    <x v="0"/>
    <s v="Diego Díaz"/>
    <x v="10"/>
    <x v="1"/>
    <x v="1"/>
    <m/>
    <s v="Q1"/>
    <m/>
    <s v="ALTA"/>
    <m/>
    <n v="1"/>
    <n v="4"/>
    <n v="550"/>
    <m/>
    <n v="2200"/>
    <m/>
    <m/>
    <d v="2024-01-15T00:00:00"/>
    <d v="2024-01-26T00:00:00"/>
    <e v="#REF!"/>
    <d v="2024-03-01T00:00:00"/>
    <d v="2024-03-08T00:00:00"/>
    <d v="2893-05-15T00:00:00"/>
    <m/>
    <m/>
    <x v="25"/>
    <x v="1"/>
    <n v="0.25"/>
    <n v="0"/>
    <m/>
    <m/>
    <m/>
    <m/>
  </r>
  <r>
    <s v="2024"/>
    <x v="3"/>
    <m/>
    <x v="295"/>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x v="0"/>
    <s v="Aprobación orden de compra - Mercadeo"/>
    <s v="CAR"/>
    <x v="0"/>
    <s v="Verónica Marañon"/>
    <x v="19"/>
    <x v="2"/>
    <x v="0"/>
    <s v="Q2"/>
    <s v="Q4"/>
    <m/>
    <s v="ALTA"/>
    <n v="1"/>
    <n v="5"/>
    <n v="1"/>
    <n v="550"/>
    <m/>
    <n v="3950"/>
    <m/>
    <m/>
    <d v="2024-10-01T00:00:00"/>
    <d v="2025-10-07T00:00:00"/>
    <d v="2024-11-01T00:00:00"/>
    <d v="2025-10-07T00:00:00"/>
    <d v="2024-10-14T00:00:00"/>
    <d v="2024-11-07T00:00:00"/>
    <d v="2024-10-21T00:00:00"/>
    <d v="2024-04-21T00:00:00"/>
    <x v="14"/>
    <x v="128"/>
    <n v="1.25"/>
    <n v="-183"/>
    <m/>
    <m/>
    <m/>
    <m/>
  </r>
  <r>
    <s v="2024"/>
    <x v="3"/>
    <m/>
    <x v="296"/>
    <m/>
    <s v="Nuevo Requerimiento"/>
    <m/>
    <x v="0"/>
    <s v="Funcionalidades Locales"/>
    <s v="REGIONAL"/>
    <x v="4"/>
    <s v="Davis Nuñez"/>
    <x v="13"/>
    <x v="1"/>
    <x v="1"/>
    <s v="Q1"/>
    <s v="Q1"/>
    <s v="N/A"/>
    <s v="BAJA"/>
    <m/>
    <n v="10"/>
    <n v="1"/>
    <n v="550"/>
    <m/>
    <n v="5500"/>
    <m/>
    <m/>
    <d v="2024-01-14T00:00:00"/>
    <d v="2024-03-14T00:00:00"/>
    <e v="#REF!"/>
    <d v="2024-03-14T00:00:00"/>
    <d v="2024-03-28T00:00:00"/>
    <d v="2893-09-03T00:00:00"/>
    <d v="2024-03-28T00:00:00"/>
    <d v="2024-04-07T00:00:00"/>
    <x v="75"/>
    <x v="29"/>
    <n v="2.5"/>
    <n v="10"/>
    <m/>
    <m/>
    <m/>
    <m/>
  </r>
  <r>
    <s v="2024"/>
    <x v="3"/>
    <m/>
    <x v="297"/>
    <m/>
    <s v="Lo estaba proponiendo Davis N fase 1 (Regional) más ajustes a EC"/>
    <m/>
    <x v="0"/>
    <s v="Aprobación orden de compra - CAR"/>
    <s v="CAR"/>
    <x v="0"/>
    <s v="Diego Díaz"/>
    <x v="12"/>
    <x v="2"/>
    <x v="0"/>
    <s v="Q2"/>
    <s v="Q2"/>
    <m/>
    <s v="MEDIA"/>
    <m/>
    <n v="10"/>
    <n v="1"/>
    <n v="550"/>
    <m/>
    <n v="5500"/>
    <m/>
    <m/>
    <m/>
    <m/>
    <e v="#REF!"/>
    <m/>
    <m/>
    <d v="1899-12-30T00:00:00"/>
    <m/>
    <m/>
    <x v="9"/>
    <x v="1"/>
    <n v="2.5"/>
    <n v="0"/>
    <m/>
    <m/>
    <m/>
    <m/>
  </r>
  <r>
    <s v="2024"/>
    <x v="3"/>
    <m/>
    <x v="298"/>
    <m/>
    <s v="Creación de OCs a SAP de Materiales"/>
    <m/>
    <x v="0"/>
    <s v="Aprobación orden de compra - Planta"/>
    <s v="PLANTA"/>
    <x v="0"/>
    <s v="Diego Díaz "/>
    <x v="12"/>
    <x v="2"/>
    <x v="0"/>
    <m/>
    <s v="Q4"/>
    <m/>
    <s v="ALTA"/>
    <m/>
    <n v="7"/>
    <n v="1"/>
    <n v="550"/>
    <m/>
    <n v="5850"/>
    <m/>
    <m/>
    <m/>
    <m/>
    <e v="#REF!"/>
    <m/>
    <m/>
    <d v="1899-12-30T00:00:00"/>
    <m/>
    <m/>
    <x v="9"/>
    <x v="1"/>
    <n v="1.75"/>
    <n v="0"/>
    <m/>
    <m/>
    <m/>
    <m/>
  </r>
  <r>
    <s v="2024"/>
    <x v="3"/>
    <m/>
    <x v="299"/>
    <m/>
    <s v="Conciliacion de depositos de Tiendas vs lo Reflejado en Bancos"/>
    <m/>
    <x v="0"/>
    <s v="Funcionalidades Locales"/>
    <s v="REGIONAL"/>
    <x v="4"/>
    <s v="Davis Nuñez"/>
    <x v="13"/>
    <x v="1"/>
    <x v="0"/>
    <s v="Q2"/>
    <s v="Q2"/>
    <s v="N/A"/>
    <s v="MEDIA"/>
    <m/>
    <n v="12"/>
    <n v="1"/>
    <n v="550"/>
    <m/>
    <n v="7240"/>
    <m/>
    <m/>
    <d v="2024-07-01T00:00:00"/>
    <d v="2024-08-31T00:00:00"/>
    <e v="#REF!"/>
    <d v="2024-08-31T00:00:00"/>
    <d v="2024-09-07T00:00:00"/>
    <d v="2897-05-18T00:00:00"/>
    <d v="2024-09-07T00:00:00"/>
    <d v="2024-09-14T00:00:00"/>
    <x v="19"/>
    <x v="120"/>
    <n v="3"/>
    <n v="7"/>
    <m/>
    <m/>
    <m/>
    <m/>
  </r>
  <r>
    <s v="2024"/>
    <x v="3"/>
    <m/>
    <x v="300"/>
    <m/>
    <s v="Consumo al Servicio de ACEPTA para Sacar las Facturas y hacer la comparación contra la data de Venta de MXP o BI Se necesita apoyo de ERP para incluir Bots y jalar la data de ACEPTA"/>
    <m/>
    <x v="0"/>
    <s v="Funcionalidades Locales"/>
    <s v="REGIONAL"/>
    <x v="4"/>
    <s v="Davis Nuñez"/>
    <x v="13"/>
    <x v="1"/>
    <x v="0"/>
    <s v="Q4"/>
    <s v="Q3"/>
    <s v="Sistema de Conciliaciones"/>
    <s v="MEDIA"/>
    <m/>
    <n v="12"/>
    <n v="1"/>
    <n v="550"/>
    <m/>
    <n v="7240"/>
    <m/>
    <m/>
    <d v="2024-08-01T00:00:00"/>
    <d v="2024-10-14T00:00:00"/>
    <d v="2024-10-14T00:00:00"/>
    <d v="2024-10-21T00:00:00"/>
    <d v="2024-10-21T00:00:00"/>
    <d v="2024-11-01T00:00:00"/>
    <d v="2024-10-21T00:00:00"/>
    <d v="2024-11-01T00:00:00"/>
    <x v="12"/>
    <x v="2"/>
    <n v="3"/>
    <n v="11"/>
    <m/>
    <m/>
    <m/>
    <m/>
  </r>
  <r>
    <s v="2024"/>
    <x v="3"/>
    <m/>
    <x v="301"/>
    <m/>
    <s v="Transbank es el banco de Tarjetas: Hassar Intermediario de Switch Transaccional de Chile contra SIR y BI"/>
    <m/>
    <x v="0"/>
    <s v="Funcionalidades Locales"/>
    <s v="REGIONAL"/>
    <x v="4"/>
    <s v="Davis Nuñez"/>
    <x v="13"/>
    <x v="1"/>
    <x v="0"/>
    <s v="Q3"/>
    <s v="Q3"/>
    <s v="Sistema de Conciliaciones"/>
    <s v="ALTA"/>
    <m/>
    <n v="12"/>
    <n v="1"/>
    <n v="550"/>
    <m/>
    <n v="7240"/>
    <m/>
    <m/>
    <d v="2024-08-01T00:00:00"/>
    <d v="2024-10-14T00:00:00"/>
    <e v="#REF!"/>
    <d v="2024-10-14T00:00:00"/>
    <d v="2024-10-21T00:00:00"/>
    <d v="2898-05-05T00:00:00"/>
    <d v="2024-10-21T00:00:00"/>
    <d v="2024-11-01T00:00:00"/>
    <x v="12"/>
    <x v="2"/>
    <n v="3"/>
    <n v="11"/>
    <m/>
    <m/>
    <m/>
    <m/>
  </r>
  <r>
    <s v="2024"/>
    <x v="1"/>
    <m/>
    <x v="302"/>
    <m/>
    <m/>
    <m/>
    <x v="1"/>
    <s v="Mantenimiento"/>
    <s v="DSI"/>
    <x v="0"/>
    <s v="Vanessa Soria"/>
    <x v="1"/>
    <x v="1"/>
    <x v="0"/>
    <m/>
    <s v="Q2"/>
    <m/>
    <s v="BAJA"/>
    <m/>
    <n v="2"/>
    <n v="2"/>
    <n v="400"/>
    <m/>
    <n v="2240"/>
    <m/>
    <m/>
    <d v="2024-03-25T00:00:00"/>
    <d v="2024-04-05T00:00:00"/>
    <e v="#REF!"/>
    <d v="2024-04-09T00:00:00"/>
    <d v="2024-04-16T00:00:00"/>
    <d v="2894-03-23T00:00:00"/>
    <m/>
    <m/>
    <x v="27"/>
    <x v="1"/>
    <n v="0.5"/>
    <n v="0"/>
    <m/>
    <m/>
    <m/>
    <m/>
  </r>
  <r>
    <s v="2024"/>
    <x v="2"/>
    <s v="Appedir"/>
    <x v="303"/>
    <s v="MAX LEGACY_x000a_TRADE"/>
    <s v="Appedir Integración Paymentez Visa y Mastercard Appedir; Kushki Diners y Discover Appedir"/>
    <s v="ALTA"/>
    <x v="0"/>
    <s v="Proyectos TD 2024"/>
    <s v="CAR"/>
    <x v="0"/>
    <s v="Daniel Barreno"/>
    <x v="4"/>
    <x v="1"/>
    <x v="0"/>
    <s v="Q1"/>
    <s v="Q1"/>
    <s v="p18"/>
    <s v="MEDIA"/>
    <m/>
    <n v="4"/>
    <n v="1"/>
    <n v="550"/>
    <m/>
    <n v="2200"/>
    <m/>
    <m/>
    <d v="2024-02-23T00:00:00"/>
    <d v="2024-03-01T00:00:00"/>
    <n v="7"/>
    <d v="2024-03-01T00:00:00"/>
    <d v="2024-03-08T00:00:00"/>
    <n v="362823"/>
    <d v="2024-03-08T00:00:00"/>
    <d v="2024-03-08T00:00:00"/>
    <x v="15"/>
    <x v="18"/>
    <n v="1"/>
    <n v="0"/>
    <s v="ECOMERCE"/>
    <m/>
    <s v="x"/>
    <m/>
  </r>
  <r>
    <s v="2024"/>
    <x v="2"/>
    <s v="APP"/>
    <x v="304"/>
    <s v="MXP LEGACY_x000a_TRADE"/>
    <s v="Aplica para KFC Ecuador"/>
    <s v="BAJA"/>
    <x v="0"/>
    <s v="Funcionalidades Locales"/>
    <s v="OPER"/>
    <x v="0"/>
    <s v="Vladimir Salazar"/>
    <x v="26"/>
    <x v="1"/>
    <x v="0"/>
    <m/>
    <s v="Q3"/>
    <s v="p57"/>
    <s v="ALTA"/>
    <m/>
    <n v="6"/>
    <n v="1"/>
    <n v="550"/>
    <m/>
    <n v="3940"/>
    <m/>
    <m/>
    <d v="2024-09-02T00:00:00"/>
    <d v="2024-09-16T00:00:00"/>
    <n v="14"/>
    <d v="2024-09-16T00:00:00"/>
    <d v="2024-09-23T00:00:00"/>
    <n v="364415"/>
    <d v="2024-09-23T00:00:00"/>
    <d v="2024-09-30T00:00:00"/>
    <x v="47"/>
    <x v="129"/>
    <n v="1.5"/>
    <n v="7"/>
    <m/>
    <m/>
    <m/>
    <m/>
  </r>
  <r>
    <s v="2024"/>
    <x v="5"/>
    <m/>
    <x v="305"/>
    <m/>
    <s v="Extracción de información desde SAP con THEOBALD"/>
    <m/>
    <x v="0"/>
    <s v="Optimizar envío de data a Blob Storage"/>
    <s v="CAR"/>
    <x v="0"/>
    <s v="Amarilis Loor"/>
    <x v="4"/>
    <x v="2"/>
    <x v="0"/>
    <s v="Q2"/>
    <s v="Q3"/>
    <m/>
    <s v="MEDIA"/>
    <m/>
    <m/>
    <n v="4"/>
    <m/>
    <m/>
    <n v="38400"/>
    <n v="15400"/>
    <m/>
    <d v="2024-02-07T00:00:00"/>
    <d v="2024-03-28T00:00:00"/>
    <n v="50"/>
    <d v="2024-03-28T00:00:00"/>
    <d v="2024-03-28T00:00:00"/>
    <n v="0"/>
    <m/>
    <m/>
    <x v="35"/>
    <x v="1"/>
    <n v="0"/>
    <n v="0"/>
    <s v="BI"/>
    <m/>
    <m/>
    <m/>
  </r>
  <r>
    <s v="2024"/>
    <x v="2"/>
    <s v="API Inyección v3"/>
    <x v="306"/>
    <s v="MXP LEGACY_x000a_TRADE"/>
    <s v="Tiempos de Cambios de estado en todos los canales Maxpoint - TRansformación Digital"/>
    <s v="BAJA"/>
    <x v="3"/>
    <s v="Funcionalidades Regionales"/>
    <s v="CAR"/>
    <x v="0"/>
    <s v="Amarilis Loor"/>
    <x v="4"/>
    <x v="1"/>
    <x v="0"/>
    <m/>
    <s v="Q4"/>
    <m/>
    <m/>
    <m/>
    <n v="8"/>
    <n v="1"/>
    <n v="550"/>
    <m/>
    <n v="5040"/>
    <m/>
    <m/>
    <d v="2024-10-07T00:00:00"/>
    <d v="2024-11-11T00:00:00"/>
    <n v="35"/>
    <d v="2024-11-11T00:00:00"/>
    <d v="2024-11-25T00:00:00"/>
    <n v="364870"/>
    <d v="2024-11-25T00:00:00"/>
    <d v="2024-12-02T00:00:00"/>
    <x v="14"/>
    <x v="130"/>
    <n v="2"/>
    <n v="7"/>
    <s v="BI"/>
    <m/>
    <m/>
    <m/>
  </r>
  <r>
    <s v="2024"/>
    <x v="0"/>
    <m/>
    <x v="307"/>
    <m/>
    <s v="Validación para el descuentos por colaborador, se valida con el serviciowebsir. (validar el total por mes)"/>
    <m/>
    <x v="0"/>
    <s v="Funcionalidades Regionales"/>
    <s v="REGIONAL"/>
    <x v="4"/>
    <s v="Davis Nuñez"/>
    <x v="13"/>
    <x v="1"/>
    <x v="0"/>
    <m/>
    <s v="Q3"/>
    <s v="Dependencia campo en SIR de validación, enpoints consulta y actualización._x000a_Confirmar anulación?"/>
    <s v="MEDIA"/>
    <n v="1"/>
    <n v="3"/>
    <n v="1"/>
    <n v="625"/>
    <m/>
    <n v="1875"/>
    <m/>
    <m/>
    <d v="2024-07-01T00:00:00"/>
    <d v="2024-07-12T00:00:00"/>
    <e v="#REF!"/>
    <d v="2024-07-15T00:00:00"/>
    <d v="2024-07-19T00:00:00"/>
    <d v="2896-05-04T00:00:00"/>
    <d v="2024-07-22T00:00:00"/>
    <d v="2024-07-26T00:00:00"/>
    <x v="19"/>
    <x v="131"/>
    <n v="0.75"/>
    <n v="4"/>
    <m/>
    <m/>
    <m/>
    <m/>
  </r>
  <r>
    <s v="2024"/>
    <x v="2"/>
    <s v="Kioscos"/>
    <x v="308"/>
    <s v="MXP LEGACY_x000a_TRADE"/>
    <s v="Requerimiento adicional. Aprobado por marketing"/>
    <m/>
    <x v="0"/>
    <m/>
    <m/>
    <x v="0"/>
    <m/>
    <x v="33"/>
    <x v="1"/>
    <x v="1"/>
    <m/>
    <s v="Q2"/>
    <m/>
    <s v="BAJA"/>
    <n v="1"/>
    <n v="4"/>
    <n v="1"/>
    <n v="550"/>
    <m/>
    <n v="2840"/>
    <m/>
    <m/>
    <d v="2024-03-21T00:00:00"/>
    <m/>
    <e v="#REF!"/>
    <m/>
    <m/>
    <d v="1899-12-30T00:00:00"/>
    <m/>
    <d v="2024-04-12T00:00:00"/>
    <x v="76"/>
    <x v="132"/>
    <n v="1"/>
    <n v="45394"/>
    <s v="PROYECTO LOCAL"/>
    <m/>
    <m/>
    <m/>
  </r>
  <r>
    <s v="2024"/>
    <x v="2"/>
    <s v="Cupones"/>
    <x v="309"/>
    <s v="MXP LEGACY_x000a_TRADE"/>
    <s v="Mejorar la densidad de todos los códigos QR"/>
    <s v="BAJA"/>
    <x v="3"/>
    <s v="Proyectos TD 2024"/>
    <s v="CAR"/>
    <x v="1"/>
    <s v="Daniel Barreno"/>
    <x v="4"/>
    <x v="1"/>
    <x v="0"/>
    <e v="#N/A"/>
    <s v="Q4"/>
    <s v="p75"/>
    <s v="MEDIA"/>
    <n v="1"/>
    <n v="6"/>
    <n v="1"/>
    <n v="550"/>
    <m/>
    <n v="3940"/>
    <m/>
    <m/>
    <d v="2024-04-08T00:00:00"/>
    <d v="2024-04-15T00:00:00"/>
    <n v="7"/>
    <d v="2024-04-15T00:00:00"/>
    <d v="2024-04-22T00:00:00"/>
    <n v="363183"/>
    <d v="2024-04-22T00:00:00"/>
    <d v="2024-04-29T00:00:00"/>
    <x v="77"/>
    <x v="133"/>
    <n v="1.5"/>
    <n v="7"/>
    <s v="PROYECTO REGIONAL"/>
    <m/>
    <s v="x"/>
    <m/>
  </r>
  <r>
    <s v="2024"/>
    <x v="2"/>
    <s v="Cupones"/>
    <x v="309"/>
    <s v="MXP LEGACY_x000a_TRADE"/>
    <s v="Mejorar la densidad de todos los códigos QR"/>
    <s v="BAJA"/>
    <x v="3"/>
    <s v="Proyectos TD 2024"/>
    <s v="CAR"/>
    <x v="4"/>
    <s v="Daniel Barreno"/>
    <x v="4"/>
    <x v="1"/>
    <x v="0"/>
    <e v="#N/A"/>
    <s v="Q4"/>
    <s v="p75"/>
    <s v="MEDIA"/>
    <n v="1"/>
    <n v="5"/>
    <n v="1"/>
    <n v="550"/>
    <m/>
    <n v="3390"/>
    <m/>
    <m/>
    <d v="2024-04-08T00:00:00"/>
    <d v="2024-04-15T00:00:00"/>
    <n v="7"/>
    <d v="2024-04-15T00:00:00"/>
    <d v="2024-04-22T00:00:00"/>
    <n v="363183"/>
    <d v="2024-04-22T00:00:00"/>
    <d v="2024-05-13T00:00:00"/>
    <x v="77"/>
    <x v="26"/>
    <n v="1.25"/>
    <n v="21"/>
    <s v="PROYECTO REGIONAL"/>
    <m/>
    <s v="x"/>
    <m/>
  </r>
  <r>
    <s v="2024"/>
    <x v="2"/>
    <s v="Cupones"/>
    <x v="309"/>
    <s v="MXP LEGACY_x000a_TRADE"/>
    <s v="Mejorar la densidad de todos los códigos QR"/>
    <s v="BAJA"/>
    <x v="3"/>
    <s v="Proyectos TD 2024"/>
    <s v="CAR"/>
    <x v="3"/>
    <s v="Daniel Barreno"/>
    <x v="4"/>
    <x v="1"/>
    <x v="0"/>
    <e v="#N/A"/>
    <s v="Q4"/>
    <s v="p75"/>
    <s v="MEDIA"/>
    <n v="1"/>
    <n v="6"/>
    <n v="1"/>
    <n v="550"/>
    <m/>
    <n v="3940"/>
    <m/>
    <m/>
    <d v="2024-04-08T00:00:00"/>
    <d v="2024-04-15T00:00:00"/>
    <n v="7"/>
    <d v="2024-04-15T00:00:00"/>
    <d v="2024-04-22T00:00:00"/>
    <n v="363183"/>
    <d v="2024-04-22T00:00:00"/>
    <d v="2024-04-29T00:00:00"/>
    <x v="77"/>
    <x v="133"/>
    <n v="1.5"/>
    <n v="7"/>
    <s v="PROYECTO REGIONAL"/>
    <m/>
    <s v="x"/>
    <m/>
  </r>
  <r>
    <s v="2024"/>
    <x v="2"/>
    <s v="Cupones"/>
    <x v="309"/>
    <s v="MXP LEGACY_x000a_TRADE"/>
    <s v="Mejorar la densidad de todos los códigos QR (cambiar)"/>
    <s v="BAJA"/>
    <x v="3"/>
    <s v="Proyectos TD 2024"/>
    <s v="CAR"/>
    <x v="2"/>
    <s v="Daniel Barreno"/>
    <x v="4"/>
    <x v="1"/>
    <x v="0"/>
    <e v="#N/A"/>
    <s v="Q4"/>
    <s v="p75"/>
    <s v="MEDIA"/>
    <n v="1"/>
    <n v="6"/>
    <n v="1"/>
    <n v="550"/>
    <m/>
    <n v="3940"/>
    <m/>
    <m/>
    <d v="2024-04-08T00:00:00"/>
    <d v="2024-04-15T00:00:00"/>
    <n v="7"/>
    <d v="2024-04-15T00:00:00"/>
    <d v="2024-04-22T00:00:00"/>
    <n v="363183"/>
    <d v="2024-04-22T00:00:00"/>
    <d v="2024-04-29T00:00:00"/>
    <x v="77"/>
    <x v="133"/>
    <n v="1.5"/>
    <n v="7"/>
    <s v="PROYECTO REGIONAL"/>
    <m/>
    <s v="x"/>
    <m/>
  </r>
  <r>
    <s v="2024"/>
    <x v="0"/>
    <m/>
    <x v="310"/>
    <m/>
    <m/>
    <m/>
    <x v="1"/>
    <s v="DSI"/>
    <s v="DSI"/>
    <x v="0"/>
    <s v="José Fernández"/>
    <x v="1"/>
    <x v="2"/>
    <x v="0"/>
    <m/>
    <s v="Q2"/>
    <m/>
    <s v="ALTA"/>
    <m/>
    <n v="4"/>
    <n v="1"/>
    <n v="550"/>
    <m/>
    <n v="2780"/>
    <m/>
    <m/>
    <d v="2024-04-01T00:00:00"/>
    <d v="2024-04-29T00:00:00"/>
    <e v="#REF!"/>
    <d v="2024-04-30T00:00:00"/>
    <d v="2024-05-14T00:00:00"/>
    <d v="2894-09-14T00:00:00"/>
    <d v="2024-05-15T00:00:00"/>
    <d v="2024-05-29T00:00:00"/>
    <x v="11"/>
    <x v="18"/>
    <d v="1899-12-31T00:00:00"/>
    <n v="14"/>
    <m/>
    <m/>
    <m/>
    <m/>
  </r>
  <r>
    <s v="2024"/>
    <x v="2"/>
    <s v="API Inyección v3"/>
    <x v="311"/>
    <s v="MXP LEGACY_x000a_TRADE"/>
    <s v="Redcibir el TAG upselling dentro de inyección V3, para sistema de Analítica"/>
    <s v="ALTA"/>
    <x v="0"/>
    <s v="Proyectos TD 2024"/>
    <s v="CAR"/>
    <x v="0"/>
    <s v="Daniel Barreno"/>
    <x v="4"/>
    <x v="1"/>
    <x v="0"/>
    <s v="Q1"/>
    <s v="Q2"/>
    <s v="p17"/>
    <s v="MEDIA"/>
    <n v="1"/>
    <n v="4"/>
    <n v="1"/>
    <n v="550"/>
    <m/>
    <n v="2840"/>
    <m/>
    <m/>
    <d v="2024-03-18T00:00:00"/>
    <d v="2024-03-25T00:00:00"/>
    <n v="7"/>
    <d v="2024-03-25T00:00:00"/>
    <d v="2024-04-01T00:00:00"/>
    <n v="363015"/>
    <d v="2024-04-01T00:00:00"/>
    <d v="2024-04-08T00:00:00"/>
    <x v="33"/>
    <x v="30"/>
    <n v="1"/>
    <n v="7"/>
    <s v="PROYECTO REGIONAL"/>
    <m/>
    <m/>
    <m/>
  </r>
  <r>
    <s v="2024"/>
    <x v="2"/>
    <s v="API Inyección v3"/>
    <x v="311"/>
    <s v="MXP LEGACY_x000a_TRADE"/>
    <s v="Recibir el TAG upselling dentro de inyección V3, para sistema de Analítica"/>
    <s v="ALTA"/>
    <x v="3"/>
    <s v="Proyectos TD 2024"/>
    <s v="CAR"/>
    <x v="4"/>
    <s v="Daniel Barreno"/>
    <x v="4"/>
    <x v="1"/>
    <x v="0"/>
    <s v="Q1"/>
    <s v="Q2"/>
    <s v="p17"/>
    <s v="MEDIA"/>
    <n v="1"/>
    <n v="3"/>
    <n v="1"/>
    <n v="550"/>
    <m/>
    <n v="2290"/>
    <m/>
    <m/>
    <d v="2024-04-22T00:00:00"/>
    <d v="2024-05-06T00:00:00"/>
    <n v="14"/>
    <d v="2024-05-06T00:00:00"/>
    <d v="2024-05-13T00:00:00"/>
    <n v="363351"/>
    <d v="2024-05-13T00:00:00"/>
    <d v="2024-05-13T00:00:00"/>
    <x v="15"/>
    <x v="42"/>
    <n v="0.75"/>
    <n v="0"/>
    <s v="PROYECTO REGIONAL"/>
    <m/>
    <m/>
    <m/>
  </r>
  <r>
    <s v="2024"/>
    <x v="2"/>
    <s v="API Inyección v3"/>
    <x v="311"/>
    <s v="MXP LEGACY_x000a_TRADE"/>
    <s v="Redcibir el TAG upselling dentro de inyección V3, para sistema de Analítica"/>
    <s v="ALTA"/>
    <x v="3"/>
    <s v="Proyectos TD 2024"/>
    <s v="CAR"/>
    <x v="3"/>
    <s v="Daniel Barreno"/>
    <x v="4"/>
    <x v="1"/>
    <x v="0"/>
    <s v="Q1"/>
    <s v="Q2"/>
    <s v="p17"/>
    <s v="MEDIA"/>
    <n v="1"/>
    <n v="2"/>
    <n v="1"/>
    <n v="550"/>
    <m/>
    <n v="1740"/>
    <m/>
    <m/>
    <d v="2024-03-25T00:00:00"/>
    <d v="2024-04-01T00:00:00"/>
    <n v="7"/>
    <d v="2024-04-01T00:00:00"/>
    <d v="2024-04-08T00:00:00"/>
    <n v="363071"/>
    <d v="2024-05-13T00:00:00"/>
    <d v="2024-04-08T00:00:00"/>
    <x v="15"/>
    <x v="35"/>
    <n v="0.5"/>
    <n v="-35"/>
    <s v="PROYECTO REGIONAL"/>
    <m/>
    <m/>
    <m/>
  </r>
  <r>
    <s v="2024"/>
    <x v="2"/>
    <s v="API Inyección v3"/>
    <x v="311"/>
    <s v="MXP LEGACY_x000a_TRADE"/>
    <s v="Recibir el TAG upselling dentro de inyección V3, para sistema de Analítica"/>
    <s v="ALTA"/>
    <x v="3"/>
    <s v="Proyectos TD 2024"/>
    <s v="CAR"/>
    <x v="1"/>
    <s v="Daniel Barreno"/>
    <x v="4"/>
    <x v="1"/>
    <x v="0"/>
    <s v="Q1"/>
    <s v="Q2"/>
    <s v="p17"/>
    <s v="MEDIA"/>
    <n v="1"/>
    <n v="2"/>
    <n v="1"/>
    <n v="550"/>
    <m/>
    <n v="1740"/>
    <m/>
    <m/>
    <d v="2024-05-20T00:00:00"/>
    <d v="2024-05-27T00:00:00"/>
    <n v="7"/>
    <d v="2024-05-27T00:00:00"/>
    <d v="2024-06-03T00:00:00"/>
    <n v="363519"/>
    <d v="2024-06-03T00:00:00"/>
    <d v="2024-06-03T00:00:00"/>
    <x v="33"/>
    <x v="3"/>
    <n v="0.5"/>
    <n v="0"/>
    <s v="PROYECTO REGIONAL"/>
    <m/>
    <m/>
    <m/>
  </r>
  <r>
    <s v="2024"/>
    <x v="2"/>
    <s v="API Inyección v3"/>
    <x v="311"/>
    <s v="MXP LEGACY_x000a_TRADE"/>
    <s v="Redcibir el TAG upselling dentro de inyección V3, para sistema de Analítica"/>
    <s v="ALTA"/>
    <x v="3"/>
    <s v="Proyectos TD 2024"/>
    <s v="CAR"/>
    <x v="2"/>
    <s v="Daniel Barreno"/>
    <x v="4"/>
    <x v="1"/>
    <x v="0"/>
    <s v="Q1"/>
    <s v="Q2"/>
    <s v="p17"/>
    <s v="MEDIA"/>
    <n v="1"/>
    <n v="2"/>
    <n v="1"/>
    <n v="550"/>
    <m/>
    <n v="1740"/>
    <m/>
    <m/>
    <d v="2024-05-06T00:00:00"/>
    <d v="2024-05-20T00:00:00"/>
    <n v="14"/>
    <d v="2024-05-20T00:00:00"/>
    <d v="2024-05-27T00:00:00"/>
    <n v="363463"/>
    <d v="2024-05-27T00:00:00"/>
    <d v="2024-05-27T00:00:00"/>
    <x v="33"/>
    <x v="3"/>
    <n v="0.5"/>
    <n v="0"/>
    <s v="PROYECTO REGIONAL"/>
    <m/>
    <m/>
    <m/>
  </r>
  <r>
    <s v="2024"/>
    <x v="1"/>
    <m/>
    <x v="312"/>
    <m/>
    <s v="Ver Anexo A4"/>
    <m/>
    <x v="0"/>
    <s v="Célula de Operaciones SIR 2024"/>
    <s v="OPER"/>
    <x v="0"/>
    <s v="Sandra Pailacho/Andres Valencia"/>
    <x v="0"/>
    <x v="2"/>
    <x v="0"/>
    <n v="24"/>
    <s v="Q4"/>
    <m/>
    <s v="ALTA"/>
    <m/>
    <n v="5"/>
    <n v="2"/>
    <n v="450"/>
    <m/>
    <n v="4500"/>
    <m/>
    <m/>
    <d v="2024-10-14T00:00:00"/>
    <d v="2024-11-23T00:00:00"/>
    <e v="#REF!"/>
    <d v="2024-11-26T00:00:00"/>
    <d v="2024-11-29T00:00:00"/>
    <d v="2899-04-10T00:00:00"/>
    <m/>
    <m/>
    <x v="5"/>
    <x v="1"/>
    <n v="1.25"/>
    <n v="0"/>
    <m/>
    <m/>
    <m/>
    <m/>
  </r>
  <r>
    <s v="2023"/>
    <x v="1"/>
    <m/>
    <x v="313"/>
    <m/>
    <s v="Ver Anexo A4"/>
    <m/>
    <x v="0"/>
    <s v="Célula de Operaciones SIR 2023"/>
    <s v="OPER"/>
    <x v="0"/>
    <s v="Sandra Pailacho"/>
    <x v="0"/>
    <x v="1"/>
    <x v="1"/>
    <n v="7"/>
    <s v="Q1"/>
    <m/>
    <s v="BAJA"/>
    <m/>
    <n v="2"/>
    <n v="2"/>
    <n v="400"/>
    <m/>
    <n v="2240"/>
    <m/>
    <m/>
    <d v="2024-01-29T00:00:00"/>
    <d v="2024-02-09T00:00:00"/>
    <e v="#REF!"/>
    <d v="2024-03-05T00:00:00"/>
    <d v="2024-03-12T00:00:00"/>
    <d v="2893-06-16T00:00:00"/>
    <m/>
    <m/>
    <x v="78"/>
    <x v="1"/>
    <n v="0.5"/>
    <n v="0"/>
    <s v="Célula Operaciones"/>
    <m/>
    <m/>
    <m/>
  </r>
  <r>
    <s v="2023"/>
    <x v="1"/>
    <m/>
    <x v="314"/>
    <s v="X"/>
    <s v="Segmentación de Sobrantes y Faltantes en el Reporte SIR: USOS Y CONSUMOS MERMAS."/>
    <m/>
    <x v="0"/>
    <s v="Otros - Presupuesto 2023"/>
    <s v="CAR"/>
    <x v="0"/>
    <s v="Vladimir Morillo"/>
    <x v="2"/>
    <x v="1"/>
    <x v="1"/>
    <n v="1"/>
    <s v="Q1"/>
    <m/>
    <s v="BAJA"/>
    <m/>
    <m/>
    <m/>
    <m/>
    <m/>
    <m/>
    <m/>
    <m/>
    <d v="2024-01-01T00:00:00"/>
    <d v="2024-01-21T00:00:00"/>
    <e v="#REF!"/>
    <d v="2024-01-21T00:00:00"/>
    <d v="2024-02-21T00:00:00"/>
    <d v="2892-07-23T00:00:00"/>
    <d v="2024-02-21T00:00:00"/>
    <d v="2024-02-28T00:00:00"/>
    <x v="43"/>
    <x v="48"/>
    <n v="0"/>
    <n v="7"/>
    <m/>
    <m/>
    <m/>
    <m/>
  </r>
  <r>
    <s v="2024"/>
    <x v="1"/>
    <m/>
    <x v="315"/>
    <m/>
    <s v="Ver Anexo A4"/>
    <m/>
    <x v="0"/>
    <s v="Célula de Operaciones SIR 2024"/>
    <s v="OPER"/>
    <x v="0"/>
    <s v="Sandra Pailacho"/>
    <x v="0"/>
    <x v="2"/>
    <x v="0"/>
    <n v="24"/>
    <s v="Q2"/>
    <m/>
    <s v="MEDIA"/>
    <m/>
    <n v="4"/>
    <n v="2"/>
    <n v="400"/>
    <m/>
    <n v="3840"/>
    <m/>
    <m/>
    <d v="2024-04-08T00:00:00"/>
    <d v="2024-04-26T00:00:00"/>
    <d v="2024-04-30T00:00:00"/>
    <d v="2024-05-07T00:00:00"/>
    <d v="2024-04-30T00:00:00"/>
    <d v="2894-10-19T00:00:00"/>
    <m/>
    <m/>
    <x v="38"/>
    <x v="1"/>
    <n v="1"/>
    <n v="0"/>
    <s v="Célula Operaciones"/>
    <m/>
    <m/>
    <m/>
  </r>
  <r>
    <s v="2024"/>
    <x v="5"/>
    <m/>
    <x v="316"/>
    <m/>
    <s v="Consumo sea totalmente Automatico, hay un job que corre en automático, todos los dias 1 pax, baja disponible e49,e41, e20, e51, zmmtansito trx._x000a_se quedan a dirio 1500 , y en zcosumo quedan 30. migo manual realizan cada responsable, en e20 pide lote y eso demora"/>
    <m/>
    <x v="0"/>
    <s v="Optimización Procesos Plantas"/>
    <s v="PLANTA"/>
    <x v="0"/>
    <s v="Diego Díaz "/>
    <x v="10"/>
    <x v="2"/>
    <x v="0"/>
    <s v="Q2"/>
    <s v="Q2"/>
    <m/>
    <s v="MEDIA"/>
    <n v="1"/>
    <n v="1"/>
    <n v="1"/>
    <n v="1100"/>
    <m/>
    <n v="1100"/>
    <m/>
    <m/>
    <m/>
    <m/>
    <n v="0"/>
    <m/>
    <m/>
    <n v="0"/>
    <m/>
    <m/>
    <x v="9"/>
    <x v="1"/>
    <n v="0.25"/>
    <n v="0"/>
    <m/>
    <m/>
    <m/>
    <m/>
  </r>
  <r>
    <s v="2023"/>
    <x v="1"/>
    <m/>
    <x v="317"/>
    <m/>
    <s v="Ver Anexo A4"/>
    <m/>
    <x v="0"/>
    <s v="Célula de Operaciones SIR 2023"/>
    <s v="OPER"/>
    <x v="0"/>
    <s v="Sandra Pailacho"/>
    <x v="0"/>
    <x v="1"/>
    <x v="0"/>
    <n v="3"/>
    <s v="Q2"/>
    <m/>
    <s v="MEDIA"/>
    <m/>
    <n v="2"/>
    <n v="4"/>
    <n v="400"/>
    <m/>
    <n v="3840"/>
    <m/>
    <m/>
    <m/>
    <m/>
    <e v="#REF!"/>
    <m/>
    <m/>
    <d v="1899-12-30T00:00:00"/>
    <m/>
    <m/>
    <x v="9"/>
    <x v="1"/>
    <n v="0.5"/>
    <n v="0"/>
    <s v="Célula Operaciones"/>
    <m/>
    <m/>
    <m/>
  </r>
  <r>
    <s v="2024"/>
    <x v="0"/>
    <m/>
    <x v="318"/>
    <m/>
    <s v="Venta IRSA"/>
    <m/>
    <x v="0"/>
    <s v="Funcionalidades Locales"/>
    <s v="REGIONAL"/>
    <x v="1"/>
    <s v="Adrian Gadja"/>
    <x v="18"/>
    <x v="1"/>
    <x v="1"/>
    <m/>
    <s v="Q1"/>
    <m/>
    <s v="MEDIA"/>
    <n v="1"/>
    <n v="5"/>
    <n v="1"/>
    <n v="550"/>
    <m/>
    <n v="2750"/>
    <m/>
    <m/>
    <d v="2024-03-04T00:00:00"/>
    <d v="2024-05-10T00:00:00"/>
    <e v="#REF!"/>
    <d v="2024-05-13T00:00:00"/>
    <d v="2024-05-17T00:00:00"/>
    <d v="2894-12-17T00:00:00"/>
    <d v="2024-05-20T00:00:00"/>
    <d v="2024-05-24T00:00:00"/>
    <x v="21"/>
    <x v="49"/>
    <d v="1899-12-31T06:00:00"/>
    <n v="4"/>
    <m/>
    <m/>
    <m/>
    <m/>
  </r>
  <r>
    <s v="2024"/>
    <x v="0"/>
    <m/>
    <x v="319"/>
    <m/>
    <s v="Nuevo Requerimiento (Ya levantado a Juan Daniel, documentación adjunta)_x000a_"/>
    <m/>
    <x v="0"/>
    <s v="Funcionalidades Regionales"/>
    <s v="REGIONAL"/>
    <x v="4"/>
    <s v="Davis Nuñez"/>
    <x v="13"/>
    <x v="1"/>
    <x v="0"/>
    <m/>
    <s v="Q2"/>
    <s v="Ambiente de pruebas de EDENRED."/>
    <s v="MEDIA"/>
    <n v="1"/>
    <n v="3"/>
    <n v="1"/>
    <n v="625"/>
    <m/>
    <n v="1875"/>
    <m/>
    <m/>
    <d v="2024-06-03T00:00:00"/>
    <d v="2024-06-14T00:00:00"/>
    <e v="#REF!"/>
    <d v="2024-06-17T00:00:00"/>
    <d v="2024-06-21T00:00:00"/>
    <d v="2895-09-23T00:00:00"/>
    <d v="2024-06-24T00:00:00"/>
    <d v="2024-06-28T00:00:00"/>
    <x v="51"/>
    <x v="19"/>
    <n v="0.75"/>
    <n v="4"/>
    <m/>
    <m/>
    <m/>
    <m/>
  </r>
  <r>
    <s v="2024"/>
    <x v="0"/>
    <m/>
    <x v="320"/>
    <s v="MXP 2.0"/>
    <s v="Resaltar NC en Maxpoint que sean por CAMBIO DE DATOS"/>
    <m/>
    <x v="0"/>
    <s v="Mejoras Maxpoint Auditoría 2024"/>
    <s v="CAR"/>
    <x v="0"/>
    <s v="Vladimir Morillo"/>
    <x v="2"/>
    <x v="2"/>
    <x v="0"/>
    <n v="2"/>
    <s v="Q2"/>
    <m/>
    <s v="BAJA"/>
    <n v="1"/>
    <n v="1"/>
    <n v="2"/>
    <n v="550"/>
    <m/>
    <n v="1680"/>
    <m/>
    <m/>
    <d v="2024-05-27T00:00:00"/>
    <d v="2024-06-10T00:00:00"/>
    <d v="1900-01-13T00:00:00"/>
    <d v="2024-06-11T00:00:00"/>
    <d v="2024-06-25T00:00:00"/>
    <d v="2895-08-16T00:00:00"/>
    <d v="2024-06-26T00:00:00"/>
    <d v="2024-07-10T00:00:00"/>
    <x v="32"/>
    <x v="41"/>
    <n v="0.25"/>
    <n v="14"/>
    <m/>
    <m/>
    <m/>
    <m/>
  </r>
  <r>
    <s v="2023"/>
    <x v="1"/>
    <m/>
    <x v="321"/>
    <m/>
    <s v="Ver Anexo A4"/>
    <m/>
    <x v="0"/>
    <s v="Célula de Operaciones SIR 2023"/>
    <s v="OPER"/>
    <x v="0"/>
    <s v="Sandra Pailacho"/>
    <x v="0"/>
    <x v="1"/>
    <x v="2"/>
    <n v="6"/>
    <s v="Q1"/>
    <m/>
    <s v="BAJA"/>
    <m/>
    <n v="2"/>
    <n v="2"/>
    <n v="400"/>
    <m/>
    <n v="2240"/>
    <m/>
    <m/>
    <d v="2023-12-03T00:00:00"/>
    <d v="2023-12-15T00:00:00"/>
    <e v="#REF!"/>
    <s v="-"/>
    <s v="-"/>
    <e v="#VALUE!"/>
    <m/>
    <m/>
    <x v="79"/>
    <x v="1"/>
    <n v="0.5"/>
    <n v="0"/>
    <s v="Célula Operaciones"/>
    <m/>
    <m/>
    <m/>
  </r>
  <r>
    <m/>
    <x v="8"/>
    <m/>
    <x v="322"/>
    <m/>
    <m/>
    <m/>
    <x v="1"/>
    <m/>
    <m/>
    <x v="6"/>
    <m/>
    <x v="8"/>
    <x v="3"/>
    <x v="3"/>
    <m/>
    <m/>
    <m/>
    <m/>
    <m/>
    <m/>
    <m/>
    <m/>
    <m/>
    <n v="640"/>
    <m/>
    <m/>
    <m/>
    <m/>
    <e v="#REF!"/>
    <m/>
    <m/>
    <d v="1899-12-30T00:00:00"/>
    <m/>
    <m/>
    <x v="9"/>
    <x v="1"/>
    <n v="0"/>
    <n v="0"/>
    <m/>
    <m/>
    <m/>
    <m/>
  </r>
  <r>
    <m/>
    <x v="8"/>
    <m/>
    <x v="322"/>
    <m/>
    <m/>
    <m/>
    <x v="1"/>
    <m/>
    <m/>
    <x v="6"/>
    <m/>
    <x v="8"/>
    <x v="3"/>
    <x v="3"/>
    <m/>
    <m/>
    <m/>
    <m/>
    <m/>
    <m/>
    <m/>
    <m/>
    <m/>
    <n v="640"/>
    <m/>
    <m/>
    <m/>
    <m/>
    <e v="#REF!"/>
    <m/>
    <m/>
    <d v="1899-12-30T00:00:00"/>
    <m/>
    <m/>
    <x v="9"/>
    <x v="1"/>
    <n v="0"/>
    <n v="0"/>
    <m/>
    <m/>
    <m/>
    <m/>
  </r>
  <r>
    <m/>
    <x v="8"/>
    <m/>
    <x v="322"/>
    <m/>
    <m/>
    <m/>
    <x v="1"/>
    <m/>
    <m/>
    <x v="6"/>
    <m/>
    <x v="8"/>
    <x v="3"/>
    <x v="3"/>
    <m/>
    <m/>
    <m/>
    <m/>
    <m/>
    <m/>
    <m/>
    <m/>
    <m/>
    <n v="640"/>
    <m/>
    <m/>
    <m/>
    <m/>
    <e v="#REF!"/>
    <m/>
    <m/>
    <d v="1899-12-30T00:00:00"/>
    <m/>
    <m/>
    <x v="9"/>
    <x v="1"/>
    <n v="0"/>
    <n v="0"/>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r>
    <m/>
    <x v="8"/>
    <m/>
    <x v="322"/>
    <m/>
    <m/>
    <m/>
    <x v="1"/>
    <m/>
    <m/>
    <x v="6"/>
    <m/>
    <x v="8"/>
    <x v="3"/>
    <x v="3"/>
    <m/>
    <m/>
    <m/>
    <m/>
    <m/>
    <m/>
    <m/>
    <m/>
    <m/>
    <m/>
    <m/>
    <m/>
    <m/>
    <m/>
    <m/>
    <m/>
    <m/>
    <m/>
    <m/>
    <m/>
    <x v="29"/>
    <x v="31"/>
    <m/>
    <m/>
    <m/>
    <m/>
    <m/>
    <m/>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6">
  <r>
    <s v="2024"/>
    <s v="SIR"/>
    <m/>
    <s v="Agrupar tarjetas a una sola forma de pago "/>
    <s v="MXP LEGACY"/>
    <s v="Agrupar en una sola forma de pago por tarjeta_x000a_- Interfaz de venta_x000a_- Interfaz de sir y guardar información"/>
    <m/>
    <s v="LOCAL"/>
    <s v="Mejoras Auditoría"/>
    <x v="0"/>
    <s v="Ecuador"/>
    <x v="0"/>
    <x v="0"/>
    <x v="0"/>
    <s v="No iniciado"/>
    <s v="Q1"/>
    <s v="Q2"/>
    <s v="Ejecución del proyecto de conciliador de tarjetas que está a cargo de Canales Digitales"/>
    <s v="ALTA"/>
    <m/>
    <n v="3"/>
    <n v="2"/>
    <n v="550"/>
    <m/>
    <n v="3300"/>
    <m/>
    <m/>
    <n v="3"/>
    <d v="2024-05-27T00:00:00"/>
    <m/>
    <e v="#REF!"/>
    <m/>
    <m/>
    <d v="1899-12-30T00:00:00"/>
    <d v="2024-06-25T00:00:00"/>
    <m/>
    <d v="2024-05-27T00:00:00"/>
    <d v="1899-12-30T00:00:00"/>
    <n v="0.75"/>
    <n v="-45468"/>
    <m/>
    <m/>
    <m/>
  </r>
  <r>
    <s v="2024"/>
    <s v="CANALES DIGITALES"/>
    <s v="Fidelización"/>
    <s v="Añadir Campos Fidelizaciónduna"/>
    <s v="MXP LEGACY_x000a_MXP 2.0"/>
    <s v="Añadir campos al envio de fidelizacion. Añadir un campo adicional dentro del request de fidelización sobre MaxPoint"/>
    <s v="MEDIA"/>
    <s v="LOCAL"/>
    <s v="Funcionalidades Locales"/>
    <x v="0"/>
    <s v="Ecuador"/>
    <x v="1"/>
    <x v="1"/>
    <x v="1"/>
    <s v="No iniciado"/>
    <m/>
    <s v="Q1"/>
    <m/>
    <s v="BAJA"/>
    <m/>
    <n v="3"/>
    <n v="2"/>
    <n v="550"/>
    <m/>
    <n v="3300"/>
    <m/>
    <m/>
    <m/>
    <d v="2024-03-04T00:00:00"/>
    <d v="2024-03-11T00:00:00"/>
    <n v="7"/>
    <d v="2024-03-11T00:00:00"/>
    <d v="2024-03-18T00:00:00"/>
    <n v="362903"/>
    <d v="2024-03-18T00:00:00"/>
    <d v="2024-03-25T00:00:00"/>
    <d v="2024-06-17T00:00:00"/>
    <d v="2024-07-08T00:00:00"/>
    <n v="0.75"/>
    <n v="7"/>
    <m/>
    <m/>
    <m/>
  </r>
  <r>
    <s v="2024"/>
    <s v="CANALES DIGITALES"/>
    <s v="Cupones"/>
    <s v="Establecer órden de cupones (Soporte Cupones)"/>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s v="LOCAL"/>
    <s v="Proyectos TD 2024"/>
    <x v="0"/>
    <s v="Ecuador"/>
    <x v="2"/>
    <x v="2"/>
    <x v="1"/>
    <s v="No iniciado"/>
    <n v="0"/>
    <s v="Q1"/>
    <m/>
    <s v="MEDIA"/>
    <m/>
    <n v="6"/>
    <n v="1"/>
    <n v="550"/>
    <m/>
    <n v="3940"/>
    <m/>
    <m/>
    <m/>
    <d v="2024-03-11T00:00:00"/>
    <d v="2024-03-11T00:00:00"/>
    <n v="0"/>
    <d v="2024-03-11T00:00:00"/>
    <d v="2024-03-18T00:00:00"/>
    <n v="362903"/>
    <d v="2024-03-18T00:00:00"/>
    <d v="2024-03-25T00:00:00"/>
    <d v="2024-04-01T00:00:00"/>
    <d v="2024-05-13T00:00:00"/>
    <n v="1.5"/>
    <n v="7"/>
    <s v="Funcionalidad Lista"/>
    <m/>
    <s v="x"/>
  </r>
  <r>
    <s v="2024"/>
    <s v="CANALES DIGITALES"/>
    <s v="Fidelización"/>
    <s v="Fidelización en local Appedir / Pickup"/>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
    <s v="ALTA"/>
    <s v="LOCAL"/>
    <s v="Proyectos TD 2024"/>
    <x v="0"/>
    <s v="Ecuador"/>
    <x v="3"/>
    <x v="1"/>
    <x v="1"/>
    <s v="No iniciado"/>
    <e v="#N/A"/>
    <s v="Q1"/>
    <s v="p62"/>
    <s v="MEDIA"/>
    <m/>
    <n v="10"/>
    <n v="2"/>
    <n v="550"/>
    <m/>
    <n v="11640"/>
    <m/>
    <m/>
    <m/>
    <d v="2024-02-26T00:00:00"/>
    <d v="2024-03-11T00:00:00"/>
    <n v="14"/>
    <d v="2024-03-11T00:00:00"/>
    <d v="2024-03-18T00:00:00"/>
    <n v="362903"/>
    <d v="2024-03-18T00:00:00"/>
    <d v="2024-03-25T00:00:00"/>
    <d v="2024-04-01T00:00:00"/>
    <d v="2024-06-10T00:00:00"/>
    <n v="2.5"/>
    <n v="7"/>
    <s v="ECOMERCE"/>
    <m/>
    <s v="x"/>
  </r>
  <r>
    <s v="2024"/>
    <s v="SISTEMAS INTERNOS"/>
    <m/>
    <s v="APP Gestiona: Indicadores de sostenibilidad - dashboard y registro decentralizado V4"/>
    <m/>
    <s v="Toma de indicadores de diversas fuentas (Reportes manuales y automáticos) de consumo de energía, gestión de desechos, reciclaje de aceite, consumo de paper, reciclaje."/>
    <m/>
    <s v="LOCAL"/>
    <m/>
    <x v="0"/>
    <s v="Ecuador"/>
    <x v="4"/>
    <x v="3"/>
    <x v="2"/>
    <s v="No iniciado"/>
    <m/>
    <s v="Q4"/>
    <m/>
    <s v="MEDIA"/>
    <m/>
    <n v="8"/>
    <n v="1"/>
    <n v="550"/>
    <m/>
    <n v="5040"/>
    <m/>
    <m/>
    <m/>
    <m/>
    <m/>
    <e v="#REF!"/>
    <m/>
    <m/>
    <d v="1899-12-30T00:00:00"/>
    <m/>
    <m/>
    <d v="1899-12-30T00:00:00"/>
    <d v="1899-12-30T00:00:00"/>
    <n v="2"/>
    <n v="0"/>
    <m/>
    <m/>
    <m/>
  </r>
  <r>
    <s v="2024"/>
    <s v="SISTEMAS INTERNOS"/>
    <m/>
    <s v="APP Gestiona: Mejoras en Reporteria y administración de Fomularios"/>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s v="LOCAL"/>
    <s v="Mejoras App Gestiona"/>
    <x v="0"/>
    <s v="Ecuador"/>
    <x v="5"/>
    <x v="3"/>
    <x v="0"/>
    <s v="No iniciado"/>
    <s v="Q2"/>
    <s v="Q2"/>
    <s v="N/A"/>
    <s v="MEDIA"/>
    <m/>
    <n v="10"/>
    <n v="2"/>
    <n v="420"/>
    <m/>
    <n v="8400"/>
    <m/>
    <m/>
    <m/>
    <d v="2024-04-01T00:00:00"/>
    <d v="2024-06-15T00:00:00"/>
    <e v="#REF!"/>
    <d v="2024-06-15T00:00:00"/>
    <d v="2024-06-30T00:00:00"/>
    <d v="2895-09-18T00:00:00"/>
    <d v="2024-06-30T00:00:00"/>
    <d v="2023-07-07T00:00:00"/>
    <d v="2024-04-01T00:00:00"/>
    <d v="2023-07-07T00:00:00"/>
    <n v="2.5"/>
    <n v="-359"/>
    <m/>
    <s v="VERO RAMOS"/>
    <m/>
  </r>
  <r>
    <s v="2024"/>
    <s v="SISTEMAS INTERNOS"/>
    <m/>
    <s v="APP Somos repotenciar (Objetivo engagement)-&gt; administrar en DSI"/>
    <m/>
    <s v="Pendiente de Levantamiento, nuevos features y posible Rework de la aplicación de Trade"/>
    <m/>
    <s v="LOCAL"/>
    <s v="Mejoras App Somos"/>
    <x v="0"/>
    <s v="Ecuador"/>
    <x v="4"/>
    <x v="3"/>
    <x v="2"/>
    <s v="No iniciado"/>
    <s v="Q3"/>
    <s v="Q4"/>
    <s v="N/A"/>
    <s v="ALTA"/>
    <m/>
    <n v="12"/>
    <n v="2"/>
    <n v="550"/>
    <m/>
    <n v="13840"/>
    <m/>
    <m/>
    <m/>
    <d v="2024-08-01T00:00:00"/>
    <d v="2024-10-01T00:00:00"/>
    <e v="#REF!"/>
    <d v="2024-10-01T00:00:00"/>
    <d v="2024-10-07T00:00:00"/>
    <d v="2898-01-20T00:00:00"/>
    <d v="2023-10-14T00:00:00"/>
    <d v="2023-10-21T00:00:00"/>
    <d v="2024-08-01T00:00:00"/>
    <d v="2023-10-21T00:00:00"/>
    <n v="3"/>
    <n v="7"/>
    <m/>
    <s v="Validar con Javier Cruz costos de mantemiento actual / Daniel Barreno "/>
    <m/>
  </r>
  <r>
    <s v="2024"/>
    <s v="CANALES DIGITALES"/>
    <s v="Appedir"/>
    <s v="Appedir Pedidos multiples Multimarca"/>
    <s v="MXP LEGACY_x000a_TRADE"/>
    <s v="Si hay en un mismo centro comercial 2, 3 o 4 marcas del grupo a traves de la Appedir se pueda hacer compras multiples. "/>
    <s v="BAJA"/>
    <s v="LOCAL"/>
    <s v="Proyectos TD 2024"/>
    <x v="0"/>
    <s v="Ecuador"/>
    <x v="3"/>
    <x v="1"/>
    <x v="1"/>
    <s v="No iniciado"/>
    <s v="Q4"/>
    <s v="Q4"/>
    <s v="p71"/>
    <s v="ALTA"/>
    <m/>
    <n v="10"/>
    <n v="2"/>
    <n v="550"/>
    <m/>
    <n v="11640"/>
    <m/>
    <m/>
    <m/>
    <d v="2024-10-07T00:00:00"/>
    <d v="2024-11-18T00:00:00"/>
    <n v="42"/>
    <d v="2024-11-18T00:00:00"/>
    <d v="2024-12-02T00:00:00"/>
    <n v="364926"/>
    <d v="2024-12-02T00:00:00"/>
    <d v="2024-12-16T00:00:00"/>
    <d v="2024-10-01T00:00:00"/>
    <d v="2024-12-10T00:00:00"/>
    <n v="2.5"/>
    <n v="14"/>
    <s v="ECOMERCE"/>
    <m/>
    <s v="x"/>
  </r>
  <r>
    <s v="2024"/>
    <s v="CANALES DIGITALES"/>
    <s v="Appedir"/>
    <s v="Appedir y KFC cambios de Estado"/>
    <s v="MXP LEGACY_x000a_TRADE"/>
    <s v="Al finalizar una orden empiezan a llegar los cambios de estado seguidos, y no en el momento adecuado cuando el pedido esta en proceso. Revisar solución con DragonTail"/>
    <s v="MEDIA"/>
    <s v="LOCAL"/>
    <s v="Proyectos TD 2024"/>
    <x v="0"/>
    <s v="Ecuador"/>
    <x v="3"/>
    <x v="1"/>
    <x v="1"/>
    <s v="No iniciado"/>
    <s v="Q1"/>
    <s v="Q2"/>
    <s v="p28"/>
    <s v="MEDIA"/>
    <m/>
    <n v="5"/>
    <n v="1"/>
    <n v="550"/>
    <m/>
    <n v="3390"/>
    <m/>
    <m/>
    <m/>
    <d v="2024-05-13T00:00:00"/>
    <d v="2024-06-03T00:00:00"/>
    <n v="21"/>
    <d v="2024-06-03T00:00:00"/>
    <d v="2024-06-10T00:00:00"/>
    <n v="363575"/>
    <d v="2024-06-10T00:00:00"/>
    <d v="2024-06-17T00:00:00"/>
    <d v="2024-05-01T00:00:00"/>
    <d v="2024-06-05T00:00:00"/>
    <n v="1.25"/>
    <n v="7"/>
    <s v="ECOMERCE"/>
    <m/>
    <s v="x"/>
  </r>
  <r>
    <s v="2024"/>
    <s v="SIR"/>
    <m/>
    <s v="Automatización de cajas chicas - tipos de cuenta y diarios de venta"/>
    <m/>
    <s v="en SIR con inclusión de listado de conceptos para:_x000a_CCH locales,_x000a_CCH administrativas"/>
    <m/>
    <s v="LOCAL"/>
    <s v="Mejoras Contabilidad"/>
    <x v="0"/>
    <s v="Ecuador"/>
    <x v="6"/>
    <x v="4"/>
    <x v="0"/>
    <s v="No iniciado"/>
    <s v="MEDIA"/>
    <s v="Q3"/>
    <m/>
    <s v="BAJA"/>
    <m/>
    <n v="2"/>
    <n v="2"/>
    <n v="400"/>
    <m/>
    <n v="2240"/>
    <m/>
    <m/>
    <m/>
    <d v="2024-06-17T00:00:00"/>
    <d v="2024-06-28T00:00:00"/>
    <e v="#REF!"/>
    <d v="2024-07-02T00:00:00"/>
    <d v="2024-09-09T00:00:00"/>
    <d v="2896-03-26T00:00:00"/>
    <m/>
    <m/>
    <d v="2024-06-17T00:00:00"/>
    <d v="1899-12-30T00:00:00"/>
    <n v="0.5"/>
    <n v="0"/>
    <m/>
    <m/>
    <m/>
  </r>
  <r>
    <s v="2024"/>
    <s v="MXP LEGACY"/>
    <m/>
    <s v="Automatizar el registro de las ventas de campaña solidaria"/>
    <s v="MXP 2.0"/>
    <s v="Automatizar las campañas solidarias en MAX POINT Y SIR que realiza EL GRUPO KFC "/>
    <m/>
    <s v="LOCAL"/>
    <s v="Mejoras Maxpoint Auditoría 2024"/>
    <x v="0"/>
    <s v="Ecuador"/>
    <x v="0"/>
    <x v="0"/>
    <x v="0"/>
    <s v="No iniciado"/>
    <n v="2"/>
    <s v="Q2"/>
    <s v="Se debe también hacer un cambio en SIR"/>
    <s v="BAJA"/>
    <n v="1"/>
    <n v="3"/>
    <n v="1"/>
    <n v="550"/>
    <m/>
    <n v="2230"/>
    <m/>
    <m/>
    <n v="2"/>
    <d v="2024-05-01T00:00:00"/>
    <d v="2024-05-21T00:00:00"/>
    <d v="1900-01-19T00:00:00"/>
    <d v="2024-05-22T00:00:00"/>
    <d v="2024-06-05T00:00:00"/>
    <d v="2895-03-09T00:00:00"/>
    <d v="2024-06-06T00:00:00"/>
    <d v="2024-06-20T00:00:00"/>
    <d v="2024-05-01T00:00:00"/>
    <d v="2024-06-20T00:00:00"/>
    <n v="0.75"/>
    <n v="14"/>
    <m/>
    <m/>
    <m/>
  </r>
  <r>
    <s v="2023"/>
    <s v="ERP"/>
    <m/>
    <s v="B2B Materiales"/>
    <m/>
    <s v="Validar con Mario estado del proyecto."/>
    <m/>
    <s v="LOCAL"/>
    <s v="Mejoras B2B - Finanzas"/>
    <x v="0"/>
    <s v="Ecuador"/>
    <x v="7"/>
    <x v="5"/>
    <x v="1"/>
    <s v="En curso"/>
    <s v="Q2"/>
    <s v="Q2"/>
    <m/>
    <s v="MEDIA"/>
    <n v="1"/>
    <m/>
    <m/>
    <m/>
    <m/>
    <n v="0"/>
    <m/>
    <m/>
    <m/>
    <d v="2024-02-21T00:00:00"/>
    <d v="2024-04-21T00:00:00"/>
    <n v="60"/>
    <d v="2024-04-21T00:00:00"/>
    <d v="2024-05-07T00:00:00"/>
    <n v="16"/>
    <d v="2024-05-07T00:00:00"/>
    <d v="2024-05-14T00:00:00"/>
    <d v="2024-02-21T00:00:00"/>
    <d v="2024-05-14T00:00:00"/>
    <n v="0"/>
    <n v="7"/>
    <m/>
    <m/>
    <m/>
  </r>
  <r>
    <s v="2024"/>
    <s v="SISTEMAS INTERNOS"/>
    <m/>
    <s v="Cajas Chicas Admin: Conciliacion de Facturas"/>
    <m/>
    <s v="Nuevo desarrollo que permite empatar gastos de Facturas declaradas vs documentos que llegan a Carga Masiva"/>
    <m/>
    <s v="LOCAL"/>
    <s v="Administración Caja Chica"/>
    <x v="0"/>
    <s v="Ecuador"/>
    <x v="8"/>
    <x v="6"/>
    <x v="0"/>
    <s v="No iniciado"/>
    <m/>
    <s v="Q2"/>
    <m/>
    <s v="MEDIA"/>
    <m/>
    <n v="6"/>
    <n v="1"/>
    <n v="550"/>
    <m/>
    <n v="3900"/>
    <m/>
    <m/>
    <m/>
    <m/>
    <m/>
    <e v="#REF!"/>
    <m/>
    <m/>
    <d v="1899-12-30T00:00:00"/>
    <m/>
    <m/>
    <d v="1899-12-30T00:00:00"/>
    <d v="1899-12-30T00:00:00"/>
    <n v="1.5"/>
    <n v="0"/>
    <m/>
    <m/>
    <m/>
  </r>
  <r>
    <s v="2024"/>
    <s v="MXP LEGACY"/>
    <m/>
    <s v="Cambio de datos de clientes de transacciones de días anteriores"/>
    <s v="MXP 2.0"/>
    <s v="Genera molestia en clientes por reportar a oficina el cambio y proceso operativo de varias personas en oficinas"/>
    <m/>
    <s v="LOCAL"/>
    <s v="Notas de Crédito"/>
    <x v="0"/>
    <s v="Ecuador"/>
    <x v="8"/>
    <x v="6"/>
    <x v="0"/>
    <s v="No iniciado"/>
    <n v="2"/>
    <s v="Q2"/>
    <s v="Definición del proceso por parte de Contabilidad y Auditoría"/>
    <s v="BAJA"/>
    <n v="1"/>
    <n v="4"/>
    <n v="1"/>
    <n v="550"/>
    <m/>
    <n v="2760"/>
    <m/>
    <m/>
    <n v="2"/>
    <d v="2024-05-01T00:00:00"/>
    <d v="2024-04-29T00:00:00"/>
    <n v="-2"/>
    <d v="2024-04-30T00:00:00"/>
    <d v="2024-05-14T00:00:00"/>
    <d v="2894-09-14T00:00:00"/>
    <d v="2024-05-15T00:00:00"/>
    <d v="2024-05-29T00:00:00"/>
    <d v="2024-05-01T00:00:00"/>
    <d v="2024-05-29T00:00:00"/>
    <n v="1"/>
    <n v="14"/>
    <s v="Vinculo con pedido que se contrapone de auditoría"/>
    <m/>
    <m/>
  </r>
  <r>
    <s v="2023"/>
    <s v="SIR"/>
    <m/>
    <s v="Campaña sonrisa - nueva forma de pago"/>
    <s v="N/A"/>
    <s v="Ver Anexo A4"/>
    <m/>
    <s v="LOCAL"/>
    <s v="Otros - Presupuesto 2023"/>
    <x v="0"/>
    <s v="Ecuador"/>
    <x v="0"/>
    <x v="0"/>
    <x v="1"/>
    <s v="No iniciado"/>
    <m/>
    <s v="Q2"/>
    <m/>
    <s v="BAJA"/>
    <m/>
    <n v="2"/>
    <n v="2"/>
    <n v="400"/>
    <m/>
    <m/>
    <m/>
    <m/>
    <n v="2"/>
    <d v="2024-04-29T00:00:00"/>
    <d v="2024-05-17T00:00:00"/>
    <e v="#REF!"/>
    <d v="2024-05-21T00:00:00"/>
    <d v="2024-05-27T00:00:00"/>
    <d v="2895-02-21T00:00:00"/>
    <d v="2024-05-28T00:00:00"/>
    <m/>
    <d v="2024-04-29T00:00:00"/>
    <d v="1899-12-30T00:00:00"/>
    <n v="0.5"/>
    <n v="-45440"/>
    <s v="Célula Operaciones"/>
    <m/>
    <m/>
  </r>
  <r>
    <s v="2024"/>
    <s v="CANALES DIGITALES"/>
    <s v="Fidelización"/>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x v="0"/>
    <s v="Ecuador"/>
    <x v="3"/>
    <x v="1"/>
    <x v="1"/>
    <s v="No iniciado"/>
    <s v="Q1"/>
    <s v="Q1"/>
    <s v="p29"/>
    <s v="MEDIA"/>
    <m/>
    <n v="6"/>
    <n v="1"/>
    <n v="550"/>
    <m/>
    <n v="788"/>
    <m/>
    <m/>
    <m/>
    <d v="2024-05-13T00:00:00"/>
    <d v="2024-05-27T00:00:00"/>
    <n v="14"/>
    <d v="2024-05-27T00:00:00"/>
    <d v="2024-06-10T00:00:00"/>
    <n v="363526"/>
    <d v="2024-06-10T00:00:00"/>
    <d v="2024-06-17T00:00:00"/>
    <d v="2024-07-01T00:00:00"/>
    <d v="2024-08-12T00:00:00"/>
    <n v="1.5"/>
    <n v="7"/>
    <s v="ECOMERCE"/>
    <m/>
    <s v="x"/>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Colombia"/>
    <x v="9"/>
    <x v="1"/>
    <x v="3"/>
    <s v="No iniciado"/>
    <m/>
    <m/>
    <m/>
    <m/>
    <m/>
    <m/>
    <m/>
    <m/>
    <m/>
    <n v="788"/>
    <m/>
    <m/>
    <m/>
    <d v="2024-05-13T00:00:00"/>
    <d v="2024-05-27T00:00:00"/>
    <n v="14"/>
    <d v="2024-05-27T00:00:00"/>
    <d v="2024-06-10T00:00:00"/>
    <n v="363526"/>
    <d v="2024-06-10T00:00:00"/>
    <d v="2024-06-17T00:00:00"/>
    <d v="2024-07-01T00:00:00"/>
    <d v="2024-08-12T00:00:00"/>
    <d v="1899-12-30T00:00:00"/>
    <n v="7"/>
    <m/>
    <m/>
    <m/>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Chile"/>
    <x v="9"/>
    <x v="1"/>
    <x v="3"/>
    <s v="No iniciado"/>
    <m/>
    <m/>
    <m/>
    <m/>
    <m/>
    <m/>
    <m/>
    <m/>
    <m/>
    <n v="788"/>
    <m/>
    <m/>
    <m/>
    <d v="2024-05-13T00:00:00"/>
    <d v="2024-05-27T00:00:00"/>
    <n v="14"/>
    <d v="2024-05-27T00:00:00"/>
    <d v="2024-06-10T00:00:00"/>
    <n v="363526"/>
    <d v="2024-06-10T00:00:00"/>
    <d v="2024-06-17T00:00:00"/>
    <d v="2024-07-01T00:00:00"/>
    <d v="2024-08-12T00:00:00"/>
    <d v="1899-12-30T00:00:00"/>
    <n v="7"/>
    <m/>
    <m/>
    <m/>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Venezuela"/>
    <x v="9"/>
    <x v="1"/>
    <x v="3"/>
    <s v="No iniciado"/>
    <m/>
    <m/>
    <m/>
    <m/>
    <m/>
    <m/>
    <m/>
    <m/>
    <m/>
    <n v="788"/>
    <m/>
    <m/>
    <m/>
    <d v="2024-05-13T00:00:00"/>
    <d v="2024-05-27T00:00:00"/>
    <n v="14"/>
    <d v="2024-05-27T00:00:00"/>
    <d v="2024-06-10T00:00:00"/>
    <n v="363526"/>
    <d v="2024-06-10T00:00:00"/>
    <d v="2024-06-17T00:00:00"/>
    <d v="2024-07-01T00:00:00"/>
    <d v="2024-08-12T00:00:00"/>
    <d v="1899-12-30T00:00:00"/>
    <n v="7"/>
    <m/>
    <m/>
    <m/>
  </r>
  <r>
    <s v="2024"/>
    <s v="CANALES DIGITALES"/>
    <s v="Fidelización"/>
    <s v="Cheetah  KFC Fidelización"/>
    <s v="MXP LEGACY_x000a_MXP 2.0_x000a_TRADE"/>
    <s v="Recepción de órdenes con descuentos y lealtad ***_x000a_Validar si BIG DATA se pega a CHEETAH. El POS va a tener afectación."/>
    <s v="ALTA"/>
    <s v="REGIONAL"/>
    <s v="Proyectos TD 2024"/>
    <x v="0"/>
    <s v="Argentina"/>
    <x v="9"/>
    <x v="1"/>
    <x v="3"/>
    <s v="No iniciado"/>
    <m/>
    <m/>
    <m/>
    <m/>
    <m/>
    <m/>
    <m/>
    <m/>
    <m/>
    <n v="788"/>
    <m/>
    <m/>
    <m/>
    <d v="2024-05-13T00:00:00"/>
    <d v="2024-05-27T00:00:00"/>
    <n v="14"/>
    <d v="2024-05-27T00:00:00"/>
    <d v="2024-06-10T00:00:00"/>
    <n v="363526"/>
    <d v="2024-06-10T00:00:00"/>
    <d v="2024-06-17T00:00:00"/>
    <d v="2024-07-01T00:00:00"/>
    <d v="2024-08-12T00:00:00"/>
    <m/>
    <m/>
    <m/>
    <m/>
    <m/>
  </r>
  <r>
    <s v="2024"/>
    <s v="CANALES DIGITALES"/>
    <s v="Conciliaciones Tarjetas"/>
    <s v="Conciliador de Tarjetas de Crédito  Delivery  que incluya información depurada de ventas del swt "/>
    <s v="MXP LEGACY_x000a_MXP 2.0_x000a_TRADE"/>
    <s v="Max Point enviar transacciones POS a conciliador"/>
    <s v="ALTA"/>
    <s v="LOCAL"/>
    <s v="Proyectos TD 2024"/>
    <x v="0"/>
    <s v="Ecuador"/>
    <x v="6"/>
    <x v="6"/>
    <x v="1"/>
    <s v="No iniciado"/>
    <m/>
    <s v="Q2"/>
    <m/>
    <s v="MEDIA"/>
    <m/>
    <n v="8"/>
    <n v="1"/>
    <n v="550"/>
    <m/>
    <n v="5040"/>
    <m/>
    <m/>
    <m/>
    <d v="2024-03-18T00:00:00"/>
    <d v="2024-03-18T00:00:00"/>
    <n v="0"/>
    <d v="2024-03-18T00:00:00"/>
    <d v="2024-04-01T00:00:00"/>
    <n v="362966"/>
    <d v="2024-04-01T00:00:00"/>
    <d v="2024-04-15T00:00:00"/>
    <m/>
    <d v="1900-02-24T00:00:00"/>
    <n v="2"/>
    <n v="14"/>
    <m/>
    <m/>
    <s v="x"/>
  </r>
  <r>
    <s v="2024"/>
    <s v="ERP"/>
    <m/>
    <s v="Confirmación de pago a proveedores en SAP"/>
    <m/>
    <s v="Confirmación por correo de pago efectuado a proveedores- B2B"/>
    <m/>
    <s v="LOCAL"/>
    <s v="Mejoras B2B - Tesorería"/>
    <x v="0"/>
    <s v="Ecuador"/>
    <x v="10"/>
    <x v="7"/>
    <x v="0"/>
    <s v="No iniciado"/>
    <s v="Q2"/>
    <s v="Q2"/>
    <m/>
    <s v="MEDIA"/>
    <n v="1"/>
    <n v="2"/>
    <n v="1"/>
    <n v="1100"/>
    <m/>
    <n v="2200"/>
    <m/>
    <m/>
    <m/>
    <d v="2024-04-07T00:00:00"/>
    <d v="2024-05-07T00:00:00"/>
    <n v="30"/>
    <d v="2024-04-28T00:00:00"/>
    <d v="2024-05-07T00:00:00"/>
    <n v="9"/>
    <d v="2024-05-07T00:00:00"/>
    <d v="2024-05-14T00:00:00"/>
    <d v="2024-04-07T00:00:00"/>
    <d v="2024-05-14T00:00:00"/>
    <n v="0.5"/>
    <n v="7"/>
    <m/>
    <m/>
    <m/>
  </r>
  <r>
    <s v="2024"/>
    <s v="CANALES DIGITALES"/>
    <s v="Cupones"/>
    <s v="Consola  Administración QR Digitales (Cupones Promocionales) "/>
    <s v="MXP LEGACY_x000a_TRADE"/>
    <s v="Sustitución de cupones manuales"/>
    <s v="MEDIA"/>
    <s v="LOCAL"/>
    <s v="Funcionalidades Locales"/>
    <x v="0"/>
    <s v="Ecuador"/>
    <x v="2"/>
    <x v="2"/>
    <x v="1"/>
    <s v="No iniciado"/>
    <n v="3"/>
    <s v="Q3"/>
    <s v="p56"/>
    <s v="MEDIA"/>
    <m/>
    <n v="10"/>
    <n v="1"/>
    <n v="550"/>
    <m/>
    <n v="6140"/>
    <m/>
    <m/>
    <m/>
    <d v="2024-07-22T00:00:00"/>
    <d v="2024-09-16T00:00:00"/>
    <n v="56"/>
    <d v="2024-09-16T00:00:00"/>
    <d v="2024-09-23T00:00:00"/>
    <n v="364415"/>
    <d v="2024-09-23T00:00:00"/>
    <d v="2024-09-30T00:00:00"/>
    <d v="2024-07-01T00:00:00"/>
    <d v="2024-09-09T00:00:00"/>
    <n v="2.5"/>
    <n v="7"/>
    <s v="Consultar si los cupones Digitales de Colombia se adaptan a esta solicitud."/>
    <m/>
    <s v="x"/>
  </r>
  <r>
    <s v="2024"/>
    <s v="SIR"/>
    <m/>
    <s v="Contabilizar las ordentes de trabajo por activo q ingresan y ponerlas como reprocesos - cambio de alcance"/>
    <m/>
    <s v="El reproceso se da porque el tecnico va mas de dos veces a realizar un mismo trabajo en el mismo equipo, generando gastos inecesarios o paros prolongados de el equipo."/>
    <m/>
    <s v="LOCAL"/>
    <s v="Mantenimiento Restaurantes"/>
    <x v="0"/>
    <s v="Ecuador"/>
    <x v="11"/>
    <x v="8"/>
    <x v="0"/>
    <s v="Finalizado"/>
    <m/>
    <s v="Q1"/>
    <m/>
    <s v="BAJA"/>
    <m/>
    <n v="2"/>
    <n v="2"/>
    <n v="400"/>
    <m/>
    <n v="2240"/>
    <m/>
    <m/>
    <n v="0"/>
    <d v="2024-03-11T00:00:00"/>
    <d v="2024-03-23T00:00:00"/>
    <e v="#REF!"/>
    <d v="2024-03-26T00:00:00"/>
    <d v="2024-04-02T00:00:00"/>
    <d v="2893-12-01T00:00:00"/>
    <m/>
    <m/>
    <d v="2024-03-11T00:00:00"/>
    <d v="1899-12-30T00:00:00"/>
    <n v="0.5"/>
    <n v="0"/>
    <m/>
    <m/>
    <m/>
  </r>
  <r>
    <s v="2024"/>
    <s v="MXP LEGACY"/>
    <m/>
    <s v="Control de cambio de Claves  de Usuarios Maxpoint"/>
    <s v="MXP 2.0"/>
    <s v="MAX POINT, debería solicitar automáticamente en un periodo CAMBIO DE CLAVES DE USUARIOS"/>
    <m/>
    <s v="LOCAL"/>
    <s v="Mejoras Maxpoint Auditoría 2024"/>
    <x v="0"/>
    <s v="Ecuador"/>
    <x v="0"/>
    <x v="0"/>
    <x v="0"/>
    <s v="No iniciado"/>
    <n v="3"/>
    <s v="Q3"/>
    <m/>
    <s v="BAJA"/>
    <n v="1"/>
    <n v="1"/>
    <n v="4"/>
    <n v="550"/>
    <m/>
    <n v="2780"/>
    <m/>
    <m/>
    <n v="4"/>
    <d v="2024-06-03T00:00:00"/>
    <d v="2024-06-24T00:00:00"/>
    <d v="1900-01-20T00:00:00"/>
    <d v="2024-06-25T00:00:00"/>
    <d v="2024-07-09T00:00:00"/>
    <d v="2895-12-06T00:00:00"/>
    <d v="2024-07-10T00:00:00"/>
    <d v="2024-07-24T00:00:00"/>
    <d v="2024-06-03T00:00:00"/>
    <d v="2024-07-24T00:00:00"/>
    <n v="0.25"/>
    <n v="14"/>
    <m/>
    <m/>
    <m/>
  </r>
  <r>
    <s v="2024"/>
    <s v="SIR"/>
    <m/>
    <s v="Control de modificación de inventarios en SIR"/>
    <m/>
    <s v="Una vez cerrados el inventario Diario, no permita ingresar ningún movimiento de días anteriores . "/>
    <m/>
    <s v="LOCAL"/>
    <s v="Mejoras Auditoría"/>
    <x v="0"/>
    <s v="Ecuador"/>
    <x v="0"/>
    <x v="0"/>
    <x v="0"/>
    <s v="Iniciado "/>
    <n v="1"/>
    <s v="Q2"/>
    <m/>
    <s v="ALTA"/>
    <m/>
    <n v="4"/>
    <n v="2"/>
    <n v="400"/>
    <m/>
    <n v="3840"/>
    <m/>
    <m/>
    <s v="1"/>
    <d v="2024-04-01T00:00:00"/>
    <m/>
    <e v="#REF!"/>
    <m/>
    <m/>
    <d v="1899-12-30T00:00:00"/>
    <d v="2024-06-25T00:00:00"/>
    <m/>
    <d v="2024-04-01T00:00:00"/>
    <d v="1899-12-30T00:00:00"/>
    <n v="1"/>
    <n v="-45468"/>
    <m/>
    <m/>
    <m/>
  </r>
  <r>
    <s v="2024"/>
    <s v="ERP"/>
    <m/>
    <s v="Cotejamiento de Listado de Suministros de Servicios Básicos vs Debitos Bancarios"/>
    <m/>
    <m/>
    <m/>
    <s v="LOCAL"/>
    <m/>
    <x v="0"/>
    <s v="Ecuador"/>
    <x v="6"/>
    <x v="6"/>
    <x v="2"/>
    <s v="No iniciado"/>
    <m/>
    <m/>
    <m/>
    <m/>
    <m/>
    <m/>
    <m/>
    <m/>
    <m/>
    <n v="6400"/>
    <m/>
    <m/>
    <m/>
    <m/>
    <m/>
    <e v="#REF!"/>
    <m/>
    <m/>
    <d v="1899-12-30T00:00:00"/>
    <m/>
    <m/>
    <d v="1899-12-30T00:00:00"/>
    <d v="1899-12-30T00:00:00"/>
    <n v="0"/>
    <n v="0"/>
    <m/>
    <m/>
    <m/>
  </r>
  <r>
    <s v="2024"/>
    <s v="SIR"/>
    <m/>
    <s v="Creación de módulo de Administración de devoluciones "/>
    <m/>
    <s v="Asentar devoluciones de manera masiva no local por local"/>
    <m/>
    <s v="LOCAL"/>
    <s v="Mejoras Contabilidad"/>
    <x v="0"/>
    <s v="Ecuador"/>
    <x v="8"/>
    <x v="4"/>
    <x v="0"/>
    <s v="No iniciado"/>
    <s v="ALTA"/>
    <s v="Q2"/>
    <m/>
    <s v="MEDIA"/>
    <m/>
    <n v="4"/>
    <n v="2"/>
    <n v="450"/>
    <m/>
    <n v="4240"/>
    <m/>
    <m/>
    <n v="3"/>
    <d v="2024-05-27T00:00:00"/>
    <m/>
    <e v="#REF!"/>
    <m/>
    <m/>
    <d v="1899-12-30T00:00:00"/>
    <d v="2024-06-25T00:00:00"/>
    <m/>
    <d v="2024-05-27T00:00:00"/>
    <d v="1899-12-30T00:00:00"/>
    <n v="1"/>
    <n v="-45468"/>
    <m/>
    <m/>
    <m/>
  </r>
  <r>
    <s v="2024"/>
    <s v="SIR"/>
    <m/>
    <s v="Creación de pantalla de correos ordenes de mantenimiento"/>
    <m/>
    <m/>
    <m/>
    <s v="LOCAL"/>
    <s v="Mantenimiento Restaurantes"/>
    <x v="0"/>
    <s v="Ecuador"/>
    <x v="12"/>
    <x v="8"/>
    <x v="2"/>
    <s v="No iniciado"/>
    <m/>
    <s v="Q2"/>
    <m/>
    <s v="BAJA"/>
    <m/>
    <n v="2"/>
    <n v="2"/>
    <n v="400"/>
    <m/>
    <n v="2240"/>
    <m/>
    <m/>
    <m/>
    <d v="2024-05-27T00:00:00"/>
    <d v="2025-06-07T00:00:00"/>
    <e v="#REF!"/>
    <d v="2024-06-18T00:00:00"/>
    <d v="2024-06-25T00:00:00"/>
    <d v="2895-10-04T00:00:00"/>
    <m/>
    <m/>
    <d v="2024-05-27T00:00:00"/>
    <d v="1899-12-30T00:00:00"/>
    <n v="0.5"/>
    <n v="0"/>
    <m/>
    <m/>
    <m/>
  </r>
  <r>
    <s v="2024"/>
    <s v="ERP"/>
    <m/>
    <s v="Creación Empresa: DEVISO"/>
    <m/>
    <s v="Migración a SAP en Deviso"/>
    <m/>
    <s v="LOCAL"/>
    <s v="Creación Sociedad Financiera DEVISO"/>
    <x v="0"/>
    <s v="Ecuador"/>
    <x v="13"/>
    <x v="9"/>
    <x v="1"/>
    <s v="En curso"/>
    <s v="Q1"/>
    <s v="Q1"/>
    <m/>
    <s v="BAJA"/>
    <n v="1"/>
    <n v="4"/>
    <m/>
    <m/>
    <m/>
    <n v="0"/>
    <m/>
    <m/>
    <m/>
    <d v="2024-02-07T00:00:00"/>
    <d v="2024-02-21T00:00:00"/>
    <n v="14"/>
    <d v="2024-02-21T00:00:00"/>
    <d v="2024-02-28T00:00:00"/>
    <n v="7"/>
    <d v="2024-03-07T00:00:00"/>
    <d v="2024-03-14T00:00:00"/>
    <d v="2024-02-07T00:00:00"/>
    <d v="2024-03-14T00:00:00"/>
    <n v="1"/>
    <n v="7"/>
    <m/>
    <m/>
    <m/>
  </r>
  <r>
    <s v="2024"/>
    <s v="ERP"/>
    <m/>
    <s v="Creación Empresas: FAMILY OFFICE"/>
    <m/>
    <s v="Creación de 72 empresas de Servicios en SAP"/>
    <m/>
    <s v="LOCAL"/>
    <s v="Creación Empresas: FAMILY OFFICE"/>
    <x v="0"/>
    <s v="Ecuador"/>
    <x v="10"/>
    <x v="7"/>
    <x v="0"/>
    <s v="No iniciado"/>
    <s v="Q2"/>
    <s v="Q2"/>
    <m/>
    <s v="ALTA"/>
    <n v="1"/>
    <n v="1"/>
    <n v="1"/>
    <n v="19305"/>
    <n v="12600"/>
    <n v="31905"/>
    <n v="12600"/>
    <m/>
    <m/>
    <d v="2024-03-07T00:00:00"/>
    <d v="2024-06-07T00:00:00"/>
    <n v="92"/>
    <d v="2024-03-28T00:00:00"/>
    <d v="2024-06-28T00:00:00"/>
    <n v="92"/>
    <d v="2024-04-07T00:00:00"/>
    <d v="2024-06-28T00:00:00"/>
    <d v="2024-03-07T00:00:00"/>
    <d v="2024-06-28T00:00:00"/>
    <n v="0.25"/>
    <n v="82"/>
    <m/>
    <m/>
    <m/>
  </r>
  <r>
    <s v="2024"/>
    <s v="SIR"/>
    <m/>
    <s v="Cuadre de Fondo de Caja SIR"/>
    <m/>
    <s v="Cuadre del fondo de Caja chica, incorporado en el SIR."/>
    <m/>
    <s v="LOCAL"/>
    <s v="Mejoras Auditoría"/>
    <x v="0"/>
    <s v="Ecuador"/>
    <x v="0"/>
    <x v="0"/>
    <x v="0"/>
    <s v="No iniciado"/>
    <n v="5"/>
    <s v="Q4"/>
    <m/>
    <s v="MEDIA"/>
    <m/>
    <n v="4"/>
    <n v="2"/>
    <n v="450"/>
    <m/>
    <n v="4240"/>
    <m/>
    <m/>
    <m/>
    <d v="2024-09-02T00:00:00"/>
    <d v="2024-09-27T00:00:00"/>
    <e v="#REF!"/>
    <d v="2024-10-01T00:00:00"/>
    <d v="2024-10-01T00:00:00"/>
    <d v="2898-01-14T00:00:00"/>
    <m/>
    <m/>
    <d v="2024-09-02T00:00:00"/>
    <d v="1899-12-30T00:00:00"/>
    <n v="1"/>
    <n v="0"/>
    <s v="Sacrificable"/>
    <m/>
    <m/>
  </r>
  <r>
    <s v="2024"/>
    <s v="ERP"/>
    <m/>
    <s v="Cubierplast: Implementación de picking - Integracion Nueva Linea de Carton"/>
    <m/>
    <s v="- Implementación de picking en las áreas de producción_x000a_- Adquisición de nueva línea de negocios (papel)"/>
    <m/>
    <s v="LOCAL"/>
    <s v="Reingenieria de Procesos Planta Cubiertplast"/>
    <x v="0"/>
    <s v="Ecuador"/>
    <x v="13"/>
    <x v="9"/>
    <x v="0"/>
    <s v="No iniciado"/>
    <s v="Q1"/>
    <s v="Q2"/>
    <m/>
    <s v="BAJA"/>
    <n v="1"/>
    <m/>
    <m/>
    <m/>
    <n v="0"/>
    <n v="0"/>
    <m/>
    <m/>
    <m/>
    <d v="2024-02-07T00:00:00"/>
    <d v="2024-03-28T00:00:00"/>
    <n v="50"/>
    <d v="2024-03-21T00:00:00"/>
    <d v="2024-03-28T00:00:00"/>
    <n v="7"/>
    <d v="2024-03-28T00:00:00"/>
    <d v="2024-04-07T00:00:00"/>
    <d v="2024-02-07T00:00:00"/>
    <d v="2024-04-07T00:00:00"/>
    <n v="0"/>
    <n v="10"/>
    <m/>
    <m/>
    <m/>
  </r>
  <r>
    <s v="2024"/>
    <s v="CANALES DIGITALES"/>
    <s v="Cupones"/>
    <s v="Cupones impresos fuera de la App"/>
    <s v="MXP LEGACY_x000a_TRADE"/>
    <s v="Cupones impresos fuera de la App"/>
    <s v="MEDIA"/>
    <s v="LOCAL"/>
    <s v="Funcionalidades Locales"/>
    <x v="0"/>
    <s v="Ecuador"/>
    <x v="2"/>
    <x v="2"/>
    <x v="1"/>
    <s v="No iniciado"/>
    <n v="5"/>
    <s v="Q4"/>
    <s v="p70"/>
    <s v="ALTA"/>
    <m/>
    <n v="12"/>
    <n v="1"/>
    <n v="550"/>
    <m/>
    <n v="7240"/>
    <m/>
    <m/>
    <m/>
    <d v="2024-10-07T00:00:00"/>
    <d v="2024-11-25T00:00:00"/>
    <n v="49"/>
    <d v="2024-11-25T00:00:00"/>
    <d v="2024-12-09T00:00:00"/>
    <n v="364982"/>
    <d v="2024-12-09T00:00:00"/>
    <m/>
    <d v="2024-05-01T00:00:00"/>
    <d v="2024-07-24T00:00:00"/>
    <n v="3"/>
    <n v="-45635"/>
    <m/>
    <m/>
    <s v="x"/>
  </r>
  <r>
    <s v="2024"/>
    <s v="CANALES DIGITALES"/>
    <s v="APP"/>
    <s v="Igualar Funcionalidades APP Venezuela"/>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s v="LOCAL"/>
    <s v="Proyectos TD 2024"/>
    <x v="0"/>
    <s v="Venezuela"/>
    <x v="14"/>
    <x v="1"/>
    <x v="1"/>
    <s v="En curso"/>
    <e v="#N/A"/>
    <s v="Q1"/>
    <s v="p25"/>
    <s v="MEDIA"/>
    <m/>
    <n v="6"/>
    <n v="1"/>
    <n v="550"/>
    <m/>
    <n v="3940"/>
    <m/>
    <m/>
    <m/>
    <d v="2024-03-04T00:00:00"/>
    <d v="2024-04-01T00:00:00"/>
    <n v="28"/>
    <d v="2024-04-01T00:00:00"/>
    <d v="2024-04-15T00:00:00"/>
    <n v="363078"/>
    <d v="2024-04-15T00:00:00"/>
    <d v="2024-04-29T00:00:00"/>
    <d v="2024-04-08T00:00:00"/>
    <d v="2024-05-20T00:00:00"/>
    <n v="1.5"/>
    <n v="14"/>
    <s v="ECOMERCE"/>
    <m/>
    <s v="x"/>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Chile"/>
    <x v="3"/>
    <x v="1"/>
    <x v="1"/>
    <s v="En curso"/>
    <e v="#N/A"/>
    <s v="Q1"/>
    <s v="P23"/>
    <s v="ALTA"/>
    <n v="1"/>
    <n v="8"/>
    <n v="1"/>
    <n v="550"/>
    <m/>
    <n v="5040"/>
    <m/>
    <m/>
    <m/>
    <d v="2024-02-19T00:00:00"/>
    <d v="2024-03-04T00:00:00"/>
    <n v="14"/>
    <d v="2024-03-04T00:00:00"/>
    <d v="2024-03-11T00:00:00"/>
    <n v="362847"/>
    <d v="2024-03-11T00:00:00"/>
    <d v="2024-03-18T00:00:00"/>
    <d v="2024-04-01T00:00:00"/>
    <d v="2024-05-27T00:00:00"/>
    <n v="2"/>
    <n v="7"/>
    <s v="PROYECTO REGIONAL"/>
    <m/>
    <s v="x"/>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Colombia"/>
    <x v="3"/>
    <x v="1"/>
    <x v="1"/>
    <s v="En curso"/>
    <e v="#N/A"/>
    <s v="Q1"/>
    <s v="P23"/>
    <s v="ALTA"/>
    <n v="1"/>
    <n v="8"/>
    <n v="1"/>
    <n v="550"/>
    <m/>
    <n v="5040"/>
    <m/>
    <m/>
    <m/>
    <d v="2024-02-12T00:00:00"/>
    <d v="2024-02-19T00:00:00"/>
    <n v="7"/>
    <d v="2024-02-19T00:00:00"/>
    <d v="2024-03-04T00:00:00"/>
    <n v="362742"/>
    <d v="2024-03-04T00:00:00"/>
    <d v="2024-03-18T00:00:00"/>
    <d v="2024-03-01T00:00:00"/>
    <d v="2024-04-26T00:00:00"/>
    <n v="2"/>
    <n v="14"/>
    <s v="PROYECTO REGIONAL"/>
    <m/>
    <s v="x"/>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Venezuela"/>
    <x v="3"/>
    <x v="1"/>
    <x v="1"/>
    <s v="En curso"/>
    <e v="#N/A"/>
    <s v="Q1"/>
    <s v="P23"/>
    <s v="ALTA"/>
    <n v="1"/>
    <n v="8"/>
    <n v="1"/>
    <n v="550"/>
    <m/>
    <n v="5040"/>
    <m/>
    <m/>
    <m/>
    <d v="2024-03-04T00:00:00"/>
    <d v="2024-03-18T00:00:00"/>
    <n v="14"/>
    <d v="2024-03-18T00:00:00"/>
    <d v="2024-03-25T00:00:00"/>
    <n v="362959"/>
    <d v="2024-03-25T00:00:00"/>
    <d v="2024-04-01T00:00:00"/>
    <d v="2024-03-20T00:00:00"/>
    <d v="2024-05-15T00:00:00"/>
    <n v="2"/>
    <n v="7"/>
    <s v="PROYECTO REGIONAL"/>
    <m/>
    <s v="x"/>
  </r>
  <r>
    <s v="2024"/>
    <s v="CANALES DIGITALES"/>
    <s v="Kioscos"/>
    <s v="Datos dinamicos de facturación en Kioscos"/>
    <s v="MXP LEGACY_x000a_TRADE"/>
    <s v="Enviar en un EndPoint los datos que debe solicitar el kiosko segun el pais"/>
    <s v="BAJA"/>
    <s v="REGIONAL"/>
    <s v="Proyectos TD 2024"/>
    <x v="0"/>
    <s v="Venezuela"/>
    <x v="3"/>
    <x v="1"/>
    <x v="1"/>
    <s v="No iniciado"/>
    <s v="Q4"/>
    <s v="Q4"/>
    <s v="p73"/>
    <s v="MEDIA"/>
    <n v="1"/>
    <n v="7"/>
    <n v="1"/>
    <n v="550"/>
    <m/>
    <n v="4490"/>
    <m/>
    <m/>
    <m/>
    <d v="2024-11-18T00:00:00"/>
    <d v="2024-12-02T00:00:00"/>
    <n v="14"/>
    <d v="2024-12-02T00:00:00"/>
    <d v="2024-12-09T00:00:00"/>
    <n v="365031"/>
    <d v="2024-12-09T00:00:00"/>
    <d v="2025-01-31T00:00:00"/>
    <d v="2024-11-01T00:00:00"/>
    <d v="2024-12-20T00:00:00"/>
    <n v="1.75"/>
    <n v="53"/>
    <s v="PROYECTO REGIONAL"/>
    <m/>
    <s v="x"/>
  </r>
  <r>
    <s v="2024"/>
    <s v="CANALES DIGITALES"/>
    <s v="Kioscos"/>
    <s v="Datos dinamicos de facturación en Kioscos"/>
    <s v="MXP LEGACY_x000a_TRADE"/>
    <s v="Enviar en un EndPoint los datos que debe solicitar el kiosko segun el pais"/>
    <s v="BAJA"/>
    <s v="LOCAL"/>
    <s v="Proyectos TD 2024"/>
    <x v="0"/>
    <s v="Ecuador"/>
    <x v="3"/>
    <x v="1"/>
    <x v="1"/>
    <s v="No iniciado"/>
    <s v="Q4"/>
    <s v="Q4"/>
    <s v="p73"/>
    <s v="MEDIA"/>
    <n v="1"/>
    <n v="7"/>
    <n v="1"/>
    <n v="550"/>
    <m/>
    <n v="4490"/>
    <m/>
    <m/>
    <m/>
    <d v="2024-10-14T00:00:00"/>
    <d v="2024-11-11T00:00:00"/>
    <n v="28"/>
    <d v="2024-11-11T00:00:00"/>
    <d v="2024-11-18T00:00:00"/>
    <n v="364863"/>
    <d v="2024-11-18T00:00:00"/>
    <d v="2025-01-31T00:00:00"/>
    <d v="2024-10-01T00:00:00"/>
    <d v="2024-11-19T00:00:00"/>
    <n v="1.75"/>
    <n v="74"/>
    <s v="PROYECTO REGIONAL"/>
    <m/>
    <s v="x"/>
  </r>
  <r>
    <s v="2024"/>
    <s v="CANALES DIGITALES"/>
    <s v="Kioscos"/>
    <s v="Datos dinamicos de facturación en Kioscos"/>
    <s v="MXP LEGACY_x000a_TRADE"/>
    <s v="Enviar en un EndPoint los datos que debe solicitar el kiosko segun el pais"/>
    <s v="BAJA"/>
    <s v="REGIONAL"/>
    <s v="Proyectos TD 2024"/>
    <x v="0"/>
    <s v="Argentina"/>
    <x v="3"/>
    <x v="1"/>
    <x v="1"/>
    <s v="No iniciado"/>
    <s v="Q4"/>
    <s v="Q4"/>
    <s v="p73"/>
    <s v="MEDIA"/>
    <n v="1"/>
    <n v="7"/>
    <n v="1"/>
    <n v="550"/>
    <m/>
    <n v="4490"/>
    <m/>
    <m/>
    <m/>
    <d v="2024-11-18T00:00:00"/>
    <d v="2024-12-02T00:00:00"/>
    <n v="14"/>
    <d v="2024-12-02T00:00:00"/>
    <d v="2024-12-09T00:00:00"/>
    <n v="365031"/>
    <d v="2024-12-09T00:00:00"/>
    <d v="2024-07-09T00:00:00"/>
    <d v="2024-11-01T00:00:00"/>
    <d v="2024-12-20T00:00:00"/>
    <n v="1.75"/>
    <n v="-153"/>
    <s v="PROYECTO REGIONAL"/>
    <m/>
    <s v="x"/>
  </r>
  <r>
    <s v="2024"/>
    <s v="CANALES DIGITALES"/>
    <s v="Kioscos"/>
    <s v="Datos dinamicos de facturación en Kioscos"/>
    <s v="MXP LEGACY_x000a_TRADE"/>
    <s v="Enviar en un EndPoint los datos que debe solicitar el kiosko segun el pais"/>
    <s v="BAJA"/>
    <s v="REGIONAL"/>
    <s v="Proyectos TD 2024"/>
    <x v="0"/>
    <s v="Chile"/>
    <x v="3"/>
    <x v="1"/>
    <x v="1"/>
    <s v="No iniciado"/>
    <s v="Q4"/>
    <s v="Q4"/>
    <s v="p73"/>
    <s v="MEDIA"/>
    <n v="1"/>
    <n v="6"/>
    <n v="1"/>
    <n v="550"/>
    <m/>
    <n v="3940"/>
    <m/>
    <m/>
    <m/>
    <d v="2024-11-18T00:00:00"/>
    <d v="2024-12-02T00:00:00"/>
    <n v="14"/>
    <d v="2024-12-02T00:00:00"/>
    <d v="2024-12-09T00:00:00"/>
    <n v="365031"/>
    <d v="2024-12-09T00:00:00"/>
    <d v="2024-02-05T00:00:00"/>
    <d v="2024-11-01T00:00:00"/>
    <d v="2024-12-13T00:00:00"/>
    <n v="1.5"/>
    <n v="-308"/>
    <s v="PROYECTO REGIONAL"/>
    <m/>
    <s v="x"/>
  </r>
  <r>
    <s v="2024"/>
    <s v="CANALES DIGITALES"/>
    <s v="Kioscos"/>
    <s v="Datos dinamicos de facturación en Kioscos"/>
    <s v="MXP LEGACY_x000a_TRADE"/>
    <s v="Enviar en un EndPoint los datos que debe solicitar el kiosko segun el pais"/>
    <s v="BAJA"/>
    <s v="REGIONAL"/>
    <s v="Proyectos TD 2024"/>
    <x v="0"/>
    <s v="Colombia"/>
    <x v="3"/>
    <x v="1"/>
    <x v="1"/>
    <s v="No iniciado"/>
    <s v="Q4"/>
    <s v="Q4"/>
    <s v="p73"/>
    <s v="MEDIA"/>
    <n v="1"/>
    <n v="7"/>
    <n v="1"/>
    <n v="550"/>
    <m/>
    <n v="4490"/>
    <m/>
    <m/>
    <m/>
    <d v="2024-11-18T00:00:00"/>
    <d v="2024-12-02T00:00:00"/>
    <n v="14"/>
    <d v="2024-12-02T00:00:00"/>
    <d v="2024-12-09T00:00:00"/>
    <n v="365031"/>
    <d v="2024-12-09T00:00:00"/>
    <d v="2024-03-22T00:00:00"/>
    <d v="2024-11-01T00:00:00"/>
    <d v="2024-12-20T00:00:00"/>
    <n v="1.75"/>
    <n v="-262"/>
    <s v="PROYECTO REGIONAL"/>
    <m/>
    <s v="x"/>
  </r>
  <r>
    <s v="2024"/>
    <s v="CANALES DIGITALES"/>
    <s v="Formas de Pago"/>
    <s v="DEUNA BANCO DEL PICHINCHA KFC"/>
    <s v="MXP LEGACY"/>
    <s v="Depende de ejecución de proyecto de integración multimarca (aprox marzo)"/>
    <s v="MEDIA"/>
    <s v="LOCAL"/>
    <s v="Proyectos TD 2024"/>
    <x v="0"/>
    <s v="Ecuador"/>
    <x v="2"/>
    <x v="2"/>
    <x v="1"/>
    <s v="No iniciado"/>
    <n v="1"/>
    <s v="Q2"/>
    <s v="Finalizacion DEUNA Multimarca"/>
    <s v="ALTA"/>
    <m/>
    <n v="3"/>
    <n v="1"/>
    <n v="550"/>
    <m/>
    <n v="1650"/>
    <m/>
    <m/>
    <m/>
    <d v="2024-03-25T00:00:00"/>
    <d v="2024-03-25T00:00:00"/>
    <n v="0"/>
    <d v="2024-03-25T00:00:00"/>
    <d v="2024-04-01T00:00:00"/>
    <n v="363015"/>
    <d v="2024-04-01T00:00:00"/>
    <d v="2024-04-08T00:00:00"/>
    <d v="2024-05-01T00:00:00"/>
    <d v="2024-05-22T00:00:00"/>
    <n v="0.75"/>
    <n v="7"/>
    <s v="Costo Undido (lo realizará Soporte App)"/>
    <m/>
    <m/>
  </r>
  <r>
    <s v="2024"/>
    <s v="CANALES DIGITALES"/>
    <s v="Formas de Pago"/>
    <s v="DEUNA BANCO DEL PICHINCHA Multimarca"/>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s v="LOCAL"/>
    <s v="Proyectos TD 2024"/>
    <x v="0"/>
    <s v="Ecuador"/>
    <x v="15"/>
    <x v="10"/>
    <x v="1"/>
    <s v="Finalizado"/>
    <m/>
    <s v="Q1"/>
    <s v="p16"/>
    <s v="ALTA"/>
    <m/>
    <n v="5"/>
    <n v="2"/>
    <n v="550"/>
    <m/>
    <n v="6140"/>
    <m/>
    <m/>
    <m/>
    <d v="2024-01-05T00:00:00"/>
    <d v="2024-02-26T00:00:00"/>
    <n v="52"/>
    <d v="2024-02-26T00:00:00"/>
    <d v="2024-03-01T00:00:00"/>
    <n v="362788"/>
    <d v="2024-03-01T00:00:00"/>
    <d v="2024-03-08T00:00:00"/>
    <s v="NA"/>
    <e v="#VALUE!"/>
    <n v="1.25"/>
    <n v="7"/>
    <m/>
    <m/>
    <m/>
  </r>
  <r>
    <s v="2024"/>
    <s v="Devsecops"/>
    <m/>
    <s v="WAF Fortinet"/>
    <m/>
    <s v="Verificar las URL modificadas producto de la migración de WAF Radware a WAF Fortinet -&gt; Salida a producción en Febrero"/>
    <m/>
    <s v="LOCAL"/>
    <m/>
    <x v="0"/>
    <s v="Ecuador"/>
    <x v="9"/>
    <x v="11"/>
    <x v="0"/>
    <s v="No iniciado"/>
    <s v="Q1"/>
    <s v="Q1"/>
    <m/>
    <m/>
    <n v="0"/>
    <n v="0"/>
    <n v="0"/>
    <n v="0"/>
    <m/>
    <n v="0"/>
    <m/>
    <m/>
    <m/>
    <d v="2024-02-14T00:00:00"/>
    <m/>
    <n v="-45336"/>
    <m/>
    <m/>
    <d v="1899-12-30T00:00:00"/>
    <m/>
    <d v="2024-05-27T00:00:00"/>
    <d v="2024-02-14T00:00:00"/>
    <d v="2024-05-27T00:00:00"/>
    <n v="0"/>
    <n v="45439"/>
    <s v="PROYECTO REGIONAL"/>
    <m/>
    <m/>
  </r>
  <r>
    <s v="2024"/>
    <s v="SIR"/>
    <m/>
    <s v="Digitacion de pedidos Mensajes, desarrollos por mail "/>
    <m/>
    <s v="Mediante SIR sean solicitados los pedidos  que se digitan en planta."/>
    <m/>
    <s v="LOCAL"/>
    <s v="Mejoras Contabilidad"/>
    <x v="0"/>
    <s v="Ecuador"/>
    <x v="8"/>
    <x v="4"/>
    <x v="0"/>
    <s v="No iniciado"/>
    <s v="MEDIA"/>
    <s v="Q3"/>
    <m/>
    <s v="ALTA"/>
    <m/>
    <n v="5"/>
    <n v="2"/>
    <n v="450"/>
    <m/>
    <n v="5140"/>
    <m/>
    <m/>
    <m/>
    <d v="2024-07-01T00:00:00"/>
    <d v="2024-08-02T00:00:00"/>
    <e v="#REF!"/>
    <d v="2024-08-06T00:00:00"/>
    <d v="2024-08-13T00:00:00"/>
    <d v="2896-10-30T00:00:00"/>
    <m/>
    <m/>
    <d v="2024-07-01T00:00:00"/>
    <d v="1899-12-30T00:00:00"/>
    <n v="1.25"/>
    <n v="0"/>
    <m/>
    <m/>
    <m/>
  </r>
  <r>
    <s v="2024"/>
    <s v="BI"/>
    <m/>
    <s v="Obtención y Consolidación de reportes de compras. _x000a_Reporte de cierre de compras, KPIs de compras."/>
    <m/>
    <s v="El origen de la base depende del ERP utilizado en cada país, el mismo genera espera de 2 a 3 semanas. (VEN - CHILE - ARG)"/>
    <m/>
    <s v="LOCAL"/>
    <s v="Pendiente Juan Carlos B"/>
    <x v="0"/>
    <s v="Ecuador"/>
    <x v="7"/>
    <x v="5"/>
    <x v="0"/>
    <s v="No iniciado"/>
    <s v="Q2"/>
    <m/>
    <m/>
    <s v="ALTA"/>
    <n v="1"/>
    <m/>
    <m/>
    <m/>
    <m/>
    <m/>
    <m/>
    <m/>
    <m/>
    <m/>
    <m/>
    <n v="0"/>
    <m/>
    <m/>
    <n v="0"/>
    <m/>
    <m/>
    <d v="1899-12-30T00:00:00"/>
    <d v="1899-12-30T00:00:00"/>
    <n v="0"/>
    <n v="0"/>
    <m/>
    <m/>
    <m/>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x v="0"/>
    <s v="Argentina"/>
    <x v="3"/>
    <x v="1"/>
    <x v="1"/>
    <s v="No iniciado"/>
    <e v="#N/A"/>
    <s v="Q1"/>
    <s v="P23"/>
    <s v="ALTA"/>
    <n v="1"/>
    <n v="8"/>
    <n v="1"/>
    <n v="550"/>
    <m/>
    <n v="5040"/>
    <m/>
    <m/>
    <m/>
    <d v="2024-03-18T00:00:00"/>
    <d v="2024-04-01T00:00:00"/>
    <n v="14"/>
    <d v="2024-04-01T00:00:00"/>
    <d v="2024-04-08T00:00:00"/>
    <n v="363071"/>
    <d v="2024-04-08T00:00:00"/>
    <d v="2024-04-15T00:00:00"/>
    <d v="2024-04-01T00:00:00"/>
    <d v="2024-05-27T00:00:00"/>
    <n v="2"/>
    <n v="7"/>
    <s v="PROYECTO REGIONAL"/>
    <m/>
    <s v="x"/>
  </r>
  <r>
    <s v="2023"/>
    <s v="ERP"/>
    <m/>
    <s v="Etapa final implementación de Costos Ecuapork"/>
    <m/>
    <s v="El proyecto inicio ejecución en 2023 y debería estar implementado en febrero de 2024 aproximadamente"/>
    <m/>
    <s v="LOCAL"/>
    <s v="Desarrollo Software Integración Granjas con SAP"/>
    <x v="0"/>
    <s v="Ecuador"/>
    <x v="13"/>
    <x v="9"/>
    <x v="1"/>
    <s v="En curso"/>
    <s v="Q1"/>
    <s v="Q1"/>
    <m/>
    <s v="MEDIA"/>
    <n v="1"/>
    <m/>
    <m/>
    <m/>
    <m/>
    <n v="0"/>
    <m/>
    <m/>
    <m/>
    <d v="2023-08-07T00:00:00"/>
    <d v="2024-01-28T00:00:00"/>
    <n v="174"/>
    <d v="2024-02-21T00:00:00"/>
    <d v="2024-02-28T00:00:00"/>
    <n v="7"/>
    <d v="2024-02-28T00:00:00"/>
    <d v="2024-03-07T00:00:00"/>
    <d v="2023-08-07T00:00:00"/>
    <d v="2024-03-07T00:00:00"/>
    <n v="0"/>
    <n v="8"/>
    <m/>
    <m/>
    <m/>
  </r>
  <r>
    <s v="2024"/>
    <s v="CANALES DIGITALES"/>
    <s v="Kioscos"/>
    <s v="Kiosco V3 (Nueva Api Tiendas)"/>
    <s v="MXP LEGACY_x000a_TRADE"/>
    <s v="Migracion del canal de kioscos a V3 para poder contar las funcionalidades de cupones, descuentos y propinas"/>
    <s v="ALTA"/>
    <s v="LOCAL"/>
    <s v="Proyectos TD 2024"/>
    <x v="0"/>
    <s v="Ecuador"/>
    <x v="3"/>
    <x v="1"/>
    <x v="1"/>
    <s v="En curso"/>
    <e v="#N/A"/>
    <s v="Q2"/>
    <s v="p20"/>
    <s v="ALTA"/>
    <n v="1"/>
    <n v="10"/>
    <n v="1"/>
    <n v="550"/>
    <m/>
    <n v="6140"/>
    <m/>
    <m/>
    <m/>
    <d v="2024-03-11T00:00:00"/>
    <d v="2024-05-06T00:00:00"/>
    <n v="56"/>
    <d v="2024-05-06T00:00:00"/>
    <d v="2024-05-20T00:00:00"/>
    <n v="363358"/>
    <d v="2024-05-20T00:00:00"/>
    <d v="2024-06-03T00:00:00"/>
    <d v="2024-04-01T00:00:00"/>
    <d v="2024-06-10T00:00:00"/>
    <n v="2.5"/>
    <n v="14"/>
    <s v="PROYECTO REGIONAL"/>
    <m/>
    <s v="x"/>
  </r>
  <r>
    <s v="2024"/>
    <s v="CANALES DIGITALES"/>
    <s v="Fidelización"/>
    <s v="Fidelización JV, (QA Formas de pago)"/>
    <s v="TRADE"/>
    <s v="Paymentez Diners y Discover._x000a_"/>
    <s v="BAJA"/>
    <s v="LOCAL"/>
    <s v="Proyectos TD 2024"/>
    <x v="0"/>
    <s v="Ecuador"/>
    <x v="3"/>
    <x v="1"/>
    <x v="1"/>
    <s v="No iniciado"/>
    <e v="#N/A"/>
    <s v="Q3"/>
    <s v="p26"/>
    <s v="BAJA"/>
    <m/>
    <n v="2"/>
    <n v="1"/>
    <n v="550"/>
    <m/>
    <n v="1100"/>
    <m/>
    <m/>
    <m/>
    <d v="2024-08-19T00:00:00"/>
    <d v="2024-08-19T00:00:00"/>
    <n v="0"/>
    <d v="2024-08-19T00:00:00"/>
    <d v="2024-08-26T00:00:00"/>
    <n v="364191"/>
    <d v="2024-08-26T00:00:00"/>
    <d v="2024-09-02T00:00:00"/>
    <d v="2024-08-01T00:00:00"/>
    <d v="2024-08-15T00:00:00"/>
    <n v="0.5"/>
    <n v="7"/>
    <s v="ECOMERCE"/>
    <m/>
    <s v="x"/>
  </r>
  <r>
    <s v="2024"/>
    <s v="SISTEMAS INTERNOS"/>
    <m/>
    <s v="FIONA: Coordinación de Movilización Colaboradores"/>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s v="LOCAL"/>
    <m/>
    <x v="0"/>
    <s v="Ecuador"/>
    <x v="8"/>
    <x v="6"/>
    <x v="2"/>
    <s v="No iniciado"/>
    <m/>
    <s v="Q3"/>
    <m/>
    <s v="MEDIA"/>
    <m/>
    <n v="14"/>
    <n v="1"/>
    <n v="550"/>
    <m/>
    <n v="8340"/>
    <m/>
    <m/>
    <m/>
    <m/>
    <m/>
    <e v="#REF!"/>
    <m/>
    <m/>
    <d v="1899-12-30T00:00:00"/>
    <m/>
    <m/>
    <d v="1899-12-30T00:00:00"/>
    <d v="1899-12-30T00:00:00"/>
    <n v="3.5"/>
    <n v="0"/>
    <m/>
    <m/>
    <m/>
  </r>
  <r>
    <s v="2024"/>
    <s v="SISTEMAS INTERNOS"/>
    <m/>
    <s v="FIONA: Mejoras Operativas"/>
    <m/>
    <s v="Pendiente Levantamiento con Diego Diaz"/>
    <m/>
    <s v="LOCAL"/>
    <m/>
    <x v="0"/>
    <s v="Ecuador"/>
    <x v="8"/>
    <x v="6"/>
    <x v="2"/>
    <s v="No iniciado"/>
    <m/>
    <s v="Q4"/>
    <m/>
    <m/>
    <m/>
    <n v="8"/>
    <n v="1"/>
    <n v="550"/>
    <m/>
    <n v="5040"/>
    <m/>
    <m/>
    <m/>
    <m/>
    <m/>
    <e v="#REF!"/>
    <m/>
    <m/>
    <n v="0"/>
    <m/>
    <m/>
    <d v="1899-12-30T00:00:00"/>
    <d v="1899-12-30T00:00:00"/>
    <n v="2"/>
    <n v="0"/>
    <m/>
    <m/>
    <m/>
  </r>
  <r>
    <s v="2024"/>
    <s v="SISTEMAS INTERNOS"/>
    <m/>
    <s v="FIONA: Registro y procesamiento de control de calidad en planta"/>
    <m/>
    <s v="Permite llevar control del cumplimiento de especificaciones de producción a partir de los datos de los muestreo de calidad."/>
    <m/>
    <s v="LOCAL"/>
    <s v="Calidad Planta"/>
    <x v="0"/>
    <s v="Ecuador"/>
    <x v="13"/>
    <x v="12"/>
    <x v="2"/>
    <s v="No iniciado"/>
    <m/>
    <s v="Q4"/>
    <m/>
    <s v="MEDIA"/>
    <m/>
    <n v="8"/>
    <n v="1"/>
    <n v="550"/>
    <m/>
    <n v="5040"/>
    <m/>
    <m/>
    <m/>
    <m/>
    <m/>
    <e v="#REF!"/>
    <m/>
    <m/>
    <d v="1899-12-30T00:00:00"/>
    <m/>
    <m/>
    <d v="1899-12-30T00:00:00"/>
    <d v="1899-12-30T00:00:00"/>
    <n v="2"/>
    <n v="0"/>
    <m/>
    <m/>
    <m/>
  </r>
  <r>
    <s v="2024"/>
    <s v="SISTEMAS INTERNOS"/>
    <m/>
    <s v="FIONA: Ventas Clientes Externos Cerrados Subproductos Planta"/>
    <m/>
    <s v="Mediante Fiona la creacion de pedidos de clientes externos y comedor con un perfil para el supervisor del área, suprimir papel de solicitud "/>
    <m/>
    <s v="LOCAL"/>
    <m/>
    <x v="0"/>
    <s v="Ecuador"/>
    <x v="8"/>
    <x v="6"/>
    <x v="2"/>
    <s v="No iniciado"/>
    <m/>
    <s v="Q3"/>
    <m/>
    <s v="ALTA"/>
    <m/>
    <n v="10"/>
    <n v="1"/>
    <n v="550"/>
    <m/>
    <n v="6140"/>
    <m/>
    <m/>
    <m/>
    <m/>
    <m/>
    <e v="#REF!"/>
    <m/>
    <m/>
    <d v="1899-12-30T00:00:00"/>
    <m/>
    <m/>
    <d v="1899-12-30T00:00:00"/>
    <d v="1899-12-30T00:00:00"/>
    <n v="2.5"/>
    <n v="0"/>
    <m/>
    <m/>
    <m/>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LOCAL"/>
    <s v="Proyectos TD 2024"/>
    <x v="0"/>
    <s v="Ecuador"/>
    <x v="3"/>
    <x v="1"/>
    <x v="1"/>
    <s v="No iniciado"/>
    <e v="#N/A"/>
    <s v="Q3"/>
    <s v="p44"/>
    <s v="MEDIA"/>
    <n v="1"/>
    <n v="6"/>
    <n v="1"/>
    <n v="550"/>
    <m/>
    <n v="3940"/>
    <m/>
    <m/>
    <m/>
    <d v="2024-07-22T00:00:00"/>
    <d v="2024-08-19T00:00:00"/>
    <n v="28"/>
    <d v="2024-08-19T00:00:00"/>
    <d v="2024-08-26T00:00:00"/>
    <n v="364191"/>
    <d v="2024-08-26T00:00:00"/>
    <d v="2024-09-02T00:00:00"/>
    <d v="2024-07-01T00:00:00"/>
    <d v="2024-08-12T00:00:00"/>
    <n v="1.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Venezuela"/>
    <x v="3"/>
    <x v="1"/>
    <x v="1"/>
    <s v="No iniciado"/>
    <e v="#N/A"/>
    <s v="Q3"/>
    <s v="p44"/>
    <s v="MEDIA"/>
    <n v="1"/>
    <n v="3"/>
    <n v="1"/>
    <n v="550"/>
    <m/>
    <n v="2290"/>
    <m/>
    <m/>
    <m/>
    <d v="2024-09-02T00:00:00"/>
    <d v="2024-09-09T00:00:00"/>
    <n v="7"/>
    <d v="2024-09-09T00:00:00"/>
    <d v="2024-09-16T00:00:00"/>
    <n v="364359"/>
    <d v="2024-09-16T00:00:00"/>
    <d v="2024-09-23T00:00:00"/>
    <d v="2024-10-01T00:00:00"/>
    <d v="2024-10-22T00:00:00"/>
    <n v="0.7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Argentina"/>
    <x v="3"/>
    <x v="1"/>
    <x v="1"/>
    <s v="No iniciado"/>
    <e v="#N/A"/>
    <s v="Q3"/>
    <s v="p44"/>
    <s v="MEDIA"/>
    <n v="1"/>
    <n v="3"/>
    <n v="1"/>
    <n v="550"/>
    <m/>
    <n v="2290"/>
    <m/>
    <m/>
    <m/>
    <d v="2024-07-29T00:00:00"/>
    <d v="2024-08-05T00:00:00"/>
    <n v="7"/>
    <d v="2024-08-05T00:00:00"/>
    <d v="2024-08-12T00:00:00"/>
    <n v="364079"/>
    <d v="2024-08-12T00:00:00"/>
    <d v="2024-08-19T00:00:00"/>
    <d v="2024-10-01T00:00:00"/>
    <d v="2024-10-22T00:00:00"/>
    <n v="0.7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Colombia"/>
    <x v="3"/>
    <x v="1"/>
    <x v="1"/>
    <s v="No iniciado"/>
    <e v="#N/A"/>
    <s v="Q3"/>
    <s v="p44"/>
    <s v="MEDIA"/>
    <n v="1"/>
    <n v="3"/>
    <n v="1"/>
    <n v="550"/>
    <m/>
    <n v="2290"/>
    <m/>
    <m/>
    <m/>
    <d v="2024-09-02T00:00:00"/>
    <d v="2024-09-09T00:00:00"/>
    <n v="7"/>
    <d v="2024-09-09T00:00:00"/>
    <d v="2024-09-16T00:00:00"/>
    <n v="364359"/>
    <d v="2024-09-16T00:00:00"/>
    <d v="2024-09-23T00:00:00"/>
    <d v="2024-10-01T00:00:00"/>
    <d v="2024-10-22T00:00:00"/>
    <n v="0.75"/>
    <n v="7"/>
    <s v="PROYECTO REGIONAL"/>
    <m/>
    <s v="x"/>
  </r>
  <r>
    <s v="2024"/>
    <s v="CANALES DIGITALES"/>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x v="0"/>
    <s v="Chile"/>
    <x v="3"/>
    <x v="1"/>
    <x v="1"/>
    <s v="No iniciado"/>
    <e v="#N/A"/>
    <s v="Q3"/>
    <s v="p44"/>
    <s v="MEDIA"/>
    <n v="1"/>
    <n v="5"/>
    <n v="1"/>
    <n v="550"/>
    <m/>
    <n v="3390"/>
    <m/>
    <m/>
    <m/>
    <d v="2024-09-02T00:00:00"/>
    <d v="2024-09-09T00:00:00"/>
    <n v="7"/>
    <d v="2024-09-09T00:00:00"/>
    <d v="2024-09-16T00:00:00"/>
    <n v="364359"/>
    <d v="2024-09-16T00:00:00"/>
    <d v="2024-10-07T00:00:00"/>
    <d v="2024-09-01T00:00:00"/>
    <d v="2024-10-06T00:00:00"/>
    <n v="1.25"/>
    <n v="21"/>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LOCAL"/>
    <s v="Proyectos TD 2024"/>
    <x v="0"/>
    <s v="Ecuador"/>
    <x v="3"/>
    <x v="1"/>
    <x v="1"/>
    <s v="No iniciado"/>
    <e v="#N/A"/>
    <s v="Q3"/>
    <s v="p61"/>
    <s v="MEDIA"/>
    <n v="1"/>
    <n v="4"/>
    <n v="1"/>
    <n v="550"/>
    <m/>
    <n v="2840"/>
    <m/>
    <m/>
    <m/>
    <d v="2024-08-05T00:00:00"/>
    <d v="2024-08-26T00:00:00"/>
    <n v="21"/>
    <d v="2024-08-26T00:00:00"/>
    <d v="2024-09-02T00:00:00"/>
    <n v="364247"/>
    <d v="2024-09-02T00:00:00"/>
    <d v="2024-09-09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Venezuela"/>
    <x v="3"/>
    <x v="1"/>
    <x v="1"/>
    <s v="No iniciado"/>
    <e v="#N/A"/>
    <s v="Q3"/>
    <s v="p61"/>
    <s v="MEDIA"/>
    <n v="1"/>
    <n v="4"/>
    <n v="1"/>
    <n v="550"/>
    <m/>
    <n v="2840"/>
    <m/>
    <m/>
    <m/>
    <d v="2024-08-26T00:00:00"/>
    <d v="2024-09-09T00:00:00"/>
    <n v="14"/>
    <d v="2024-09-09T00:00:00"/>
    <d v="2024-09-16T00:00:00"/>
    <n v="364359"/>
    <d v="2024-09-16T00:00:00"/>
    <d v="2024-09-23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Argentina"/>
    <x v="3"/>
    <x v="1"/>
    <x v="1"/>
    <s v="No iniciado"/>
    <e v="#N/A"/>
    <s v="Q3"/>
    <s v="p61"/>
    <s v="MEDIA"/>
    <n v="1"/>
    <n v="4"/>
    <n v="1"/>
    <n v="550"/>
    <m/>
    <n v="2840"/>
    <m/>
    <m/>
    <m/>
    <d v="2024-08-26T00:00:00"/>
    <d v="2024-09-09T00:00:00"/>
    <n v="14"/>
    <d v="2024-09-09T00:00:00"/>
    <d v="2024-09-16T00:00:00"/>
    <n v="364359"/>
    <d v="2024-09-16T00:00:00"/>
    <d v="2024-09-23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Colombia"/>
    <x v="3"/>
    <x v="1"/>
    <x v="1"/>
    <s v="No iniciado"/>
    <e v="#N/A"/>
    <s v="Q3"/>
    <s v="p61"/>
    <s v="MEDIA"/>
    <n v="1"/>
    <n v="4"/>
    <n v="1"/>
    <n v="550"/>
    <m/>
    <n v="2840"/>
    <m/>
    <m/>
    <m/>
    <d v="2024-08-26T00:00:00"/>
    <d v="2024-09-09T00:00:00"/>
    <n v="14"/>
    <d v="2024-09-09T00:00:00"/>
    <d v="2024-09-16T00:00:00"/>
    <n v="364359"/>
    <d v="2024-09-16T00:00:00"/>
    <d v="2024-09-23T00:00:00"/>
    <d v="2024-08-01T00:00:00"/>
    <d v="2024-08-29T00:00:00"/>
    <n v="1"/>
    <n v="7"/>
    <s v="PROYECTO REGIONAL"/>
    <m/>
    <s v="x"/>
  </r>
  <r>
    <s v="2024"/>
    <s v="CANALES DIGITALES"/>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x v="0"/>
    <s v="Chile"/>
    <x v="3"/>
    <x v="1"/>
    <x v="1"/>
    <s v="No iniciado"/>
    <e v="#N/A"/>
    <s v="Q3"/>
    <s v="p61"/>
    <s v="MEDIA"/>
    <n v="1"/>
    <n v="6"/>
    <n v="1"/>
    <n v="550"/>
    <m/>
    <n v="3940"/>
    <m/>
    <m/>
    <m/>
    <d v="2024-08-26T00:00:00"/>
    <d v="2024-09-09T00:00:00"/>
    <n v="14"/>
    <d v="2024-09-09T00:00:00"/>
    <d v="2024-09-16T00:00:00"/>
    <n v="364359"/>
    <d v="2024-09-16T00:00:00"/>
    <d v="2024-10-07T00:00:00"/>
    <d v="2024-08-01T00:00:00"/>
    <d v="2024-09-12T00:00:00"/>
    <n v="1.5"/>
    <n v="21"/>
    <s v="PROYECTO REGIONAL"/>
    <m/>
    <s v="x"/>
  </r>
  <r>
    <s v="2024"/>
    <s v="SISTEMAS INTERNOS"/>
    <m/>
    <s v="Gestión de Contratos de Arriendos"/>
    <m/>
    <s v="Alertas"/>
    <m/>
    <s v="LOCAL"/>
    <s v="Gestión de Contratos de Arriendos"/>
    <x v="0"/>
    <s v="Ecuador"/>
    <x v="16"/>
    <x v="9"/>
    <x v="0"/>
    <s v="No iniciado"/>
    <s v="Q1"/>
    <s v="Q2"/>
    <m/>
    <s v="MEDIA"/>
    <m/>
    <n v="8"/>
    <n v="1"/>
    <n v="550"/>
    <m/>
    <n v="8400"/>
    <m/>
    <m/>
    <m/>
    <d v="2024-03-01T00:00:00"/>
    <d v="2024-04-01T00:00:00"/>
    <e v="#REF!"/>
    <d v="2024-04-01T00:00:00"/>
    <d v="2024-04-14T00:00:00"/>
    <d v="2894-01-24T00:00:00"/>
    <d v="2024-04-14T00:00:00"/>
    <d v="2024-05-01T00:00:00"/>
    <d v="2024-03-01T00:00:00"/>
    <d v="2024-05-01T00:00:00"/>
    <d v="1900-01-01T00:00:00"/>
    <n v="17"/>
    <m/>
    <m/>
    <m/>
  </r>
  <r>
    <s v="2024"/>
    <s v="CANALES DIGITALES"/>
    <s v="Kioscos"/>
    <s v="Ley de protección - Kioskos (optim)"/>
    <s v="MXP LEGACY_x000a_TRADE"/>
    <s v="Recepción de aceptaciones de la ley de protección de datos de los kioscos Ecuador, Recepcion de aceptación por separado"/>
    <s v="ALTA"/>
    <s v="LOCAL"/>
    <s v="Proyectos TD 2024"/>
    <x v="0"/>
    <s v="Ecuador"/>
    <x v="3"/>
    <x v="1"/>
    <x v="1"/>
    <s v="En curso"/>
    <e v="#N/A"/>
    <s v="Q1"/>
    <s v="p19"/>
    <s v="MEDIA"/>
    <m/>
    <n v="6"/>
    <n v="1"/>
    <n v="550"/>
    <m/>
    <n v="3940"/>
    <m/>
    <m/>
    <m/>
    <d v="2024-03-04T00:00:00"/>
    <d v="2024-03-18T00:00:00"/>
    <n v="14"/>
    <d v="2024-03-18T00:00:00"/>
    <d v="2024-03-25T00:00:00"/>
    <n v="362959"/>
    <d v="2024-03-25T00:00:00"/>
    <d v="2024-04-01T00:00:00"/>
    <d v="2024-04-01T00:00:00"/>
    <d v="2024-05-13T00:00:00"/>
    <n v="1.5"/>
    <n v="7"/>
    <s v="ECOMERCE"/>
    <m/>
    <s v="x"/>
  </r>
  <r>
    <s v="2024"/>
    <s v="ERP"/>
    <m/>
    <s v="Implementación costos coproductos Embutser"/>
    <m/>
    <s v="Proyecto 2023, continúa implementación 2024, fecha aprox febrero"/>
    <m/>
    <s v="LOCAL"/>
    <s v="Implementación Coproductos empresa Embutser"/>
    <x v="0"/>
    <s v="Ecuador"/>
    <x v="13"/>
    <x v="9"/>
    <x v="1"/>
    <s v="En curso"/>
    <s v="Q1"/>
    <s v="Q1"/>
    <m/>
    <s v="MEDIA"/>
    <n v="1"/>
    <m/>
    <m/>
    <m/>
    <m/>
    <n v="0"/>
    <m/>
    <m/>
    <m/>
    <d v="2024-01-07T00:00:00"/>
    <d v="2024-01-21T00:00:00"/>
    <n v="14"/>
    <d v="2024-01-21T00:00:00"/>
    <d v="2024-01-28T00:00:00"/>
    <n v="7"/>
    <d v="2024-02-21T00:00:00"/>
    <d v="2024-02-28T00:00:00"/>
    <d v="2024-01-07T00:00:00"/>
    <d v="2024-02-28T00:00:00"/>
    <n v="0"/>
    <n v="7"/>
    <m/>
    <m/>
    <m/>
  </r>
  <r>
    <s v="2024"/>
    <s v="ERP"/>
    <m/>
    <s v="Implementación SAP Analytic Cloud + Datasphere"/>
    <m/>
    <s v="Contar con una herramienta de reporteria facil de implemantar y puedan utilizar los usuarios de SAP, sin mayor aporte del area de tecnologia"/>
    <m/>
    <s v="REGIONAL"/>
    <s v="Reportería Regional SAP ANALYTIC CLOUD"/>
    <x v="0"/>
    <s v="Ecuador"/>
    <x v="6"/>
    <x v="4"/>
    <x v="0"/>
    <s v="No iniciado"/>
    <s v="Q2"/>
    <s v="Q2"/>
    <m/>
    <s v="MEDIA"/>
    <n v="1"/>
    <n v="8"/>
    <n v="4"/>
    <n v="637.5"/>
    <n v="40000"/>
    <n v="60400"/>
    <n v="40000"/>
    <m/>
    <m/>
    <d v="2024-04-07T00:00:00"/>
    <d v="2024-05-14T00:00:00"/>
    <n v="37"/>
    <m/>
    <m/>
    <d v="1899-12-30T00:00:00"/>
    <m/>
    <m/>
    <d v="2024-04-07T00:00:00"/>
    <d v="1899-12-30T00:00:00"/>
    <n v="2"/>
    <n v="0"/>
    <m/>
    <m/>
    <m/>
  </r>
  <r>
    <s v="2024"/>
    <s v="ERP"/>
    <m/>
    <s v="Importación de Plantillas para Cargas de datos: Pagos, Retenciones, etc"/>
    <m/>
    <s v="Tesorería, actualemte se comparten usuarios para acceder a Herramienta "/>
    <m/>
    <s v="LOCAL"/>
    <s v="Easy Scripting"/>
    <x v="0"/>
    <s v="Ecuador"/>
    <x v="10"/>
    <x v="7"/>
    <x v="0"/>
    <s v="No iniciado"/>
    <s v="Q2"/>
    <s v="Q2"/>
    <m/>
    <s v="BAJA"/>
    <n v="1"/>
    <n v="1"/>
    <n v="2"/>
    <n v="550"/>
    <m/>
    <n v="1100"/>
    <n v="1800"/>
    <m/>
    <m/>
    <d v="2024-02-14T00:00:00"/>
    <d v="2024-02-28T00:00:00"/>
    <n v="14"/>
    <d v="2024-02-28T00:00:00"/>
    <d v="2024-03-14T00:00:00"/>
    <n v="15"/>
    <d v="2024-03-14T00:00:00"/>
    <d v="2024-03-21T00:00:00"/>
    <d v="2024-02-14T00:00:00"/>
    <d v="2024-03-21T00:00:00"/>
    <n v="0.25"/>
    <n v="7"/>
    <m/>
    <m/>
    <m/>
  </r>
  <r>
    <s v="2024"/>
    <s v="MXP LEGACY"/>
    <m/>
    <s v="Incluir 2 opciones en el proceso de pago con credito relacionado"/>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s v="LOCAL"/>
    <s v="Mejoras Maxpoint Auditoría 2024"/>
    <x v="0"/>
    <s v="Ecuador"/>
    <x v="0"/>
    <x v="0"/>
    <x v="0"/>
    <s v="No iniciado"/>
    <n v="2"/>
    <s v="Q2"/>
    <s v="De sistema payroll para que exponga emdiante api la información del personal"/>
    <s v="BAJA"/>
    <n v="1"/>
    <n v="2"/>
    <n v="1"/>
    <n v="550"/>
    <m/>
    <n v="1680"/>
    <m/>
    <m/>
    <n v="2"/>
    <d v="2024-05-01T00:00:00"/>
    <d v="2024-05-15T00:00:00"/>
    <d v="1900-01-13T00:00:00"/>
    <d v="2024-05-16T00:00:00"/>
    <d v="2024-05-19T00:00:00"/>
    <d v="2895-01-09T00:00:00"/>
    <d v="2024-05-20T00:00:00"/>
    <d v="2024-05-28T00:00:00"/>
    <d v="2024-05-01T00:00:00"/>
    <d v="2024-05-28T00:00:00"/>
    <n v="0.5"/>
    <n v="8"/>
    <m/>
    <m/>
    <m/>
  </r>
  <r>
    <s v="2024"/>
    <s v="MXP LEGACY"/>
    <m/>
    <s v="Incluir 2 selecciones adicionales en Landing Page para la marca KFC"/>
    <s v="MXP 2.0"/>
    <s v="Botones adicionales solicitados por mkt kfc"/>
    <m/>
    <s v="LOCAL"/>
    <s v="Landing Page"/>
    <x v="0"/>
    <s v="Ecuador"/>
    <x v="17"/>
    <x v="2"/>
    <x v="0"/>
    <s v="No iniciado"/>
    <n v="2"/>
    <s v="Q2"/>
    <m/>
    <s v="BAJA"/>
    <n v="1"/>
    <n v="2"/>
    <n v="1"/>
    <n v="550"/>
    <m/>
    <n v="1680"/>
    <m/>
    <m/>
    <n v="2"/>
    <d v="2024-05-02T00:00:00"/>
    <d v="2024-05-16T00:00:00"/>
    <d v="1900-01-13T00:00:00"/>
    <d v="2024-05-17T00:00:00"/>
    <d v="2024-05-20T00:00:00"/>
    <d v="2895-01-17T00:00:00"/>
    <d v="2024-05-21T00:00:00"/>
    <d v="2024-05-28T00:00:00"/>
    <d v="2024-05-02T00:00:00"/>
    <d v="2024-05-28T00:00:00"/>
    <n v="0.5"/>
    <n v="7"/>
    <m/>
    <m/>
    <m/>
  </r>
  <r>
    <s v="2024"/>
    <s v="MXP LEGACY"/>
    <m/>
    <s v="Incluir columna de Número de Mesa en reporte Maxpoint"/>
    <m/>
    <s v="Al reporte de transacciones MAX POINT,  Incluir una columna el numero de mesa"/>
    <m/>
    <s v="LOCAL"/>
    <s v="Mejoras Maxpoint Auditoría 2024"/>
    <x v="0"/>
    <s v="Ecuador"/>
    <x v="0"/>
    <x v="0"/>
    <x v="0"/>
    <s v="No iniciado"/>
    <n v="4"/>
    <s v="Q3"/>
    <m/>
    <s v="BAJA"/>
    <n v="1"/>
    <n v="2"/>
    <n v="1"/>
    <n v="550"/>
    <m/>
    <n v="1680"/>
    <m/>
    <m/>
    <n v="4"/>
    <d v="2024-06-03T00:00:00"/>
    <d v="2024-06-25T00:00:00"/>
    <d v="1900-01-21T00:00:00"/>
    <d v="2024-06-26T00:00:00"/>
    <d v="2024-07-10T00:00:00"/>
    <d v="2895-12-14T00:00:00"/>
    <d v="2024-07-11T00:00:00"/>
    <d v="2024-07-25T00:00:00"/>
    <d v="2024-06-03T00:00:00"/>
    <d v="2024-07-25T00:00:00"/>
    <n v="0.5"/>
    <n v="14"/>
    <m/>
    <m/>
    <m/>
  </r>
  <r>
    <s v="2024"/>
    <s v="MXP LEGACY"/>
    <m/>
    <s v="Incluir el valor de la propina al total de la transacción en las notas de crédito - dolce incontro"/>
    <m/>
    <s v="Anulaciones/notas de crédito en transacciones que cuentan con propina - dolce incontro"/>
    <m/>
    <s v="LOCAL"/>
    <s v="Notas de Crédito"/>
    <x v="0"/>
    <s v="Ecuador"/>
    <x v="18"/>
    <x v="6"/>
    <x v="0"/>
    <s v="No iniciado"/>
    <m/>
    <s v="Q2"/>
    <s v="FACTIBILIDAD TÉCNICA SRI POR VALIDAR"/>
    <s v="ALTA"/>
    <n v="1"/>
    <n v="2"/>
    <n v="1"/>
    <n v="550"/>
    <m/>
    <n v="1680"/>
    <m/>
    <m/>
    <n v="3"/>
    <d v="2024-06-03T00:00:00"/>
    <d v="2024-05-20T00:00:00"/>
    <n v="-14"/>
    <d v="2024-06-05T00:00:00"/>
    <d v="2024-06-19T00:00:00"/>
    <d v="2895-06-29T00:00:00"/>
    <d v="2024-06-24T00:00:00"/>
    <d v="2024-06-28T00:00:00"/>
    <d v="2024-06-03T00:00:00"/>
    <d v="2024-06-28T00:00:00"/>
    <n v="0.5"/>
    <n v="4"/>
    <s v="Identificado Grupo de Soporte"/>
    <m/>
    <m/>
  </r>
  <r>
    <s v="2024"/>
    <s v="MXP LEGACY"/>
    <m/>
    <s v="Incluir en el reporte de transacciones la visualización detallada de items facturados en maxpoint"/>
    <s v="MXP 2.0"/>
    <s v="Al reporte de transacciones MAX POINT,  nos permita visulaizar la factura con sus detalles"/>
    <m/>
    <s v="LOCAL"/>
    <s v="Mejoras Maxpoint Auditoría 2024"/>
    <x v="0"/>
    <s v="Ecuador"/>
    <x v="0"/>
    <x v="0"/>
    <x v="0"/>
    <s v="No iniciado"/>
    <n v="1"/>
    <s v="Q2"/>
    <m/>
    <s v="BAJA"/>
    <n v="1"/>
    <n v="1"/>
    <n v="2"/>
    <n v="550"/>
    <m/>
    <n v="1680"/>
    <m/>
    <m/>
    <n v="2"/>
    <d v="2024-05-01T00:00:00"/>
    <d v="2024-05-15T00:00:00"/>
    <d v="1900-01-13T00:00:00"/>
    <d v="2024-05-16T00:00:00"/>
    <d v="2024-05-20T00:00:00"/>
    <d v="2895-01-10T00:00:00"/>
    <d v="2024-05-21T00:00:00"/>
    <d v="2024-05-28T00:00:00"/>
    <d v="2024-05-01T00:00:00"/>
    <d v="2024-05-28T00:00:00"/>
    <n v="0.25"/>
    <n v="7"/>
    <m/>
    <m/>
    <m/>
  </r>
  <r>
    <s v="2024"/>
    <s v="SIR"/>
    <m/>
    <s v="Incluir los tipos de diarios para los reportes de Ventas no exportadas"/>
    <m/>
    <m/>
    <m/>
    <s v="LOCAL"/>
    <s v="Mejoras Contabilidad"/>
    <x v="0"/>
    <s v="Ecuador"/>
    <x v="19"/>
    <x v="4"/>
    <x v="0"/>
    <s v="Finalizado"/>
    <s v="ALTA"/>
    <s v="Q1"/>
    <m/>
    <s v="BAJA"/>
    <m/>
    <n v="1"/>
    <n v="1"/>
    <n v="400"/>
    <m/>
    <n v="600"/>
    <m/>
    <m/>
    <n v="0"/>
    <d v="2024-02-26T00:00:00"/>
    <d v="2024-03-08T00:00:00"/>
    <e v="#REF!"/>
    <d v="2024-03-12T00:00:00"/>
    <d v="2024-03-19T00:00:00"/>
    <d v="2893-08-11T00:00:00"/>
    <d v="2024-04-30T00:00:00"/>
    <m/>
    <d v="2024-02-26T00:00:00"/>
    <d v="1899-12-30T00:00:00"/>
    <d v="1899-12-30T06:00:00"/>
    <n v="-45412"/>
    <m/>
    <m/>
    <m/>
  </r>
  <r>
    <s v="2024"/>
    <s v="SIR"/>
    <m/>
    <s v="Incluir una alerta cuando ingresen un activo ya utilizado en una orden de trabajo - cambio de alcance"/>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s v="LOCAL"/>
    <s v="Mantenimiento Restaurantes"/>
    <x v="0"/>
    <s v="Ecuador"/>
    <x v="11"/>
    <x v="8"/>
    <x v="0"/>
    <s v="Finalizado"/>
    <m/>
    <s v="Q1"/>
    <m/>
    <s v="BAJA"/>
    <m/>
    <n v="2"/>
    <n v="2"/>
    <n v="400"/>
    <m/>
    <n v="2240"/>
    <m/>
    <m/>
    <n v="0"/>
    <d v="2024-02-26T00:00:00"/>
    <d v="2024-03-08T00:00:00"/>
    <e v="#REF!"/>
    <d v="2024-03-12T00:00:00"/>
    <d v="2024-03-19T00:00:00"/>
    <d v="2893-08-11T00:00:00"/>
    <m/>
    <m/>
    <d v="2024-02-26T00:00:00"/>
    <d v="1899-12-30T00:00:00"/>
    <n v="0.5"/>
    <n v="0"/>
    <m/>
    <m/>
    <m/>
  </r>
  <r>
    <s v="2024"/>
    <s v="BI"/>
    <m/>
    <s v="Flujos de Caja"/>
    <m/>
    <s v="Reporte de Flujo de Caja que se estaba trabajando con TD, verificar estatus y si podemos  aportar para avanzar"/>
    <m/>
    <s v="LOCAL"/>
    <s v="Debe mantenerse reunion con el área de BA y Negocio"/>
    <x v="0"/>
    <s v="Ecuador"/>
    <x v="10"/>
    <x v="7"/>
    <x v="0"/>
    <s v="No iniciado"/>
    <m/>
    <m/>
    <m/>
    <m/>
    <m/>
    <m/>
    <m/>
    <m/>
    <m/>
    <n v="640"/>
    <m/>
    <m/>
    <m/>
    <m/>
    <m/>
    <n v="0"/>
    <m/>
    <m/>
    <n v="0"/>
    <m/>
    <m/>
    <d v="1899-12-30T00:00:00"/>
    <d v="1899-12-30T00:00:00"/>
    <n v="0"/>
    <n v="0"/>
    <s v="BI"/>
    <m/>
    <m/>
  </r>
  <r>
    <s v="2024"/>
    <s v="CANALES DIGITALES"/>
    <s v="Ultimas millas"/>
    <s v="Integración con uber direct "/>
    <s v="MXP LEGACY_x000a_TRADE"/>
    <s v="Integración de ultima milla._x000a_Incluir efectivo"/>
    <s v="ALTA"/>
    <s v="LOCAL"/>
    <s v="Proyectos TD 2024"/>
    <x v="0"/>
    <s v="Ecuador"/>
    <x v="3"/>
    <x v="1"/>
    <x v="1"/>
    <s v="En curso"/>
    <m/>
    <s v="Q1"/>
    <m/>
    <s v="MEDIA"/>
    <m/>
    <n v="2"/>
    <n v="1"/>
    <n v="550"/>
    <m/>
    <n v="1100"/>
    <m/>
    <m/>
    <m/>
    <d v="2024-01-05T00:00:00"/>
    <d v="2024-02-23T00:00:00"/>
    <n v="49"/>
    <d v="2024-02-23T00:00:00"/>
    <d v="2024-03-01T00:00:00"/>
    <n v="362767"/>
    <d v="2024-03-01T00:00:00"/>
    <d v="2024-03-08T00:00:00"/>
    <d v="2024-05-01T00:00:00"/>
    <d v="2024-05-15T00:00:00"/>
    <n v="0.5"/>
    <n v="7"/>
    <s v="ECOMERCE"/>
    <m/>
    <m/>
  </r>
  <r>
    <s v="2024"/>
    <s v="CANALES DIGITALES"/>
    <s v="Pickup"/>
    <s v="Inyección V3 - Descuentos Pick up"/>
    <s v="MXP LEGACY_x000a_MXP 2.0_x000a_TRADE"/>
    <s v="Recepción de descuentos desde inyección V3 hacia Pickup en las tiendas"/>
    <s v="ALTA"/>
    <s v="LOCAL"/>
    <s v="Proyectos TD 2024"/>
    <x v="0"/>
    <s v="Ecuador"/>
    <x v="20"/>
    <x v="1"/>
    <x v="1"/>
    <s v="En curso"/>
    <m/>
    <s v="Q1"/>
    <s v="p10"/>
    <s v="ALTA"/>
    <n v="1"/>
    <n v="4"/>
    <n v="1"/>
    <n v="550"/>
    <m/>
    <n v="2840"/>
    <m/>
    <m/>
    <m/>
    <d v="2024-02-19T00:00:00"/>
    <d v="2024-02-26T00:00:00"/>
    <n v="7"/>
    <d v="2024-02-26T00:00:00"/>
    <d v="2024-03-04T00:00:00"/>
    <n v="362791"/>
    <d v="2024-03-04T00:00:00"/>
    <d v="2024-03-11T00:00:00"/>
    <d v="2024-04-01T00:00:00"/>
    <d v="2024-04-29T00:00:00"/>
    <n v="1"/>
    <n v="7"/>
    <s v="PROYECTO REGIONAL"/>
    <m/>
    <s v="x"/>
  </r>
  <r>
    <s v="2024"/>
    <s v="SISTEMAS INTERNOS"/>
    <m/>
    <s v="Integración Herramientas SatCon: Otros Negocios"/>
    <m/>
    <m/>
    <m/>
    <s v="LOCAL"/>
    <s v="Gestión de Contratos de Arriendos"/>
    <x v="0"/>
    <s v="Ecuador"/>
    <x v="16"/>
    <x v="9"/>
    <x v="0"/>
    <s v="No iniciado"/>
    <s v="Q1"/>
    <s v="Q2"/>
    <m/>
    <s v="MEDIA"/>
    <m/>
    <n v="4"/>
    <n v="1"/>
    <n v="600"/>
    <m/>
    <n v="2400"/>
    <m/>
    <m/>
    <m/>
    <d v="2024-03-01T00:00:00"/>
    <d v="2024-04-01T00:00:00"/>
    <e v="#REF!"/>
    <d v="2024-04-01T00:00:00"/>
    <d v="2024-04-14T00:00:00"/>
    <d v="2894-01-24T00:00:00"/>
    <d v="2024-04-14T00:00:00"/>
    <d v="2024-05-01T00:00:00"/>
    <d v="2024-03-01T00:00:00"/>
    <d v="2024-05-01T00:00:00"/>
    <n v="1"/>
    <n v="17"/>
    <m/>
    <m/>
    <m/>
  </r>
  <r>
    <s v="2024"/>
    <s v="BI"/>
    <m/>
    <s v="Reporte Actualizado de Inversión a Directorio - Proyectos Construcción "/>
    <m/>
    <s v=" Reporte diario a descargar a la intranet presenta errores_x000a_- Alertas de límite presupuestario_x000a_- actualizar información se mantiene manual."/>
    <m/>
    <s v="LOCAL"/>
    <s v="Reunión con Requisidor, obtener mas información"/>
    <x v="0"/>
    <s v="Ecuador"/>
    <x v="21"/>
    <x v="13"/>
    <x v="0"/>
    <s v="No iniciado"/>
    <s v="Q2"/>
    <s v="Q3"/>
    <m/>
    <s v="MEDIA"/>
    <n v="1"/>
    <m/>
    <m/>
    <m/>
    <m/>
    <n v="0"/>
    <m/>
    <m/>
    <m/>
    <m/>
    <m/>
    <m/>
    <m/>
    <m/>
    <m/>
    <m/>
    <m/>
    <d v="1899-12-30T00:00:00"/>
    <d v="1899-12-30T00:00:00"/>
    <n v="0"/>
    <m/>
    <m/>
    <m/>
    <m/>
  </r>
  <r>
    <s v="2024"/>
    <s v="CANALES DIGITALES"/>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LOCAL"/>
    <s v="Proyectos TD 2024"/>
    <x v="0"/>
    <s v="Ecuador"/>
    <x v="3"/>
    <x v="1"/>
    <x v="1"/>
    <s v="Finalizado"/>
    <e v="#N/A"/>
    <s v="Q1"/>
    <s v="P23"/>
    <s v="ALTA"/>
    <n v="1"/>
    <n v="8"/>
    <n v="1"/>
    <n v="550"/>
    <m/>
    <n v="5040"/>
    <m/>
    <m/>
    <m/>
    <d v="2024-02-05T00:00:00"/>
    <d v="2024-02-12T00:00:00"/>
    <n v="7"/>
    <d v="2024-02-12T00:00:00"/>
    <d v="2024-02-19T00:00:00"/>
    <n v="362679"/>
    <d v="2024-02-19T00:00:00"/>
    <d v="2024-02-26T00:00:00"/>
    <s v="NA"/>
    <e v="#VALUE!"/>
    <n v="2"/>
    <n v="7"/>
    <s v="PROYECTO REGIONAL"/>
    <m/>
    <s v="x"/>
  </r>
  <r>
    <s v="2024"/>
    <s v="CANALES DIGITALES"/>
    <s v="Pickup"/>
    <s v="Inyección V3 - Descuentos Pick up"/>
    <s v="MXP LEGACY_x000a_MXP 2.0_x000a_TRADE"/>
    <s v="Recepción de descuentos desde inyección V3 hacia Pickup en las tiendas"/>
    <s v="ALTA"/>
    <s v="REGIONAL"/>
    <s v="Proyectos TD 2024"/>
    <x v="0"/>
    <s v="Colombia"/>
    <x v="20"/>
    <x v="1"/>
    <x v="1"/>
    <s v="En curso"/>
    <m/>
    <s v="Q1"/>
    <s v="p10"/>
    <s v="ALTA"/>
    <n v="1"/>
    <n v="4"/>
    <n v="1"/>
    <n v="550"/>
    <m/>
    <n v="2840"/>
    <m/>
    <m/>
    <m/>
    <d v="2024-03-11T00:00:00"/>
    <d v="2024-03-18T00:00:00"/>
    <n v="7"/>
    <d v="2024-03-18T00:00:00"/>
    <d v="2024-03-25T00:00:00"/>
    <n v="362959"/>
    <d v="2024-03-25T00:00:00"/>
    <d v="2024-04-01T00:00:00"/>
    <d v="2024-04-01T00:00:00"/>
    <d v="2024-04-29T00:00:00"/>
    <n v="1"/>
    <n v="7"/>
    <s v="PROYECTO REGIONAL"/>
    <m/>
    <s v="x"/>
  </r>
  <r>
    <s v="2024"/>
    <s v="CANALES DIGITALES"/>
    <s v="Pickup"/>
    <s v="Inyección V3 - Descuentos Pick up"/>
    <s v="MXP LEGACY_x000a_MXP 2.0_x000a_TRADE"/>
    <s v="Recepción de descuentos desde inyección V3 hacia Pickup en las tiendas"/>
    <s v="ALTA"/>
    <s v="REGIONAL"/>
    <s v="Proyectos TD 2024"/>
    <x v="0"/>
    <s v="Venezuela"/>
    <x v="20"/>
    <x v="1"/>
    <x v="1"/>
    <s v="En curso"/>
    <m/>
    <s v="Q1"/>
    <m/>
    <s v="ALTA"/>
    <n v="1"/>
    <n v="4"/>
    <n v="1"/>
    <n v="550"/>
    <m/>
    <n v="2840"/>
    <m/>
    <m/>
    <m/>
    <d v="2024-03-04T00:00:00"/>
    <d v="2024-03-18T00:00:00"/>
    <n v="14"/>
    <d v="2024-03-18T00:00:00"/>
    <d v="2024-03-25T00:00:00"/>
    <n v="362959"/>
    <d v="2024-03-25T00:00:00"/>
    <d v="2024-04-01T00:00:00"/>
    <d v="2024-04-01T00:00:00"/>
    <d v="2024-04-29T00:00:00"/>
    <n v="1"/>
    <n v="7"/>
    <m/>
    <m/>
    <s v="x"/>
  </r>
  <r>
    <s v="2024"/>
    <s v="CANALES DIGITALES"/>
    <s v="Cupones"/>
    <s v="Unificación QR Kiosco &amp; Local (Ec)"/>
    <s v="MXP LEGACY_x000a_TRADE"/>
    <s v="_x000a_Unificación de Cupones QR y Online_x000a_Mejorar la densidad de todos los códigos QR"/>
    <s v="BAJA"/>
    <s v="LOCAL"/>
    <s v="Proyectos TD 2024"/>
    <x v="0"/>
    <s v="Ecuador"/>
    <x v="3"/>
    <x v="1"/>
    <x v="1"/>
    <s v="No iniciado"/>
    <e v="#N/A"/>
    <s v="Q4"/>
    <s v="p75"/>
    <s v="MEDIA"/>
    <n v="1"/>
    <n v="6"/>
    <n v="1"/>
    <n v="550"/>
    <m/>
    <n v="3940"/>
    <m/>
    <m/>
    <m/>
    <d v="2024-03-04T00:00:00"/>
    <d v="2024-04-01T00:00:00"/>
    <n v="28"/>
    <d v="2024-04-01T00:00:00"/>
    <d v="2024-04-08T00:00:00"/>
    <n v="363071"/>
    <d v="2024-04-08T00:00:00"/>
    <d v="2024-04-15T00:00:00"/>
    <d v="2024-04-08T00:00:00"/>
    <d v="2024-05-20T00:00:00"/>
    <n v="1.5"/>
    <n v="7"/>
    <s v="PROYECTO REGIONAL"/>
    <m/>
    <s v="x"/>
  </r>
  <r>
    <s v="2024"/>
    <s v="CANALES DIGITALES"/>
    <s v="API Inyección v3"/>
    <s v="KFC Fulfillment  Aceptar pago de propinas para el motorizado desde la app"/>
    <s v="MXP LEGACY_x000a_TRADE"/>
    <s v="Recepción de propinas en v3 y Maxpoint "/>
    <s v="BAJA"/>
    <s v="REGIONAL"/>
    <s v="Proyectos TD 2024"/>
    <x v="0"/>
    <s v="Ecuador"/>
    <x v="3"/>
    <x v="1"/>
    <x v="1"/>
    <s v="No iniciado"/>
    <s v="Q3"/>
    <s v="Q3"/>
    <s v="p51"/>
    <s v="MEDIA"/>
    <m/>
    <n v="2"/>
    <n v="1"/>
    <n v="550"/>
    <m/>
    <n v="1240"/>
    <m/>
    <m/>
    <m/>
    <d v="2024-09-02T00:00:00"/>
    <d v="2024-09-16T00:00:00"/>
    <n v="14"/>
    <d v="2024-09-16T00:00:00"/>
    <d v="2024-09-23T00:00:00"/>
    <n v="364415"/>
    <d v="2024-09-23T00:00:00"/>
    <d v="2024-09-30T00:00:00"/>
    <d v="2024-09-01T00:00:00"/>
    <d v="2024-09-15T00:00:00"/>
    <n v="0.5"/>
    <n v="7"/>
    <s v="ECOMERCE"/>
    <m/>
    <s v="x"/>
  </r>
  <r>
    <s v="2024"/>
    <s v="CANALES DIGITALES"/>
    <s v="API Inyección v3"/>
    <s v="KFC Fulfillment  Aceptar pago de propinas para el motorizado desde la app"/>
    <s v="MXP LEGACY_x000a_TRADE"/>
    <s v="Recepción de propinas en v3 y Maxpoint "/>
    <s v="BAJA"/>
    <s v="REGIONAL"/>
    <s v="Proyectos TD 2024"/>
    <x v="0"/>
    <s v="Colombia"/>
    <x v="3"/>
    <x v="1"/>
    <x v="1"/>
    <s v="No iniciado"/>
    <s v="Q3"/>
    <s v="Q3"/>
    <s v="p51"/>
    <s v="MEDIA"/>
    <m/>
    <n v="2"/>
    <n v="1"/>
    <n v="550"/>
    <m/>
    <n v="1230"/>
    <m/>
    <m/>
    <m/>
    <d v="2024-09-02T00:00:00"/>
    <d v="2024-09-16T00:00:00"/>
    <n v="14"/>
    <d v="2024-09-16T00:00:00"/>
    <d v="2024-09-23T00:00:00"/>
    <n v="364415"/>
    <d v="2024-09-23T00:00:00"/>
    <d v="2024-09-30T00:00:00"/>
    <d v="2024-09-01T00:00:00"/>
    <d v="2024-09-15T00:00:00"/>
    <n v="0.5"/>
    <n v="7"/>
    <s v="ECOMERCE"/>
    <m/>
    <s v="x"/>
  </r>
  <r>
    <s v="2024"/>
    <s v="CANALES DIGITALES"/>
    <s v="API Inyección v3"/>
    <s v="KFC Fulfillment  Aceptar pago de propinas para el motorizado desde la app"/>
    <s v="MXP LEGACY_x000a_TRADE"/>
    <s v="Recepción de propinas en v3 y Maxpoint "/>
    <s v="BAJA"/>
    <s v="REGIONAL"/>
    <s v="Proyectos TD 2024"/>
    <x v="0"/>
    <s v="Chile"/>
    <x v="3"/>
    <x v="1"/>
    <x v="1"/>
    <s v="No iniciado"/>
    <s v="Q3"/>
    <s v="Q3"/>
    <s v="p51"/>
    <s v="MEDIA"/>
    <m/>
    <n v="2"/>
    <n v="1"/>
    <n v="550"/>
    <m/>
    <n v="1235"/>
    <m/>
    <m/>
    <m/>
    <d v="2024-09-02T00:00:00"/>
    <d v="2024-09-16T00:00:00"/>
    <n v="14"/>
    <d v="2024-09-16T00:00:00"/>
    <d v="2024-09-23T00:00:00"/>
    <n v="364415"/>
    <d v="2024-09-23T00:00:00"/>
    <d v="2024-09-30T00:00:00"/>
    <d v="2024-09-01T00:00:00"/>
    <d v="2024-09-15T00:00:00"/>
    <n v="0.5"/>
    <n v="7"/>
    <s v="ECOMERCE"/>
    <m/>
    <s v="x"/>
  </r>
  <r>
    <s v="2024"/>
    <s v="CANALES DIGITALES"/>
    <s v="API Inyección v3"/>
    <s v="KFC Fulfillment  Aceptar pago de propinas para el motorizado desde la app"/>
    <s v="MXP LEGACY_x000a_TRADE"/>
    <s v="Recepción de propinas en v3 y Maxpoint "/>
    <s v="BAJA"/>
    <s v="REGIONAL"/>
    <s v="Proyectos TD 2024"/>
    <x v="0"/>
    <s v="Venezuela"/>
    <x v="3"/>
    <x v="1"/>
    <x v="1"/>
    <s v="No iniciado"/>
    <s v="Q3"/>
    <s v="Q3"/>
    <s v="p51"/>
    <s v="MEDIA"/>
    <m/>
    <n v="1"/>
    <n v="1"/>
    <n v="550"/>
    <m/>
    <n v="670"/>
    <m/>
    <m/>
    <m/>
    <d v="2024-09-02T00:00:00"/>
    <d v="2024-09-16T00:00:00"/>
    <n v="14"/>
    <d v="2024-09-16T00:00:00"/>
    <d v="2024-09-23T00:00:00"/>
    <n v="364415"/>
    <d v="2024-09-23T00:00:00"/>
    <d v="2024-09-30T00:00:00"/>
    <d v="2024-09-01T00:00:00"/>
    <d v="2024-09-08T00:00:00"/>
    <n v="0.25"/>
    <n v="7"/>
    <s v="ECOMERCE"/>
    <m/>
    <s v="x"/>
  </r>
  <r>
    <s v="2024"/>
    <s v="CANALES DIGITALES"/>
    <s v="API Inyección v3"/>
    <s v="KFC Fulfillment  Aceptar pago de propinas para el motorizado desde la app"/>
    <s v="MXP LEGACY_x000a_TRADE"/>
    <s v="Recepción de propinas en v3 y Maxpoint "/>
    <s v="BAJA"/>
    <s v="REGIONAL"/>
    <s v="Proyectos TD 2024"/>
    <x v="0"/>
    <s v="Argentina"/>
    <x v="3"/>
    <x v="1"/>
    <x v="1"/>
    <s v="No iniciado"/>
    <s v="Q3"/>
    <s v="Q3"/>
    <s v="p51"/>
    <s v="MEDIA"/>
    <m/>
    <n v="1"/>
    <n v="1"/>
    <n v="550"/>
    <m/>
    <n v="670"/>
    <m/>
    <m/>
    <m/>
    <d v="2024-09-02T00:00:00"/>
    <d v="2024-09-16T00:00:00"/>
    <n v="14"/>
    <d v="2024-09-16T00:00:00"/>
    <d v="2024-09-23T00:00:00"/>
    <n v="364415"/>
    <d v="2024-09-23T00:00:00"/>
    <d v="2024-09-30T00:00:00"/>
    <d v="2024-09-01T00:00:00"/>
    <d v="2024-09-08T00:00:00"/>
    <n v="0.25"/>
    <n v="7"/>
    <s v="ECOMERCE"/>
    <m/>
    <s v="x"/>
  </r>
  <r>
    <s v="2024"/>
    <s v="CANALES DIGITALES"/>
    <s v="Appedir"/>
    <s v="KFC Fulfillment  Appedir flash - de acuerdo a zona de pedido del cliente se active las tiendas mas cercanas y que el envío sea en menos de xxxx minutos "/>
    <s v="MXP LEGACY_x000a_TRADE"/>
    <s v="La App debe detectar el lugar en donde se encuentra el cliente y ofrecer el pedido en menos de 20 minutos."/>
    <s v="BAJA"/>
    <s v="LOCAL"/>
    <s v="Proyectos TD 2024"/>
    <x v="0"/>
    <s v="Ecuador"/>
    <x v="3"/>
    <x v="1"/>
    <x v="1"/>
    <s v="No iniciado"/>
    <s v="Q3"/>
    <s v="Q4"/>
    <s v="p53"/>
    <s v="BAJA"/>
    <m/>
    <n v="3"/>
    <n v="1"/>
    <n v="550"/>
    <m/>
    <n v="2290"/>
    <m/>
    <m/>
    <m/>
    <d v="2024-10-07T00:00:00"/>
    <d v="2024-10-07T00:00:00"/>
    <n v="0"/>
    <d v="2024-10-07T00:00:00"/>
    <d v="2024-10-14T00:00:00"/>
    <n v="364583"/>
    <d v="2024-10-21T00:00:00"/>
    <d v="2024-10-28T00:00:00"/>
    <d v="2024-10-01T00:00:00"/>
    <d v="2024-10-22T00:00:00"/>
    <n v="0.75"/>
    <n v="7"/>
    <s v="ECOMERCE"/>
    <m/>
    <s v="x"/>
  </r>
  <r>
    <s v="2024"/>
    <s v="CANALES DIGITALES"/>
    <s v="Appedir"/>
    <s v="KFC Fulfillment  Propinas  Appedir "/>
    <s v="MXP LEGACY_x000a_TRADE"/>
    <s v="La app acepte propinas para motorizados, evaluar si es posible realizar esto con Pediods Ya"/>
    <s v="BAJA"/>
    <s v="LOCAL"/>
    <s v="Proyectos TD 2024"/>
    <x v="0"/>
    <s v="Ecuador"/>
    <x v="3"/>
    <x v="1"/>
    <x v="1"/>
    <s v="No iniciado"/>
    <s v="Q3"/>
    <s v="Q4"/>
    <s v="p54"/>
    <s v="MEDIA"/>
    <m/>
    <n v="8"/>
    <n v="1"/>
    <n v="550"/>
    <m/>
    <n v="5040"/>
    <m/>
    <m/>
    <m/>
    <d v="2024-11-04T00:00:00"/>
    <d v="2024-11-25T00:00:00"/>
    <n v="21"/>
    <d v="2024-11-25T00:00:00"/>
    <d v="2024-12-02T00:00:00"/>
    <n v="364975"/>
    <d v="2024-12-02T00:00:00"/>
    <d v="2024-12-09T00:00:00"/>
    <d v="2024-11-01T00:00:00"/>
    <d v="2024-12-27T00:00:00"/>
    <n v="2"/>
    <n v="7"/>
    <s v="ECOMERCE"/>
    <m/>
    <s v="x"/>
  </r>
  <r>
    <s v="2024"/>
    <s v="CANALES DIGITALES"/>
    <s v="Delivery time"/>
    <s v="KFC Fulfillment Campo Delivery time "/>
    <s v="MXP LEGACY_x000a_MXP 2.0_x000a_TRADE"/>
    <s v="Implementacion del Campo delivery time en la sincro de v3 para que se pueda enviar el tiempo de entrega"/>
    <s v="BAJA"/>
    <s v="LOCAL"/>
    <s v="Proyectos TD 2024"/>
    <x v="0"/>
    <s v="Ecuador"/>
    <x v="3"/>
    <x v="1"/>
    <x v="1"/>
    <s v="No iniciado"/>
    <s v="Q1"/>
    <s v="Q3"/>
    <s v="p21"/>
    <s v="BAJA"/>
    <n v="1"/>
    <n v="5"/>
    <n v="1"/>
    <n v="550"/>
    <m/>
    <n v="3390"/>
    <m/>
    <m/>
    <m/>
    <d v="2024-08-12T00:00:00"/>
    <d v="2024-09-02T00:00:00"/>
    <n v="21"/>
    <d v="2024-09-02T00:00:00"/>
    <d v="2024-09-09T00:00:00"/>
    <n v="364303"/>
    <d v="2024-09-09T00:00:00"/>
    <d v="2024-09-16T00:00:00"/>
    <d v="2024-08-01T00:00:00"/>
    <d v="2024-09-05T00:00:00"/>
    <n v="1.2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Venezuela"/>
    <x v="3"/>
    <x v="1"/>
    <x v="1"/>
    <s v="No iniciado"/>
    <s v="Q1"/>
    <s v="Q3"/>
    <s v="p21"/>
    <s v="BAJA"/>
    <n v="1"/>
    <n v="3"/>
    <n v="1"/>
    <n v="550"/>
    <m/>
    <n v="2290"/>
    <m/>
    <m/>
    <m/>
    <d v="2024-09-09T00:00:00"/>
    <d v="2024-09-16T00:00:00"/>
    <n v="7"/>
    <d v="2024-09-16T00:00:00"/>
    <d v="2024-09-23T00:00:00"/>
    <n v="364415"/>
    <d v="2024-09-23T00:00:00"/>
    <d v="2024-09-30T00:00:00"/>
    <d v="2024-09-01T00:00:00"/>
    <d v="2024-09-22T00:00:00"/>
    <n v="0.7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Argentina"/>
    <x v="3"/>
    <x v="1"/>
    <x v="1"/>
    <s v="No iniciado"/>
    <s v="Q1"/>
    <s v="Q3"/>
    <s v="p21"/>
    <s v="BAJA"/>
    <n v="1"/>
    <n v="3"/>
    <n v="1"/>
    <n v="550"/>
    <m/>
    <n v="2290"/>
    <m/>
    <m/>
    <m/>
    <d v="2024-09-09T00:00:00"/>
    <d v="2024-09-16T00:00:00"/>
    <n v="7"/>
    <d v="2024-09-16T00:00:00"/>
    <d v="2024-09-23T00:00:00"/>
    <n v="364415"/>
    <d v="2024-09-23T00:00:00"/>
    <d v="2024-09-30T00:00:00"/>
    <d v="2024-10-01T00:00:00"/>
    <d v="2024-10-22T00:00:00"/>
    <n v="0.7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Colombia"/>
    <x v="3"/>
    <x v="1"/>
    <x v="1"/>
    <s v="No iniciado"/>
    <s v="Q1"/>
    <s v="Q3"/>
    <s v="p21"/>
    <s v="BAJA"/>
    <n v="1"/>
    <n v="3"/>
    <n v="1"/>
    <n v="550"/>
    <m/>
    <n v="2290"/>
    <m/>
    <m/>
    <m/>
    <d v="2024-09-09T00:00:00"/>
    <d v="2024-09-16T00:00:00"/>
    <n v="7"/>
    <d v="2024-09-16T00:00:00"/>
    <d v="2024-09-23T00:00:00"/>
    <n v="364415"/>
    <d v="2024-09-23T00:00:00"/>
    <d v="2024-09-30T00:00:00"/>
    <d v="2024-08-01T00:00:00"/>
    <d v="2024-08-22T00:00:00"/>
    <n v="0.75"/>
    <n v="7"/>
    <s v="PROYECTO REGIONAL"/>
    <m/>
    <s v="x"/>
  </r>
  <r>
    <s v="2024"/>
    <s v="CANALES DIGITALES"/>
    <s v="Delivery time"/>
    <s v="KFC Fulfillment Campo Delivery time "/>
    <s v="MXP LEGACY_x000a_MXP 2.0_x000a_TRADE"/>
    <s v="Implementacion del Campo delivery time en la sincro de v3 para que se pueda enviar el tiempo de entrega"/>
    <s v="BAJA"/>
    <s v="REGIONAL"/>
    <s v="Proyectos TD 2024"/>
    <x v="0"/>
    <s v="Chile"/>
    <x v="3"/>
    <x v="1"/>
    <x v="1"/>
    <s v="No iniciado"/>
    <s v="Q1"/>
    <s v="Q3"/>
    <s v="p21"/>
    <s v="BAJA"/>
    <n v="1"/>
    <n v="5"/>
    <n v="1"/>
    <n v="550"/>
    <m/>
    <n v="3390"/>
    <m/>
    <m/>
    <m/>
    <d v="2024-09-09T00:00:00"/>
    <d v="2024-09-16T00:00:00"/>
    <n v="7"/>
    <d v="2024-09-16T00:00:00"/>
    <d v="2024-09-23T00:00:00"/>
    <n v="364415"/>
    <d v="2024-09-23T00:00:00"/>
    <d v="2024-10-14T00:00:00"/>
    <d v="2024-09-01T00:00:00"/>
    <d v="2024-10-06T00:00:00"/>
    <n v="1.25"/>
    <n v="21"/>
    <s v="PROYECTO REGIONAL"/>
    <m/>
    <s v="x"/>
  </r>
  <r>
    <s v="2024"/>
    <s v="CANALES DIGITALES"/>
    <s v="Pickup"/>
    <s v="KFC Fulfillment Incluir Pickup Curbside (pedir desde el auto en un lote de estacionamiento)"/>
    <s v="MXP LEGACY_x000a_MXP 2.0_x000a_TRADE"/>
    <s v="Recepción de lote de estacionamiento"/>
    <s v="BAJA"/>
    <s v="LOCAL"/>
    <s v="Proyectos TD 2024"/>
    <x v="0"/>
    <s v="Ecuador"/>
    <x v="3"/>
    <x v="1"/>
    <x v="1"/>
    <s v="No iniciado"/>
    <s v="Q3"/>
    <s v="Q3"/>
    <s v="p50"/>
    <s v="ALTA"/>
    <m/>
    <n v="8"/>
    <n v="2"/>
    <n v="550"/>
    <m/>
    <n v="9440"/>
    <m/>
    <m/>
    <m/>
    <d v="2024-08-04T00:00:00"/>
    <d v="2024-09-08T00:00:00"/>
    <n v="35"/>
    <d v="2024-09-08T00:00:00"/>
    <d v="2024-09-15T00:00:00"/>
    <n v="364351"/>
    <d v="2024-09-15T00:00:00"/>
    <d v="2024-09-29T00:00:00"/>
    <d v="2024-08-01T00:00:00"/>
    <d v="2024-09-26T00:00:00"/>
    <n v="2"/>
    <n v="14"/>
    <s v="ECOMERCE"/>
    <m/>
    <s v="x"/>
  </r>
  <r>
    <s v="2024"/>
    <s v="CANALES DIGITALES"/>
    <s v="Pickup"/>
    <s v="KFC Fulfillment Incluir Pickup Tableside (pedir desde la mesa con un número de mesa)"/>
    <s v="MXP LEGACY_x000a_MXP 2.0_x000a_TRADE"/>
    <s v="Recepción de número de mesa "/>
    <s v="MEDIA"/>
    <s v="LOCAL"/>
    <s v="Proyectos TD 2024"/>
    <x v="0"/>
    <s v="Ecuador"/>
    <x v="3"/>
    <x v="1"/>
    <x v="1"/>
    <s v="No iniciado"/>
    <s v="Q3"/>
    <s v="Q3"/>
    <s v="p67"/>
    <s v="ALTA"/>
    <m/>
    <n v="7"/>
    <n v="2"/>
    <n v="550"/>
    <m/>
    <n v="8340"/>
    <m/>
    <m/>
    <m/>
    <d v="2024-08-12T00:00:00"/>
    <d v="2024-09-09T00:00:00"/>
    <n v="28"/>
    <d v="2024-09-09T00:00:00"/>
    <d v="2024-09-23T00:00:00"/>
    <n v="364366"/>
    <d v="2024-09-23T00:00:00"/>
    <d v="2024-09-30T00:00:00"/>
    <d v="2024-08-01T00:00:00"/>
    <d v="2024-09-19T00:00:00"/>
    <n v="1.75"/>
    <n v="7"/>
    <s v="ECOMERCE"/>
    <m/>
    <s v="x"/>
  </r>
  <r>
    <s v="2024"/>
    <s v="CANALES DIGITALES"/>
    <s v="APP"/>
    <s v="KFC Fulfillment KFC Flash* pendiente definición con ops"/>
    <s v="MXP LEGACY_x000a_TRADE"/>
    <s v="Implementar la opción de que por un cargo Extra, el pedido pueda llegar en 20 minutos  / Recibir el campo de costo de envio adicional"/>
    <s v="ALTA"/>
    <s v="LOCAL"/>
    <s v="Proyectos TD 2024"/>
    <x v="0"/>
    <s v="Ecuador"/>
    <x v="3"/>
    <x v="1"/>
    <x v="1"/>
    <s v="No iniciado"/>
    <s v="Q2"/>
    <s v="Q2"/>
    <s v="p34"/>
    <s v="ALTA"/>
    <m/>
    <n v="5"/>
    <n v="1"/>
    <n v="550"/>
    <m/>
    <n v="3390"/>
    <m/>
    <m/>
    <m/>
    <d v="2024-03-18T00:00:00"/>
    <d v="2024-04-08T00:00:00"/>
    <n v="21"/>
    <d v="2024-04-08T00:00:00"/>
    <d v="2024-04-15T00:00:00"/>
    <n v="363127"/>
    <d v="2024-04-15T00:00:00"/>
    <d v="2024-04-22T00:00:00"/>
    <d v="2024-06-01T00:00:00"/>
    <d v="2024-07-06T00:00:00"/>
    <n v="1.25"/>
    <n v="7"/>
    <s v="ECOMERCE"/>
    <m/>
    <m/>
  </r>
  <r>
    <s v="2024"/>
    <s v="CANALES DIGITALES"/>
    <s v="Delivery time"/>
    <s v="KFC Fulfillment Tiempo rango de entrega"/>
    <s v="MXP LEGACY_x000a_MXP 2.0_x000a_TRADE"/>
    <s v="Enviar el rango de entrega de los locales , para que la app pueda indicarle entre que hora le va a llegar el pedido**** dragon tail"/>
    <s v="BAJA"/>
    <s v="LOCAL"/>
    <s v="Proyectos TD 2024"/>
    <x v="0"/>
    <s v="Ecuador"/>
    <x v="3"/>
    <x v="1"/>
    <x v="1"/>
    <s v="No iniciado"/>
    <s v="Q3"/>
    <s v="Q3"/>
    <s v="p47"/>
    <s v="ALTA"/>
    <m/>
    <n v="6"/>
    <n v="1"/>
    <n v="550"/>
    <m/>
    <n v="3940"/>
    <m/>
    <m/>
    <m/>
    <d v="2024-08-19T00:00:00"/>
    <d v="2024-09-02T00:00:00"/>
    <n v="14"/>
    <d v="2024-09-02T00:00:00"/>
    <d v="2024-09-09T00:00:00"/>
    <n v="364303"/>
    <d v="2024-09-09T00:00:00"/>
    <d v="2024-09-16T00:00:00"/>
    <d v="2024-08-01T00:00:00"/>
    <d v="2024-09-12T00:00:00"/>
    <n v="1.5"/>
    <n v="7"/>
    <s v="ECOMERCE"/>
    <m/>
    <m/>
  </r>
  <r>
    <s v="2024"/>
    <s v="CANALES DIGITALES"/>
    <s v="Pickup"/>
    <s v="KFC Fulfillment UI Pickup (ya estoy aquí)"/>
    <s v="MXP LEGACY_x000a_MXP 2.0_x000a_TRADE"/>
    <s v="Receptar el pedido cuando el cliente haya llegado al restaurante "/>
    <s v="MEDIA"/>
    <s v="REGIONAL"/>
    <s v="Proyectos TD 2024"/>
    <x v="0"/>
    <s v="Ecuador"/>
    <x v="3"/>
    <x v="1"/>
    <x v="1"/>
    <s v="No iniciado"/>
    <s v="Q3"/>
    <s v="Q3"/>
    <s v="p66"/>
    <s v="ALTA"/>
    <m/>
    <n v="4"/>
    <n v="2"/>
    <n v="550"/>
    <m/>
    <n v="4528"/>
    <m/>
    <m/>
    <m/>
    <d v="2024-07-29T00:00:00"/>
    <d v="2024-09-02T00:00:00"/>
    <n v="35"/>
    <d v="2024-09-02T00:00:00"/>
    <d v="2024-09-16T00:00:00"/>
    <n v="364310"/>
    <d v="2024-09-16T00:00:00"/>
    <d v="2024-09-23T00:00:00"/>
    <d v="2024-08-01T00:00:00"/>
    <d v="2024-08-29T00:00:00"/>
    <n v="1"/>
    <n v="7"/>
    <s v="ECOMERCE"/>
    <m/>
    <s v="x"/>
  </r>
  <r>
    <s v="2024"/>
    <s v="CANALES DIGITALES"/>
    <s v="Pickup"/>
    <s v="KFC Fulfillment UI Pickup (ya estoy aquí)"/>
    <s v="MXP LEGACY_x000a_MXP 2.0_x000a_TRADE"/>
    <s v="Receptar el pedido cuando el cliente haya llegado al restaurante "/>
    <s v="MEDIA"/>
    <s v="REGIONAL"/>
    <s v="Proyectos TD 2024"/>
    <x v="0"/>
    <s v="Colombia"/>
    <x v="3"/>
    <x v="1"/>
    <x v="1"/>
    <s v="No iniciado"/>
    <s v="Q3"/>
    <s v="Q3"/>
    <s v="p66"/>
    <s v="ALTA"/>
    <m/>
    <n v="2"/>
    <n v="2"/>
    <n v="550"/>
    <m/>
    <n v="2328"/>
    <m/>
    <m/>
    <m/>
    <d v="2024-07-29T00:00:00"/>
    <d v="2024-09-02T00:00:00"/>
    <n v="35"/>
    <d v="2024-09-02T00:00:00"/>
    <d v="2024-09-16T00:00:00"/>
    <n v="364310"/>
    <d v="2024-09-16T00:00:00"/>
    <d v="2024-09-23T00:00:00"/>
    <d v="2024-09-01T00:00:00"/>
    <d v="2024-09-15T00:00:00"/>
    <n v="0.5"/>
    <n v="7"/>
    <s v="ECOMERCE"/>
    <m/>
    <s v="x"/>
  </r>
  <r>
    <s v="2024"/>
    <s v="CANALES DIGITALES"/>
    <s v="Pickup"/>
    <s v="KFC Fulfillment UI Pickup (ya estoy aquí)"/>
    <s v="MXP LEGACY_x000a_MXP 2.0_x000a_TRADE"/>
    <s v="Receptar el pedido cuando el cliente haya llegado al restaurante "/>
    <s v="MEDIA"/>
    <s v="REGIONAL"/>
    <s v="Proyectos TD 2024"/>
    <x v="0"/>
    <s v="Chile"/>
    <x v="3"/>
    <x v="1"/>
    <x v="1"/>
    <s v="No iniciado"/>
    <s v="Q3"/>
    <s v="Q3"/>
    <s v="p66"/>
    <s v="ALTA"/>
    <m/>
    <n v="2"/>
    <n v="2"/>
    <n v="550"/>
    <m/>
    <n v="2200"/>
    <m/>
    <m/>
    <m/>
    <d v="2024-07-29T00:00:00"/>
    <d v="2024-09-02T00:00:00"/>
    <n v="35"/>
    <d v="2024-09-02T00:00:00"/>
    <d v="2024-09-16T00:00:00"/>
    <n v="364310"/>
    <d v="2024-09-16T00:00:00"/>
    <d v="2024-09-23T00:00:00"/>
    <d v="2024-09-01T00:00:00"/>
    <d v="2024-09-15T00:00:00"/>
    <n v="0.5"/>
    <n v="7"/>
    <s v="ECOMERCE"/>
    <m/>
    <s v="x"/>
  </r>
  <r>
    <s v="2024"/>
    <s v="CANALES DIGITALES"/>
    <s v="Pickup"/>
    <s v="KFC Fulfillment UI Pickup (ya estoy aquí)"/>
    <s v="MXP LEGACY_x000a_MXP 2.0_x000a_TRADE"/>
    <s v="Receptar el pedido cuando el cliente haya llegado al restaurante "/>
    <s v="MEDIA"/>
    <s v="REGIONAL"/>
    <s v="Proyectos TD 2024"/>
    <x v="0"/>
    <s v="Venezuela"/>
    <x v="3"/>
    <x v="1"/>
    <x v="1"/>
    <s v="No iniciado"/>
    <s v="Q3"/>
    <s v="Q3"/>
    <s v="p66"/>
    <s v="ALTA"/>
    <m/>
    <n v="1"/>
    <n v="2"/>
    <n v="550"/>
    <m/>
    <n v="1260"/>
    <m/>
    <m/>
    <m/>
    <d v="2024-07-29T00:00:00"/>
    <d v="2024-09-02T00:00:00"/>
    <n v="35"/>
    <d v="2024-09-02T00:00:00"/>
    <d v="2024-09-16T00:00:00"/>
    <n v="364310"/>
    <d v="2024-09-16T00:00:00"/>
    <d v="2024-09-23T00:00:00"/>
    <d v="2024-09-01T00:00:00"/>
    <d v="2024-09-08T00:00:00"/>
    <n v="0.25"/>
    <n v="7"/>
    <s v="ECOMERCE"/>
    <m/>
    <s v="x"/>
  </r>
  <r>
    <s v="2024"/>
    <s v="CANALES DIGITALES"/>
    <s v="Pickup"/>
    <s v="KFC Fulfillment UI Pickup (ya estoy aquí)"/>
    <s v="MXP LEGACY_x000a_MXP 2.0_x000a_TRADE"/>
    <s v="Receptar el pedido cuando el cliente haya llegado al restaurante "/>
    <s v="MEDIA"/>
    <s v="REGIONAL"/>
    <s v="Proyectos TD 2024"/>
    <x v="0"/>
    <s v="Argentina"/>
    <x v="3"/>
    <x v="1"/>
    <x v="1"/>
    <s v="No iniciado"/>
    <s v="Q3"/>
    <s v="Q3"/>
    <s v="p66"/>
    <s v="ALTA"/>
    <m/>
    <n v="1"/>
    <n v="2"/>
    <n v="550"/>
    <m/>
    <n v="1260"/>
    <m/>
    <m/>
    <m/>
    <d v="2024-07-29T00:00:00"/>
    <d v="2024-09-02T00:00:00"/>
    <n v="35"/>
    <d v="2024-09-02T00:00:00"/>
    <d v="2024-09-16T00:00:00"/>
    <n v="364310"/>
    <d v="2024-09-16T00:00:00"/>
    <d v="2024-09-23T00:00:00"/>
    <d v="2024-09-01T00:00:00"/>
    <d v="2024-09-08T00:00:00"/>
    <n v="0.25"/>
    <n v="7"/>
    <s v="ECOMERCE"/>
    <m/>
    <s v="x"/>
  </r>
  <r>
    <s v="2024"/>
    <s v="CANALES DIGITALES"/>
    <s v="Kioscos"/>
    <s v="Kiosco V3 (Nueva Api Tiendas)"/>
    <s v="MXP LEGACY_x000a_TRADE"/>
    <s v="Migracion del canal de kioscos a V3 para poder contar las funcionalidades de cupones, descuentos y propinas"/>
    <s v="ALTA"/>
    <s v="REGIONAL"/>
    <s v="Proyectos TD 2024"/>
    <x v="0"/>
    <s v="Chile"/>
    <x v="3"/>
    <x v="1"/>
    <x v="1"/>
    <s v="No iniciado"/>
    <e v="#N/A"/>
    <s v="Q2"/>
    <s v="p20"/>
    <s v="ALTA"/>
    <n v="1"/>
    <n v="6"/>
    <n v="1"/>
    <n v="550"/>
    <m/>
    <n v="3940"/>
    <m/>
    <m/>
    <m/>
    <d v="2024-03-11T00:00:00"/>
    <d v="2024-05-06T00:00:00"/>
    <n v="56"/>
    <d v="2024-05-06T00:00:00"/>
    <d v="2024-05-20T00:00:00"/>
    <n v="363358"/>
    <d v="2024-05-20T00:00:00"/>
    <d v="2024-06-10T00:00:00"/>
    <d v="2024-05-01T00:00:00"/>
    <d v="2024-06-12T00:00:00"/>
    <n v="1.5"/>
    <n v="21"/>
    <s v="PROYECTO REGIONAL"/>
    <m/>
    <s v="x"/>
  </r>
  <r>
    <s v="2024"/>
    <s v="CANALES DIGITALES"/>
    <s v="Kioscos"/>
    <s v="Kiosco V3 (Nueva Api Tiendas)"/>
    <s v="MXP LEGACY_x000a_TRADE"/>
    <s v="Migracion del canal de kioscos a V3 para poder contar las funcionalidades de cupones, descuentos y propinas"/>
    <s v="ALTA"/>
    <s v="REGIONAL"/>
    <s v="Proyectos TD 2024"/>
    <x v="0"/>
    <s v="Colombia"/>
    <x v="3"/>
    <x v="1"/>
    <x v="1"/>
    <s v="No iniciado"/>
    <e v="#N/A"/>
    <s v="Q2"/>
    <s v="p20"/>
    <s v="ALTA"/>
    <n v="1"/>
    <n v="4"/>
    <n v="1"/>
    <n v="550"/>
    <m/>
    <n v="2840"/>
    <m/>
    <m/>
    <m/>
    <d v="2024-04-29T00:00:00"/>
    <d v="2024-05-13T00:00:00"/>
    <n v="14"/>
    <d v="2024-05-13T00:00:00"/>
    <d v="2024-05-20T00:00:00"/>
    <n v="363407"/>
    <d v="2024-05-20T00:00:00"/>
    <d v="2024-05-27T00:00:00"/>
    <d v="2024-05-01T00:00:00"/>
    <d v="2024-05-29T00:00:00"/>
    <n v="1"/>
    <n v="7"/>
    <s v="PROYECTO REGIONAL"/>
    <m/>
    <s v="x"/>
  </r>
  <r>
    <s v="2024"/>
    <s v="CANALES DIGITALES"/>
    <s v="Kioscos"/>
    <s v="Kiosco V3 (Nueva Api Tiendas)"/>
    <s v="MXP LEGACY_x000a_TRADE"/>
    <s v="Migracion del canal de kioscos a V3 para poder contar las funcionalidades de cupones, descuentos y propinas"/>
    <s v="ALTA"/>
    <s v="REGIONAL"/>
    <s v="Proyectos TD 2024"/>
    <x v="0"/>
    <s v="Venezuela"/>
    <x v="3"/>
    <x v="1"/>
    <x v="1"/>
    <s v="No iniciado"/>
    <e v="#N/A"/>
    <s v="Q2"/>
    <s v="p20"/>
    <s v="ALTA"/>
    <n v="1"/>
    <n v="4"/>
    <n v="1"/>
    <n v="550"/>
    <m/>
    <n v="2840"/>
    <m/>
    <m/>
    <m/>
    <d v="2024-04-29T00:00:00"/>
    <d v="2024-05-13T00:00:00"/>
    <n v="14"/>
    <d v="2024-05-13T00:00:00"/>
    <d v="2024-05-20T00:00:00"/>
    <n v="363407"/>
    <d v="2024-05-20T00:00:00"/>
    <d v="2024-05-27T00:00:00"/>
    <d v="2024-07-01T00:00:00"/>
    <d v="2024-07-29T00:00:00"/>
    <n v="1"/>
    <n v="7"/>
    <s v="PROYECTO REGIONAL"/>
    <m/>
    <s v="x"/>
  </r>
  <r>
    <s v="2024"/>
    <s v="CANALES DIGITALES"/>
    <s v="Kioscos"/>
    <s v="Kiosco V3 (Nueva Api Tiendas)"/>
    <s v="MXP LEGACY_x000a_TRADE"/>
    <s v="Migracion del canal de kioscos a V3 para poder contar las funcionalidades de cupones, descuentos y propinas"/>
    <s v="ALTA"/>
    <s v="REGIONAL"/>
    <s v="Proyectos TD 2024"/>
    <x v="0"/>
    <s v="Argentina"/>
    <x v="3"/>
    <x v="1"/>
    <x v="1"/>
    <s v="No iniciado"/>
    <e v="#N/A"/>
    <s v="Q2"/>
    <s v="p20"/>
    <s v="ALTA"/>
    <n v="1"/>
    <n v="4"/>
    <n v="1"/>
    <n v="550"/>
    <m/>
    <n v="2840"/>
    <m/>
    <m/>
    <m/>
    <d v="2024-04-29T00:00:00"/>
    <d v="2024-05-13T00:00:00"/>
    <n v="14"/>
    <d v="2024-05-13T00:00:00"/>
    <d v="2024-05-20T00:00:00"/>
    <n v="363407"/>
    <d v="2024-05-20T00:00:00"/>
    <d v="2024-05-27T00:00:00"/>
    <d v="2024-07-01T00:00:00"/>
    <d v="2024-07-29T00:00:00"/>
    <n v="1"/>
    <n v="7"/>
    <s v="PROYECTO REGIONAL"/>
    <m/>
    <s v="x"/>
  </r>
  <r>
    <s v="2024"/>
    <s v="CANALES DIGITALES"/>
    <s v="Kioscos"/>
    <s v="Kioskos - Pagos en Efectivo con cambio automatico"/>
    <s v="MXP LEGACY_x000a_TRADE"/>
    <s v="Complemento de kioskos para poder cobrar en efectivo desde el kiosko"/>
    <s v="BAJA"/>
    <s v="LOCAL"/>
    <s v="Proyectos TD 2024"/>
    <x v="0"/>
    <s v="Ecuador"/>
    <x v="22"/>
    <x v="1"/>
    <x v="1"/>
    <s v="No iniciado"/>
    <s v="Q4"/>
    <s v="Q4"/>
    <s v="p76"/>
    <s v="ALTA"/>
    <m/>
    <n v="10"/>
    <n v="2"/>
    <n v="550"/>
    <m/>
    <n v="11640"/>
    <m/>
    <m/>
    <m/>
    <d v="2024-10-07T00:00:00"/>
    <d v="2024-11-11T00:00:00"/>
    <n v="35"/>
    <d v="2024-11-11T00:00:00"/>
    <d v="2024-11-25T00:00:00"/>
    <n v="364870"/>
    <d v="2024-11-25T00:00:00"/>
    <d v="2024-12-02T00:00:00"/>
    <d v="2024-10-01T00:00:00"/>
    <d v="2024-12-10T00:00:00"/>
    <n v="2.5"/>
    <n v="7"/>
    <m/>
    <m/>
    <s v="x"/>
  </r>
  <r>
    <s v="2024"/>
    <s v="MXP LEGACY"/>
    <m/>
    <s v="LOPDP - Automatización del proceso de revocatoria de uso de datos personales"/>
    <s v="MXP 2.0"/>
    <m/>
    <m/>
    <s v="LOCAL"/>
    <s v="LOPDP"/>
    <x v="0"/>
    <s v="Ecuador"/>
    <x v="23"/>
    <x v="11"/>
    <x v="0"/>
    <s v="Iniciado "/>
    <m/>
    <s v="Q2"/>
    <m/>
    <s v="BAJA"/>
    <m/>
    <n v="6"/>
    <n v="1"/>
    <n v="550"/>
    <m/>
    <n v="3860"/>
    <m/>
    <m/>
    <n v="1"/>
    <d v="2024-04-01T00:00:00"/>
    <d v="2024-05-20T00:00:00"/>
    <e v="#REF!"/>
    <d v="2024-05-21T00:00:00"/>
    <d v="2024-06-04T00:00:00"/>
    <d v="2895-03-01T00:00:00"/>
    <d v="2024-06-05T00:00:00"/>
    <d v="2024-06-19T00:00:00"/>
    <d v="2024-04-01T00:00:00"/>
    <d v="2024-06-19T00:00:00"/>
    <n v="1.5"/>
    <n v="14"/>
    <m/>
    <m/>
    <m/>
  </r>
  <r>
    <s v="2024"/>
    <s v="ERP"/>
    <m/>
    <s v="Mejoras B2B: Visualizar Fecha de Vencimiento - Adjuntar Certificado Bancario"/>
    <m/>
    <s v="-visibilizar la columna fecha de vencimiento en el B2B_x000a_-adjunto de certificado bancario obligatorio"/>
    <m/>
    <s v="LOCAL"/>
    <s v="Mejoras B2B - Finanzas"/>
    <x v="0"/>
    <s v="Ecuador"/>
    <x v="10"/>
    <x v="7"/>
    <x v="1"/>
    <s v="En curso"/>
    <s v="Q2"/>
    <s v="Q1"/>
    <m/>
    <s v="BAJA"/>
    <n v="1"/>
    <n v="1"/>
    <n v="2"/>
    <n v="550"/>
    <m/>
    <n v="1100"/>
    <m/>
    <m/>
    <m/>
    <d v="2024-02-07T00:00:00"/>
    <d v="2024-02-14T00:00:00"/>
    <n v="7"/>
    <d v="2024-02-14T00:00:00"/>
    <d v="2024-02-14T00:00:00"/>
    <n v="0"/>
    <d v="2024-02-14T00:00:00"/>
    <d v="2024-02-21T00:00:00"/>
    <d v="2024-02-07T00:00:00"/>
    <d v="2024-02-21T00:00:00"/>
    <n v="0.25"/>
    <n v="7"/>
    <m/>
    <m/>
    <m/>
  </r>
  <r>
    <s v="2024"/>
    <s v="CANALES DIGITALES"/>
    <s v="Kioscos"/>
    <s v="Metodo de pago  - Kiosko Integración DEUNA B.P"/>
    <s v="MXP LEGACY_x000a_TRADE"/>
    <s v="Integrar el API Formas de Pago Deuna"/>
    <s v="BAJA"/>
    <s v="LOCAL"/>
    <s v="Proyectos TD 2024"/>
    <x v="0"/>
    <s v="Ecuador"/>
    <x v="3"/>
    <x v="1"/>
    <x v="1"/>
    <s v="No iniciado"/>
    <m/>
    <s v="Q4"/>
    <m/>
    <s v="BAJA"/>
    <m/>
    <n v="3"/>
    <n v="1"/>
    <n v="550"/>
    <m/>
    <n v="2290"/>
    <m/>
    <m/>
    <m/>
    <d v="2024-11-04T00:00:00"/>
    <d v="2024-11-11T00:00:00"/>
    <n v="7"/>
    <d v="2024-11-11T00:00:00"/>
    <d v="2024-11-18T00:00:00"/>
    <n v="364863"/>
    <d v="2024-11-18T00:00:00"/>
    <d v="2024-11-25T00:00:00"/>
    <d v="2024-11-01T00:00:00"/>
    <d v="2024-11-22T00:00:00"/>
    <n v="0.75"/>
    <n v="7"/>
    <m/>
    <m/>
    <s v="x"/>
  </r>
  <r>
    <s v="2024"/>
    <s v="CANALES DIGITALES"/>
    <s v="APP"/>
    <s v="Metodo de pago APP"/>
    <s v="MXP LEGACY_x000a_TRADE"/>
    <s v="Habilitar a Maxpoint para que ingrese el pago desde la aplicación con un QR (counter y Kiosco) Chile"/>
    <s v="BAJA"/>
    <s v="REGIONAL"/>
    <s v="Proyectos TD 2024"/>
    <x v="0"/>
    <s v="Chile"/>
    <x v="24"/>
    <x v="1"/>
    <x v="1"/>
    <s v="No iniciado"/>
    <s v="Q4"/>
    <s v="Q4"/>
    <s v="p72"/>
    <s v="ALTA"/>
    <m/>
    <n v="9"/>
    <n v="1"/>
    <n v="550"/>
    <m/>
    <n v="5590"/>
    <m/>
    <m/>
    <m/>
    <d v="2024-11-04T00:00:00"/>
    <d v="2024-12-09T00:00:00"/>
    <n v="35"/>
    <d v="2024-12-09T00:00:00"/>
    <d v="2024-12-23T00:00:00"/>
    <n v="365094"/>
    <d v="2024-12-23T00:00:00"/>
    <d v="2025-01-06T00:00:00"/>
    <d v="2024-11-01T00:00:00"/>
    <d v="2025-01-03T00:00:00"/>
    <n v="2.25"/>
    <n v="14"/>
    <s v="ECOMERCE"/>
    <m/>
    <s v="x"/>
  </r>
  <r>
    <n v="2024"/>
    <s v="ERP"/>
    <m/>
    <s v="Migración Plataforma B2b a Genexus"/>
    <m/>
    <s v="Migrar plataforma B2B a Genexus"/>
    <m/>
    <s v="LOCAL"/>
    <s v="Mejoras B2B - Finanzas"/>
    <x v="0"/>
    <s v="Ecuador"/>
    <x v="9"/>
    <x v="14"/>
    <x v="1"/>
    <s v="No iniciado"/>
    <s v="Q3"/>
    <s v="Q3"/>
    <m/>
    <s v="MEDIA"/>
    <n v="0.8"/>
    <n v="4"/>
    <n v="1"/>
    <n v="1600"/>
    <m/>
    <n v="7340"/>
    <m/>
    <m/>
    <m/>
    <m/>
    <m/>
    <n v="0"/>
    <m/>
    <m/>
    <d v="1899-12-30T00:00:00"/>
    <m/>
    <m/>
    <d v="1899-12-30T00:00:00"/>
    <d v="1899-12-30T00:00:00"/>
    <n v="1"/>
    <n v="0"/>
    <m/>
    <m/>
    <m/>
  </r>
  <r>
    <s v="2024"/>
    <s v="SIR"/>
    <m/>
    <s v="Modificación Reporte: Administración de facturas"/>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s v="LOCAL"/>
    <s v="Mejoras Contabilidad"/>
    <x v="0"/>
    <s v="Ecuador"/>
    <x v="25"/>
    <x v="4"/>
    <x v="0"/>
    <s v="No iniciado"/>
    <s v="MEDIA"/>
    <s v="Q2"/>
    <m/>
    <s v="BAJA"/>
    <m/>
    <n v="2"/>
    <n v="2"/>
    <n v="400"/>
    <m/>
    <n v="2240"/>
    <m/>
    <m/>
    <n v="3"/>
    <d v="2024-05-27T00:00:00"/>
    <m/>
    <e v="#REF!"/>
    <m/>
    <m/>
    <d v="1899-12-30T00:00:00"/>
    <d v="2024-06-25T00:00:00"/>
    <m/>
    <d v="2024-05-27T00:00:00"/>
    <d v="1899-12-30T00:00:00"/>
    <n v="0.5"/>
    <n v="-45468"/>
    <m/>
    <m/>
    <m/>
  </r>
  <r>
    <s v="2024"/>
    <s v="SIR"/>
    <m/>
    <s v="Modificación Reporte: Crédito sin Cupon SIR"/>
    <m/>
    <s v="En el SIR - MODULO CREDITO SIN CUPON, incluir una opción de selección varios clientes"/>
    <m/>
    <s v="LOCAL"/>
    <s v="Mejoras Auditoría"/>
    <x v="0"/>
    <s v="Ecuador"/>
    <x v="0"/>
    <x v="0"/>
    <x v="0"/>
    <s v="Iniciado "/>
    <n v="2"/>
    <s v="Q2"/>
    <m/>
    <s v="MEDIA"/>
    <m/>
    <n v="2"/>
    <n v="1"/>
    <n v="400"/>
    <m/>
    <n v="1440"/>
    <m/>
    <m/>
    <n v="1"/>
    <d v="2024-04-01T00:00:00"/>
    <d v="2024-05-10T00:00:00"/>
    <e v="#REF!"/>
    <d v="2024-05-14T00:00:00"/>
    <d v="2024-05-21T00:00:00"/>
    <d v="2894-12-28T00:00:00"/>
    <d v="2024-05-15T00:00:00"/>
    <m/>
    <d v="2024-04-01T00:00:00"/>
    <d v="1899-12-30T00:00:00"/>
    <n v="0.5"/>
    <n v="-45427"/>
    <m/>
    <m/>
    <m/>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LOCAL"/>
    <s v="Proyectos TD 2024"/>
    <x v="0"/>
    <s v="Ecuador"/>
    <x v="3"/>
    <x v="1"/>
    <x v="1"/>
    <s v="No iniciado"/>
    <s v="Q3"/>
    <s v="Q3"/>
    <s v="p60"/>
    <s v="MEDIA"/>
    <n v="1"/>
    <n v="4"/>
    <n v="1"/>
    <n v="550"/>
    <m/>
    <n v="2840"/>
    <m/>
    <m/>
    <m/>
    <d v="2024-08-20T00:00:00"/>
    <d v="2024-09-03T00:00:00"/>
    <n v="14"/>
    <d v="2024-09-03T00:00:00"/>
    <d v="2024-09-10T00:00:00"/>
    <n v="364311"/>
    <d v="2024-09-10T00:00:00"/>
    <d v="2024-09-17T00:00:00"/>
    <d v="2024-08-01T00:00:00"/>
    <d v="2024-08-29T00:00:00"/>
    <n v="1"/>
    <n v="7"/>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Colombia"/>
    <x v="3"/>
    <x v="1"/>
    <x v="1"/>
    <s v="No iniciado"/>
    <s v="Q3"/>
    <s v="Q3"/>
    <s v="p60"/>
    <s v="MEDIA"/>
    <n v="1"/>
    <n v="3"/>
    <n v="1"/>
    <n v="550"/>
    <m/>
    <n v="2290"/>
    <m/>
    <m/>
    <m/>
    <d v="2024-09-10T00:00:00"/>
    <d v="2024-09-17T00:00:00"/>
    <n v="7"/>
    <d v="2024-09-17T00:00:00"/>
    <d v="2024-09-24T00:00:00"/>
    <n v="364423"/>
    <d v="2024-09-24T00:00:00"/>
    <d v="2024-10-01T00:00:00"/>
    <d v="2024-09-01T00:00:00"/>
    <d v="2024-09-22T00:00:00"/>
    <n v="0.75"/>
    <n v="7"/>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Chile"/>
    <x v="3"/>
    <x v="1"/>
    <x v="1"/>
    <s v="No iniciado"/>
    <s v="Q3"/>
    <s v="Q3"/>
    <s v="p60"/>
    <s v="MEDIA"/>
    <n v="1"/>
    <n v="5"/>
    <n v="1"/>
    <n v="550"/>
    <m/>
    <n v="3390"/>
    <m/>
    <m/>
    <m/>
    <d v="2024-09-10T00:00:00"/>
    <d v="2024-09-17T00:00:00"/>
    <n v="7"/>
    <d v="2024-09-17T00:00:00"/>
    <d v="2024-09-24T00:00:00"/>
    <n v="364423"/>
    <d v="2024-09-24T00:00:00"/>
    <d v="2024-10-15T00:00:00"/>
    <d v="2024-09-01T00:00:00"/>
    <d v="2024-10-06T00:00:00"/>
    <n v="1.25"/>
    <n v="21"/>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Venezuela"/>
    <x v="3"/>
    <x v="1"/>
    <x v="1"/>
    <s v="No iniciado"/>
    <s v="Q3"/>
    <s v="Q3"/>
    <s v="p60"/>
    <s v="MEDIA"/>
    <n v="1"/>
    <n v="3"/>
    <n v="1"/>
    <n v="550"/>
    <m/>
    <n v="2290"/>
    <m/>
    <m/>
    <m/>
    <d v="2024-09-10T00:00:00"/>
    <d v="2024-09-17T00:00:00"/>
    <n v="7"/>
    <d v="2024-09-17T00:00:00"/>
    <d v="2024-09-24T00:00:00"/>
    <n v="364423"/>
    <d v="2024-09-24T00:00:00"/>
    <d v="2024-10-01T00:00:00"/>
    <d v="2024-09-01T00:00:00"/>
    <d v="2024-09-22T00:00:00"/>
    <n v="0.75"/>
    <n v="7"/>
    <s v="PROYECTO REGIONAL"/>
    <m/>
    <s v="x"/>
  </r>
  <r>
    <s v="2024"/>
    <s v="CANALES DIGITALES"/>
    <s v="Menú V3"/>
    <s v="Modificadores por Default"/>
    <s v="MXP LEGACY_x000a_MXP 2.0_x000a_TRADE"/>
    <s v="Modificadores Por Default Que los modificadores vengan con una opción ya predeterminada, que mxp pueda enviar los modificadores ya establecidos (APP KFC) "/>
    <s v="BAJA"/>
    <s v="REGIONAL"/>
    <s v="Proyectos TD 2024"/>
    <x v="0"/>
    <s v="Argentina"/>
    <x v="3"/>
    <x v="1"/>
    <x v="1"/>
    <s v="No iniciado"/>
    <s v="Q3"/>
    <s v="Q3"/>
    <s v="p60"/>
    <s v="MEDIA"/>
    <n v="1"/>
    <n v="3"/>
    <n v="1"/>
    <n v="550"/>
    <m/>
    <n v="2290"/>
    <m/>
    <m/>
    <m/>
    <d v="2024-09-10T00:00:00"/>
    <d v="2024-09-17T00:00:00"/>
    <n v="7"/>
    <d v="2024-09-17T00:00:00"/>
    <d v="2024-09-24T00:00:00"/>
    <n v="364423"/>
    <d v="2024-09-24T00:00:00"/>
    <d v="2024-10-01T00:00:00"/>
    <d v="2024-09-01T00:00:00"/>
    <d v="2024-09-22T00:00:00"/>
    <n v="0.75"/>
    <n v="7"/>
    <s v="PROYECTO REGIONAL"/>
    <m/>
    <s v="x"/>
  </r>
  <r>
    <s v="2024"/>
    <s v="SIR"/>
    <m/>
    <s v="Módulo de Auditoría en SIR"/>
    <m/>
    <s v="Desarrollar un modulo de auditoria en el SIR donde se incorpore. Evaluación Auditoria "/>
    <m/>
    <s v="LOCAL"/>
    <s v="Mejoras Auditoría"/>
    <x v="0"/>
    <s v="Ecuador"/>
    <x v="0"/>
    <x v="0"/>
    <x v="0"/>
    <s v="No iniciado"/>
    <n v="3"/>
    <s v="Q3"/>
    <m/>
    <s v="MEDIA"/>
    <m/>
    <n v="4"/>
    <n v="2"/>
    <n v="400"/>
    <m/>
    <n v="3840"/>
    <m/>
    <m/>
    <m/>
    <d v="2024-06-03T00:00:00"/>
    <d v="2024-06-28T00:00:00"/>
    <e v="#REF!"/>
    <d v="2024-07-02T00:00:00"/>
    <d v="2024-07-09T00:00:00"/>
    <d v="2896-01-24T00:00:00"/>
    <m/>
    <m/>
    <d v="2024-06-03T00:00:00"/>
    <d v="1899-12-30T00:00:00"/>
    <n v="1"/>
    <n v="0"/>
    <s v="Sacrificable"/>
    <m/>
    <m/>
  </r>
  <r>
    <s v="2024"/>
    <s v="MXP NUEVO"/>
    <m/>
    <s v="Restructura de manejo de Plu´s y MasterPlu"/>
    <m/>
    <s v="Restructura de manejo de Plu´s y MasterPlu"/>
    <m/>
    <s v="LOCAL"/>
    <s v="Restructura de manejo de Plu´s y MasterPlu"/>
    <x v="0"/>
    <s v="Ecuador"/>
    <x v="26"/>
    <x v="10"/>
    <x v="0"/>
    <s v="No iniciado"/>
    <m/>
    <s v="Q1"/>
    <s v="Validar con la operación si este requerimiento puede esperar a la nueva versión de maxpoint"/>
    <s v="BAJA"/>
    <n v="1"/>
    <n v="5"/>
    <n v="2"/>
    <n v="550"/>
    <m/>
    <n v="5500"/>
    <m/>
    <m/>
    <m/>
    <m/>
    <m/>
    <d v="1899-12-30T00:00:00"/>
    <m/>
    <m/>
    <d v="1899-12-30T00:00:00"/>
    <m/>
    <m/>
    <d v="1899-12-30T00:00:00"/>
    <d v="1899-12-30T00:00:00"/>
    <n v="1.25"/>
    <n v="0"/>
    <m/>
    <m/>
    <m/>
  </r>
  <r>
    <s v="2024"/>
    <s v="BI"/>
    <m/>
    <s v="Repositorio de Proyectos Centralizado"/>
    <m/>
    <s v="Control de Cupos en Fiona, desarrollo de BOT en SAP para Generación de Asientos y Debitos en Rol para Payroll"/>
    <m/>
    <s v="LOCAL"/>
    <m/>
    <x v="0"/>
    <s v="Ecuador"/>
    <x v="21"/>
    <x v="13"/>
    <x v="0"/>
    <s v="No iniciado"/>
    <m/>
    <m/>
    <m/>
    <s v="MEDIA"/>
    <m/>
    <n v="10"/>
    <n v="1"/>
    <n v="550"/>
    <m/>
    <n v="6140"/>
    <m/>
    <m/>
    <m/>
    <m/>
    <m/>
    <e v="#REF!"/>
    <m/>
    <m/>
    <d v="1899-12-30T00:00:00"/>
    <m/>
    <m/>
    <d v="1899-12-30T00:00:00"/>
    <d v="1899-12-30T00:00:00"/>
    <n v="2.5"/>
    <n v="0"/>
    <m/>
    <m/>
    <m/>
  </r>
  <r>
    <s v="2024"/>
    <s v="CANALES DIGITALES"/>
    <s v="Appedir"/>
    <s v="Nuevas funcionalidades Up / Cross sell Appedir "/>
    <s v="MXP LEGACY_x000a_TRADE"/>
    <s v="Configurar el envío de menú Upsell y crosssell en APPEDIR"/>
    <s v="MEDIA"/>
    <s v="LOCAL"/>
    <s v="Proyectos TD 2024"/>
    <x v="0"/>
    <s v="Ecuador"/>
    <x v="3"/>
    <x v="1"/>
    <x v="1"/>
    <s v="No iniciado"/>
    <s v="Q1"/>
    <s v="Q2"/>
    <m/>
    <s v="MEDIA"/>
    <m/>
    <n v="5"/>
    <n v="1"/>
    <n v="550"/>
    <m/>
    <n v="3390"/>
    <m/>
    <m/>
    <m/>
    <d v="2024-04-15T00:00:00"/>
    <d v="2024-05-06T00:00:00"/>
    <n v="21"/>
    <d v="2024-05-06T00:00:00"/>
    <d v="2024-05-13T00:00:00"/>
    <n v="363351"/>
    <d v="2024-05-13T00:00:00"/>
    <d v="2024-05-20T00:00:00"/>
    <d v="2024-05-01T00:00:00"/>
    <d v="2024-06-05T00:00:00"/>
    <n v="1.25"/>
    <n v="7"/>
    <s v="ECOMERCE"/>
    <m/>
    <s v="x"/>
  </r>
  <r>
    <s v="2024"/>
    <s v="MXP LEGACY"/>
    <m/>
    <s v="Nuevo reporte de retiros, arqueos y desmontajes de usuarios"/>
    <s v="MXP 2.0"/>
    <s v="Generar un reporte en MAX POINT, donde se pueda visulizar los retiros, arqueos y desmotanjes por usuarios. "/>
    <m/>
    <s v="LOCAL"/>
    <s v="Mejoras Maxpoint Auditoría 2024"/>
    <x v="0"/>
    <s v="Ecuador"/>
    <x v="0"/>
    <x v="0"/>
    <x v="0"/>
    <s v="No iniciado"/>
    <n v="1"/>
    <s v="Q2"/>
    <m/>
    <s v="BAJA"/>
    <n v="1"/>
    <n v="3"/>
    <n v="1"/>
    <n v="550"/>
    <m/>
    <n v="2230"/>
    <m/>
    <m/>
    <n v="3"/>
    <d v="2024-05-06T00:00:00"/>
    <d v="2024-05-27T00:00:00"/>
    <d v="1900-01-20T00:00:00"/>
    <d v="2024-05-18T00:00:00"/>
    <d v="2024-06-11T00:00:00"/>
    <d v="2895-02-15T00:00:00"/>
    <d v="2024-06-12T00:00:00"/>
    <d v="2024-06-26T00:00:00"/>
    <d v="2024-05-06T00:00:00"/>
    <d v="2024-06-26T00:00:00"/>
    <n v="0.75"/>
    <n v="14"/>
    <m/>
    <m/>
    <m/>
  </r>
  <r>
    <s v="2024"/>
    <s v="MXP LEGACY"/>
    <m/>
    <s v="Nuevo Reporte de Ventas Baskin y Cinnabon"/>
    <m/>
    <s v="Al reporte de transacciones MAX POINT,  Incluir UN REPORTE DE LA VENTA DE BASKIN Y CINNABON con todas las transacciones"/>
    <m/>
    <s v="LOCAL"/>
    <s v="Mejoras Maxpoint Auditoría 2024"/>
    <x v="0"/>
    <s v="Ecuador"/>
    <x v="0"/>
    <x v="0"/>
    <x v="0"/>
    <s v="No iniciado"/>
    <n v="2"/>
    <s v="Q2"/>
    <m/>
    <s v="BAJA"/>
    <n v="1"/>
    <n v="3"/>
    <n v="1"/>
    <n v="550"/>
    <m/>
    <n v="2230"/>
    <m/>
    <m/>
    <n v="3"/>
    <d v="2024-06-03T00:00:00"/>
    <d v="2024-07-16T00:00:00"/>
    <d v="1900-02-11T00:00:00"/>
    <d v="2024-07-17T00:00:00"/>
    <d v="2024-07-31T00:00:00"/>
    <d v="2896-05-30T00:00:00"/>
    <d v="2024-08-01T00:00:00"/>
    <d v="2024-08-15T00:00:00"/>
    <d v="2024-06-03T00:00:00"/>
    <d v="2024-08-15T00:00:00"/>
    <n v="0.75"/>
    <n v="14"/>
    <m/>
    <m/>
    <m/>
  </r>
  <r>
    <n v="2024"/>
    <s v="ERP"/>
    <m/>
    <s v="Optimizacion Procesos RPA"/>
    <m/>
    <s v="Mejorar, Optimizar los tableros existentes de RPA"/>
    <m/>
    <s v="LOCAL"/>
    <s v="Mantenimiento procesos RPA"/>
    <x v="0"/>
    <s v="Ecuador"/>
    <x v="10"/>
    <x v="7"/>
    <x v="0"/>
    <s v="No iniciado"/>
    <s v="Q3"/>
    <s v="Q3"/>
    <m/>
    <s v="MEDIA"/>
    <n v="1"/>
    <n v="24"/>
    <n v="1"/>
    <n v="150"/>
    <m/>
    <n v="3600"/>
    <m/>
    <m/>
    <m/>
    <d v="2024-04-01T00:00:00"/>
    <d v="2024-10-31T00:00:00"/>
    <n v="213"/>
    <m/>
    <m/>
    <d v="1899-12-30T00:00:00"/>
    <m/>
    <m/>
    <d v="2024-04-01T00:00:00"/>
    <d v="1899-12-30T00:00:00"/>
    <n v="6"/>
    <n v="0"/>
    <m/>
    <m/>
    <m/>
  </r>
  <r>
    <s v="2024"/>
    <s v="SIR"/>
    <m/>
    <s v="Órdenes de compra en SIR para proveedores de Inventario (Tesalia, ARCA)"/>
    <s v="Proveedor - Santiago Erazo "/>
    <s v="Creación de ordenes de compra en SIR para proveedores externos, validar integración con proveedor y solicitud de productos por sabores"/>
    <m/>
    <s v="LOCAL"/>
    <s v="Mejoras Contabilidad"/>
    <x v="0"/>
    <s v="Ecuador"/>
    <x v="6"/>
    <x v="4"/>
    <x v="0"/>
    <s v="No iniciado"/>
    <s v="ALTA"/>
    <s v="Q2"/>
    <m/>
    <s v="MEDIA"/>
    <m/>
    <n v="5"/>
    <n v="2"/>
    <n v="450"/>
    <m/>
    <n v="5140"/>
    <m/>
    <m/>
    <n v="3"/>
    <d v="2024-05-27T00:00:00"/>
    <m/>
    <e v="#REF!"/>
    <m/>
    <m/>
    <d v="1899-12-30T00:00:00"/>
    <m/>
    <m/>
    <d v="2024-05-27T00:00:00"/>
    <d v="1899-12-30T00:00:00"/>
    <n v="1.25"/>
    <n v="0"/>
    <m/>
    <m/>
    <m/>
  </r>
  <r>
    <s v="2023"/>
    <s v="ERP"/>
    <m/>
    <s v="Pasar mayor contable de SAP a SIR e incluir respaldos digitales"/>
    <m/>
    <m/>
    <m/>
    <s v="LOCAL"/>
    <s v="Respaldo Digital Mayor Contable"/>
    <x v="0"/>
    <s v="Ecuador"/>
    <x v="6"/>
    <x v="4"/>
    <x v="1"/>
    <s v="En curso"/>
    <s v="Q2"/>
    <s v="Q2"/>
    <m/>
    <s v="ALTA"/>
    <n v="1"/>
    <m/>
    <m/>
    <m/>
    <m/>
    <n v="0"/>
    <m/>
    <m/>
    <m/>
    <m/>
    <m/>
    <n v="0"/>
    <m/>
    <m/>
    <n v="0"/>
    <m/>
    <m/>
    <d v="1899-12-30T00:00:00"/>
    <d v="1899-12-30T00:00:00"/>
    <d v="1899-12-30T00:00:00"/>
    <n v="0"/>
    <m/>
    <m/>
    <m/>
  </r>
  <r>
    <s v="2024"/>
    <s v="SISTEMAS INTERNOS"/>
    <m/>
    <s v="Pedidos Planta: Reclamos Proveedores"/>
    <m/>
    <s v="Generar aplicación para dar seguimiento reclamos a proveedores, conexión con SAP para obtener código de material y código de proveedor"/>
    <m/>
    <s v="LOCAL"/>
    <s v="Calidad Planta"/>
    <x v="0"/>
    <s v="Ecuador"/>
    <x v="27"/>
    <x v="15"/>
    <x v="0"/>
    <s v="No iniciado"/>
    <m/>
    <s v="Q3"/>
    <m/>
    <s v="MEDIA"/>
    <m/>
    <n v="15"/>
    <n v="1"/>
    <n v="550"/>
    <m/>
    <n v="8890"/>
    <m/>
    <m/>
    <m/>
    <d v="2024-07-01T00:00:00"/>
    <d v="2024-09-14T00:00:00"/>
    <e v="#REF!"/>
    <d v="2024-09-14T00:00:00"/>
    <d v="2024-09-21T00:00:00"/>
    <d v="2897-09-07T00:00:00"/>
    <d v="2024-09-21T00:00:00"/>
    <d v="2024-10-01T00:00:00"/>
    <d v="2024-07-01T00:00:00"/>
    <d v="2024-10-01T00:00:00"/>
    <n v="3.75"/>
    <n v="10"/>
    <m/>
    <m/>
    <m/>
  </r>
  <r>
    <s v="2024"/>
    <s v="CANALES DIGITALES"/>
    <s v="APP"/>
    <s v="Pedidos programados"/>
    <s v="MXP LEGACY_x000a_TRADE"/>
    <s v="Receptar pedidos "/>
    <s v="BAJA"/>
    <s v="REGIONAL"/>
    <s v="Proyectos TD 2024"/>
    <x v="0"/>
    <s v="Ecuador"/>
    <x v="3"/>
    <x v="1"/>
    <x v="1"/>
    <s v="No iniciado"/>
    <s v="Q3"/>
    <s v="Q4"/>
    <s v="p48"/>
    <s v="ALTA"/>
    <m/>
    <n v="5"/>
    <n v="2"/>
    <n v="550"/>
    <m/>
    <n v="5660"/>
    <m/>
    <m/>
    <m/>
    <d v="2024-10-21T00:00:00"/>
    <d v="2024-11-25T00:00:00"/>
    <n v="35"/>
    <d v="2024-11-25T00:00:00"/>
    <d v="2024-12-09T00:00:00"/>
    <n v="364982"/>
    <d v="2024-12-09T00:00:00"/>
    <d v="2024-12-16T00:00:00"/>
    <d v="2024-10-01T00:00:00"/>
    <d v="2024-11-05T00:00:00"/>
    <n v="1.25"/>
    <n v="7"/>
    <s v="ECOMERCE"/>
    <m/>
    <m/>
  </r>
  <r>
    <s v="2024"/>
    <s v="CANALES DIGITALES"/>
    <s v="APP"/>
    <s v="Pedidos programados"/>
    <s v="MXP LEGACY_x000a_TRADE"/>
    <s v="Receptar pedidos "/>
    <s v="BAJA"/>
    <s v="REGIONAL"/>
    <s v="Proyectos TD 2024"/>
    <x v="0"/>
    <s v="Colombia"/>
    <x v="3"/>
    <x v="1"/>
    <x v="1"/>
    <s v="No iniciado"/>
    <s v="Q3"/>
    <s v="Q4"/>
    <s v="p48"/>
    <s v="ALTA"/>
    <m/>
    <n v="2"/>
    <n v="2"/>
    <n v="550"/>
    <m/>
    <n v="2320"/>
    <m/>
    <m/>
    <m/>
    <d v="2024-10-21T00:00:00"/>
    <d v="2024-11-25T00:00:00"/>
    <n v="35"/>
    <d v="2024-11-25T00:00:00"/>
    <d v="2024-12-09T00:00:00"/>
    <n v="364982"/>
    <d v="2024-12-09T00:00:00"/>
    <d v="2024-12-16T00:00:00"/>
    <d v="2024-11-05T00:00:00"/>
    <d v="2024-11-19T00:00:00"/>
    <n v="0.5"/>
    <n v="7"/>
    <s v="ECOMERCE"/>
    <m/>
    <m/>
  </r>
  <r>
    <s v="2024"/>
    <s v="CANALES DIGITALES"/>
    <s v="APP"/>
    <s v="Pedidos programados"/>
    <s v="MXP LEGACY_x000a_TRADE"/>
    <s v="Receptar pedidos "/>
    <s v="BAJA"/>
    <s v="REGIONAL"/>
    <s v="Proyectos TD 2024"/>
    <x v="0"/>
    <s v="Chile"/>
    <x v="3"/>
    <x v="1"/>
    <x v="1"/>
    <s v="No iniciado"/>
    <s v="Q3"/>
    <s v="Q4"/>
    <s v="p48"/>
    <s v="ALTA"/>
    <m/>
    <n v="2"/>
    <n v="2"/>
    <n v="550"/>
    <m/>
    <n v="2320"/>
    <m/>
    <m/>
    <m/>
    <d v="2024-10-21T00:00:00"/>
    <d v="2024-11-25T00:00:00"/>
    <n v="35"/>
    <d v="2024-11-25T00:00:00"/>
    <d v="2024-12-09T00:00:00"/>
    <n v="364982"/>
    <d v="2024-12-09T00:00:00"/>
    <d v="2024-12-16T00:00:00"/>
    <d v="2024-11-20T00:00:00"/>
    <d v="2024-12-04T00:00:00"/>
    <n v="0.5"/>
    <n v="7"/>
    <s v="ECOMERCE"/>
    <m/>
    <m/>
  </r>
  <r>
    <s v="2024"/>
    <s v="CANALES DIGITALES"/>
    <s v="APP"/>
    <s v="Pedidos programados"/>
    <s v="MXP LEGACY_x000a_TRADE"/>
    <s v="Receptar pedidos "/>
    <s v="BAJA"/>
    <s v="REGIONAL"/>
    <s v="Proyectos TD 2024"/>
    <x v="0"/>
    <s v="Venezuela"/>
    <x v="3"/>
    <x v="1"/>
    <x v="1"/>
    <s v="No iniciado"/>
    <s v="Q3"/>
    <s v="Q4"/>
    <s v="p48"/>
    <s v="ALTA"/>
    <m/>
    <n v="2"/>
    <n v="2"/>
    <n v="550"/>
    <m/>
    <n v="2320"/>
    <m/>
    <m/>
    <m/>
    <d v="2024-10-21T00:00:00"/>
    <d v="2024-11-25T00:00:00"/>
    <n v="35"/>
    <d v="2024-11-25T00:00:00"/>
    <d v="2024-12-09T00:00:00"/>
    <n v="364982"/>
    <d v="2024-12-09T00:00:00"/>
    <d v="2024-12-16T00:00:00"/>
    <d v="2024-11-20T00:00:00"/>
    <d v="2024-12-04T00:00:00"/>
    <n v="0.5"/>
    <n v="7"/>
    <s v="ECOMERCE"/>
    <m/>
    <m/>
  </r>
  <r>
    <s v="2024"/>
    <s v="CANALES DIGITALES"/>
    <s v="APP"/>
    <s v="Pedidos programados"/>
    <s v="MXP LEGACY_x000a_TRADE"/>
    <s v="Receptar pedidos "/>
    <s v="BAJA"/>
    <s v="REGIONAL"/>
    <s v="Proyectos TD 2024"/>
    <x v="0"/>
    <s v="Argentina"/>
    <x v="3"/>
    <x v="1"/>
    <x v="1"/>
    <s v="No iniciado"/>
    <s v="Q3"/>
    <s v="Q4"/>
    <s v="p48"/>
    <s v="ALTA"/>
    <m/>
    <n v="1"/>
    <n v="2"/>
    <n v="550"/>
    <m/>
    <n v="1220"/>
    <m/>
    <m/>
    <m/>
    <d v="2024-10-21T00:00:00"/>
    <d v="2024-11-25T00:00:00"/>
    <n v="35"/>
    <d v="2024-11-25T00:00:00"/>
    <d v="2024-12-09T00:00:00"/>
    <n v="364982"/>
    <d v="2024-12-09T00:00:00"/>
    <d v="2024-12-16T00:00:00"/>
    <d v="2024-11-30T00:00:00"/>
    <d v="2024-12-07T00:00:00"/>
    <n v="0.25"/>
    <n v="7"/>
    <s v="ECOMERCE"/>
    <m/>
    <m/>
  </r>
  <r>
    <s v="2024"/>
    <s v="SISTEMAS INTERNOS"/>
    <m/>
    <s v="Proceso para Firmas Digitales de Contratos"/>
    <m/>
    <s v="Flujo de firma digital para contratos. (Revisar alcance a nivel corporativo) pendiente levantar a fondo, ya existe una herramienta de firma, requiere una licencia Anual y se ha dejado de pagar, se tiene que gestionar retomar este tema, (MERCADEO OTRAS MARCAS)"/>
    <m/>
    <s v="LOCAL"/>
    <s v="Firma Digitales Contratos"/>
    <x v="0"/>
    <s v="Ecuador"/>
    <x v="2"/>
    <x v="2"/>
    <x v="0"/>
    <s v="No iniciado"/>
    <s v="Q3"/>
    <s v="Q2"/>
    <m/>
    <s v="MEDIA"/>
    <m/>
    <n v="0"/>
    <n v="0"/>
    <n v="0"/>
    <m/>
    <n v="4800"/>
    <m/>
    <m/>
    <m/>
    <d v="2024-08-14T00:00:00"/>
    <d v="2024-09-14T00:00:00"/>
    <e v="#REF!"/>
    <d v="2024-09-14T00:00:00"/>
    <d v="2024-09-21T00:00:00"/>
    <d v="2897-09-07T00:00:00"/>
    <d v="2024-09-21T00:00:00"/>
    <d v="2024-09-28T00:00:00"/>
    <d v="2024-08-14T00:00:00"/>
    <d v="2024-09-28T00:00:00"/>
    <n v="0"/>
    <n v="7"/>
    <s v="Pendiente Conversar con proveedor"/>
    <m/>
    <m/>
  </r>
  <r>
    <s v="2024"/>
    <s v="ERP"/>
    <m/>
    <s v="Productos Importados - Reporte de costo de Negociación y variables de Costeo"/>
    <m/>
    <s v="En lugar del costo de negociación se trabaje con: costo de compra,  variables (transporte internacional, aranceles, aduana, bodega, agente afianzado, transporte interno) y  costo final (suma de costo de compra + variables)"/>
    <m/>
    <s v="LOCAL"/>
    <s v="Control Costos Productos Importados"/>
    <x v="0"/>
    <s v="Ecuador"/>
    <x v="7"/>
    <x v="5"/>
    <x v="0"/>
    <s v="No iniciado"/>
    <s v="Q2"/>
    <s v="Q2"/>
    <m/>
    <s v="ALTA"/>
    <n v="1"/>
    <n v="2"/>
    <n v="1"/>
    <n v="1280"/>
    <m/>
    <n v="2560"/>
    <m/>
    <m/>
    <m/>
    <d v="2024-04-07T00:00:00"/>
    <d v="2024-05-14T00:00:00"/>
    <n v="37"/>
    <d v="2024-05-14T00:00:00"/>
    <d v="2024-05-21T00:00:00"/>
    <n v="7"/>
    <d v="2024-05-21T00:00:00"/>
    <d v="2024-05-28T00:00:00"/>
    <d v="2024-04-07T00:00:00"/>
    <d v="2024-05-28T00:00:00"/>
    <n v="0.5"/>
    <n v="7"/>
    <m/>
    <m/>
    <m/>
  </r>
  <r>
    <s v="2024"/>
    <s v="CANALES DIGITALES"/>
    <s v="Pickup"/>
    <s v="QA  KFC Fulfillment Incluir Pickup para Autorápido, con un diferente menú"/>
    <s v="MXP LEGACY_x000a_MXP 2.0_x000a_TRADE"/>
    <s v="Envío de menú y recepción en la terminal de autorápido "/>
    <s v="BAJA"/>
    <s v="LOCAL"/>
    <s v="Proyectos TD 2024"/>
    <x v="0"/>
    <s v="Ecuador"/>
    <x v="3"/>
    <x v="1"/>
    <x v="1"/>
    <s v="No iniciado"/>
    <s v="Q3"/>
    <s v="Q3"/>
    <s v="p49"/>
    <s v="MEDIA"/>
    <m/>
    <n v="2"/>
    <n v="1"/>
    <n v="550"/>
    <m/>
    <n v="1740"/>
    <m/>
    <m/>
    <m/>
    <d v="2024-08-19T00:00:00"/>
    <d v="2024-08-19T00:00:00"/>
    <n v="0"/>
    <d v="2024-08-19T00:00:00"/>
    <d v="2024-08-26T00:00:00"/>
    <n v="364191"/>
    <d v="2024-08-26T00:00:00"/>
    <d v="2024-09-02T00:00:00"/>
    <d v="2024-08-01T00:00:00"/>
    <d v="2024-08-15T00:00:00"/>
    <n v="0.5"/>
    <n v="7"/>
    <s v="ECOMERCE"/>
    <m/>
    <s v="x"/>
  </r>
  <r>
    <s v="2024"/>
    <s v="CANALES DIGITALES"/>
    <s v="Appedir"/>
    <s v="QA KFC Fulfillment  Compensaciones  Appedir "/>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s v="LOCAL"/>
    <s v="Proyectos TD 2024"/>
    <x v="0"/>
    <s v="Ecuador"/>
    <x v="3"/>
    <x v="1"/>
    <x v="1"/>
    <s v="No iniciado"/>
    <s v="Q3"/>
    <s v="Q4"/>
    <s v="p55"/>
    <s v="BAJA"/>
    <m/>
    <n v="1"/>
    <n v="1"/>
    <n v="550"/>
    <m/>
    <n v="1190"/>
    <m/>
    <m/>
    <m/>
    <d v="2024-11-04T00:00:00"/>
    <d v="2024-11-11T00:00:00"/>
    <n v="7"/>
    <d v="2024-11-11T00:00:00"/>
    <d v="2024-11-18T00:00:00"/>
    <n v="364863"/>
    <d v="2024-11-18T00:00:00"/>
    <d v="2024-11-18T00:00:00"/>
    <d v="2024-11-01T00:00:00"/>
    <d v="2024-11-08T00:00:00"/>
    <n v="0.25"/>
    <n v="0"/>
    <s v="ECOMERCE"/>
    <m/>
    <s v="x"/>
  </r>
  <r>
    <s v="2024"/>
    <s v="CANALES DIGITALES"/>
    <s v="Formas de Pago"/>
    <s v="QA KFC Métodos de Pago"/>
    <s v="MXP LEGACY_x000a_TRADE"/>
    <s v="Implementación OneClick Checkout Chile Transbank; Pruebas y códigos de forma de pago "/>
    <s v="MEDIA"/>
    <s v="LOCAL"/>
    <s v="Proyectos TD 2024"/>
    <x v="0"/>
    <s v="Chile"/>
    <x v="3"/>
    <x v="1"/>
    <x v="1"/>
    <s v="No iniciado"/>
    <e v="#N/A"/>
    <s v="Q2"/>
    <m/>
    <s v="BAJA"/>
    <m/>
    <n v="5"/>
    <n v="1"/>
    <n v="550"/>
    <m/>
    <n v="3390"/>
    <m/>
    <m/>
    <m/>
    <d v="2024-05-28T00:00:00"/>
    <d v="2024-06-04T00:00:00"/>
    <n v="7"/>
    <d v="2024-06-04T00:00:00"/>
    <d v="2024-06-11T00:00:00"/>
    <n v="363583"/>
    <d v="2024-06-11T00:00:00"/>
    <d v="2024-07-02T00:00:00"/>
    <d v="2024-05-01T00:00:00"/>
    <d v="2024-06-05T00:00:00"/>
    <n v="1.25"/>
    <n v="21"/>
    <s v="ECOMERCE"/>
    <m/>
    <s v="x"/>
  </r>
  <r>
    <s v="2024"/>
    <s v="ERP"/>
    <m/>
    <s v="Realizar cruce de suministros que se encuentran para el débito bancario para evitar cortes y recargos adicionales"/>
    <m/>
    <s v="Hacer el registro con una matriz y revisar el debito con Robot que usa actualmente tesoreria"/>
    <m/>
    <s v="LOCAL"/>
    <s v="RPA: Cruce Suministros"/>
    <x v="0"/>
    <s v="Ecuador"/>
    <x v="28"/>
    <x v="4"/>
    <x v="0"/>
    <s v="No iniciado"/>
    <s v="Q2"/>
    <s v="Q2"/>
    <m/>
    <s v="MEDIA"/>
    <n v="1"/>
    <n v="4"/>
    <n v="1"/>
    <n v="1600"/>
    <m/>
    <n v="6400"/>
    <m/>
    <m/>
    <m/>
    <d v="2024-04-07T00:00:00"/>
    <d v="2024-05-07T00:00:00"/>
    <n v="30"/>
    <d v="2024-05-07T00:00:00"/>
    <d v="2024-05-07T00:00:00"/>
    <n v="0"/>
    <d v="2024-05-07T00:00:00"/>
    <d v="2024-05-21T00:00:00"/>
    <d v="2024-04-07T00:00:00"/>
    <d v="2024-05-21T00:00:00"/>
    <n v="1"/>
    <n v="14"/>
    <m/>
    <m/>
    <m/>
  </r>
  <r>
    <s v="2024"/>
    <s v="CANALES DIGITALES"/>
    <s v="Pickup"/>
    <s v="Inyección V3 - Descuentos Pick up"/>
    <s v="MXP LEGACY_x000a_MXP 2.0_x000a_TRADE"/>
    <s v="Recepción de descuentos desde inyección V3 hacia Pickup en las tiendas"/>
    <s v="ALTA"/>
    <s v="REGIONAL"/>
    <s v="Proyectos TD 2024"/>
    <x v="0"/>
    <s v="Chile"/>
    <x v="20"/>
    <x v="1"/>
    <x v="1"/>
    <s v="No iniciado"/>
    <m/>
    <s v="Q2"/>
    <m/>
    <s v="ALTA"/>
    <n v="1"/>
    <n v="6"/>
    <n v="1"/>
    <n v="550"/>
    <m/>
    <n v="3940"/>
    <m/>
    <m/>
    <m/>
    <d v="2024-03-25T00:00:00"/>
    <d v="2024-04-08T00:00:00"/>
    <n v="14"/>
    <d v="2024-04-08T00:00:00"/>
    <d v="2024-04-15T00:00:00"/>
    <n v="363127"/>
    <d v="2024-04-15T00:00:00"/>
    <d v="2024-05-06T00:00:00"/>
    <d v="2024-05-01T00:00:00"/>
    <d v="2024-06-12T00:00:00"/>
    <n v="1.5"/>
    <n v="21"/>
    <m/>
    <m/>
    <s v="x"/>
  </r>
  <r>
    <s v="2024"/>
    <s v="CANALES DIGITALES"/>
    <s v="Pickup"/>
    <s v="Inyección V3 - Descuentos Pick up"/>
    <s v="MXP LEGACY_x000a_MXP 2.0_x000a_TRADE"/>
    <s v="Recepción de descuentos desde inyección V3 hacia Pickup en las tiendas"/>
    <s v="ALTA"/>
    <s v="REGIONAL"/>
    <s v="Proyectos TD 2024"/>
    <x v="0"/>
    <s v="Argentina"/>
    <x v="20"/>
    <x v="1"/>
    <x v="1"/>
    <s v="No iniciado"/>
    <m/>
    <s v="Q1"/>
    <s v="p10"/>
    <s v="ALTA"/>
    <n v="1"/>
    <n v="4"/>
    <n v="1"/>
    <n v="550"/>
    <m/>
    <n v="2840"/>
    <m/>
    <m/>
    <m/>
    <d v="2024-03-04T00:00:00"/>
    <d v="2024-03-18T00:00:00"/>
    <n v="14"/>
    <d v="2024-03-18T00:00:00"/>
    <d v="2024-03-25T00:00:00"/>
    <n v="362959"/>
    <d v="2024-03-25T00:00:00"/>
    <d v="2024-04-01T00:00:00"/>
    <d v="2024-06-01T00:00:00"/>
    <d v="2024-06-29T00:00:00"/>
    <n v="1"/>
    <n v="7"/>
    <s v="PROYECTO REGIONAL"/>
    <m/>
    <s v="x"/>
  </r>
  <r>
    <s v="2024"/>
    <s v="ERP"/>
    <m/>
    <s v="Recepción de Pollos por Lotes"/>
    <m/>
    <m/>
    <m/>
    <s v="LOCAL"/>
    <m/>
    <x v="0"/>
    <s v="Ecuador"/>
    <x v="6"/>
    <x v="6"/>
    <x v="2"/>
    <s v="No iniciado"/>
    <m/>
    <m/>
    <m/>
    <m/>
    <m/>
    <m/>
    <m/>
    <m/>
    <m/>
    <n v="21300"/>
    <m/>
    <m/>
    <m/>
    <m/>
    <m/>
    <e v="#REF!"/>
    <m/>
    <m/>
    <d v="1899-12-30T00:00:00"/>
    <m/>
    <m/>
    <d v="1899-12-30T00:00:00"/>
    <d v="1899-12-30T00:00:00"/>
    <n v="0"/>
    <n v="0"/>
    <m/>
    <m/>
    <m/>
  </r>
  <r>
    <s v="2024"/>
    <s v="SISTEMAS INTERNOS"/>
    <m/>
    <s v="Reingeniería Payroll"/>
    <m/>
    <s v="Esquema de administración - kfc_x000a_Migración de bases a la nube_x000a_reingeniería funcional_x000a_"/>
    <m/>
    <s v="LOCAL"/>
    <s v="Reingeniería Payroll - Cambio a AKS"/>
    <x v="0"/>
    <s v="Ecuador"/>
    <x v="29"/>
    <x v="16"/>
    <x v="0"/>
    <s v="No iniciado"/>
    <m/>
    <s v="Q3"/>
    <m/>
    <s v="ALTA"/>
    <m/>
    <n v="8"/>
    <n v="1"/>
    <n v="1000"/>
    <m/>
    <n v="8640"/>
    <m/>
    <m/>
    <m/>
    <m/>
    <m/>
    <e v="#REF!"/>
    <m/>
    <m/>
    <d v="1899-12-30T00:00:00"/>
    <m/>
    <m/>
    <d v="1899-12-30T00:00:00"/>
    <d v="1899-12-30T00:00:00"/>
    <n v="2"/>
    <n v="0"/>
    <m/>
    <m/>
    <m/>
  </r>
  <r>
    <s v="2024"/>
    <s v="SIR"/>
    <m/>
    <s v="Reporte de Compras consolidado"/>
    <m/>
    <s v="Reporte consolidado de compras, filtro por proveedor"/>
    <m/>
    <s v="LOCAL"/>
    <s v="Mejoras Contabilidad"/>
    <x v="0"/>
    <s v="Ecuador"/>
    <x v="19"/>
    <x v="4"/>
    <x v="0"/>
    <s v="Iniciado "/>
    <s v="ALTA"/>
    <s v="Q2"/>
    <m/>
    <s v="BAJA"/>
    <m/>
    <n v="2"/>
    <n v="2"/>
    <n v="400"/>
    <m/>
    <n v="2240"/>
    <m/>
    <m/>
    <n v="1"/>
    <d v="2024-04-01T00:00:00"/>
    <m/>
    <d v="2024-04-09T00:00:00"/>
    <m/>
    <m/>
    <d v="1899-12-30T00:00:00"/>
    <d v="2024-05-15T00:00:00"/>
    <m/>
    <d v="2024-04-01T00:00:00"/>
    <d v="1899-12-30T00:00:00"/>
    <n v="0.5"/>
    <n v="-45427"/>
    <m/>
    <m/>
    <m/>
  </r>
  <r>
    <s v="2024"/>
    <s v="ERP"/>
    <m/>
    <s v="Reporte: Anexo de Deuda Bancaria SAP"/>
    <m/>
    <s v="Tesorería, vinculo con SAP, con corte a la fecha ( en línea)"/>
    <m/>
    <s v="LOCAL"/>
    <s v="Desarrollo Reporte Deuda"/>
    <x v="0"/>
    <s v="Ecuador"/>
    <x v="10"/>
    <x v="7"/>
    <x v="0"/>
    <s v="No iniciado"/>
    <s v="Q2"/>
    <s v="Q2"/>
    <m/>
    <s v="MEDIA"/>
    <n v="1"/>
    <n v="4"/>
    <n v="1"/>
    <n v="1600"/>
    <m/>
    <n v="7040"/>
    <m/>
    <m/>
    <m/>
    <d v="2024-03-07T00:00:00"/>
    <d v="2024-05-07T00:00:00"/>
    <n v="61"/>
    <d v="2024-05-07T00:00:00"/>
    <d v="2024-05-14T00:00:00"/>
    <n v="7"/>
    <d v="2024-05-14T00:00:00"/>
    <d v="2024-05-21T00:00:00"/>
    <d v="2024-03-07T00:00:00"/>
    <d v="2024-05-21T00:00:00"/>
    <n v="1"/>
    <n v="7"/>
    <m/>
    <m/>
    <m/>
  </r>
  <r>
    <s v="2024"/>
    <s v="MXP LEGACY"/>
    <m/>
    <s v="Restricción de digitación de formas de pago de agregadores"/>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s v="LOCAL"/>
    <s v="Mejoras Maxpoint Auditoría 2024"/>
    <x v="0"/>
    <s v="Ecuador"/>
    <x v="0"/>
    <x v="0"/>
    <x v="0"/>
    <s v="No iniciado"/>
    <n v="1"/>
    <s v="Q2"/>
    <s v="Socializar con auditoría que este proceso ya se encuentra implementado"/>
    <s v="BAJA"/>
    <n v="1"/>
    <n v="4"/>
    <n v="1"/>
    <n v="550"/>
    <m/>
    <n v="2780"/>
    <m/>
    <m/>
    <n v="3"/>
    <d v="2024-06-03T00:00:00"/>
    <d v="2024-06-18T00:00:00"/>
    <d v="1900-01-14T00:00:00"/>
    <d v="2024-06-18T00:00:00"/>
    <d v="2024-06-19T00:00:00"/>
    <d v="2895-09-28T00:00:00"/>
    <d v="2024-06-20T00:00:00"/>
    <d v="2024-06-28T00:00:00"/>
    <d v="2024-06-03T00:00:00"/>
    <d v="2024-06-28T00:00:00"/>
    <n v="1"/>
    <n v="8"/>
    <m/>
    <m/>
    <m/>
  </r>
  <r>
    <s v="2024"/>
    <s v="ERP"/>
    <m/>
    <s v="RPA: Obtencion Tablas de amortización prestamos Bancarios en empresas relacionadas para Consolidar"/>
    <m/>
    <s v="Analizar solución con RPA"/>
    <m/>
    <s v="LOCAL"/>
    <s v="Consolidacion prestamos intercompany"/>
    <x v="0"/>
    <s v="Ecuador"/>
    <x v="10"/>
    <x v="7"/>
    <x v="0"/>
    <s v="No iniciado"/>
    <s v="Q2"/>
    <s v="Q2"/>
    <m/>
    <s v="ALTA"/>
    <n v="1"/>
    <n v="4"/>
    <n v="1"/>
    <n v="1600"/>
    <m/>
    <n v="7040"/>
    <m/>
    <m/>
    <m/>
    <d v="2024-04-07T00:00:00"/>
    <d v="2024-05-07T00:00:00"/>
    <n v="30"/>
    <d v="2024-05-07T00:00:00"/>
    <d v="2024-05-07T00:00:00"/>
    <n v="0"/>
    <d v="2024-05-07T00:00:00"/>
    <d v="2024-05-21T00:00:00"/>
    <d v="2024-04-07T00:00:00"/>
    <d v="2024-05-21T00:00:00"/>
    <n v="1"/>
    <n v="14"/>
    <m/>
    <m/>
    <m/>
  </r>
  <r>
    <s v="2024"/>
    <s v="ERP"/>
    <m/>
    <s v="Seguimiento Gestion de Cartera / Gestion de Cobro -SAP"/>
    <m/>
    <m/>
    <m/>
    <s v="LOCAL"/>
    <m/>
    <x v="0"/>
    <s v="Ecuador"/>
    <x v="6"/>
    <x v="6"/>
    <x v="2"/>
    <s v="No iniciado"/>
    <m/>
    <m/>
    <m/>
    <m/>
    <m/>
    <m/>
    <m/>
    <m/>
    <m/>
    <n v="3300"/>
    <m/>
    <m/>
    <m/>
    <m/>
    <m/>
    <e v="#REF!"/>
    <m/>
    <m/>
    <d v="1899-12-30T00:00:00"/>
    <m/>
    <m/>
    <d v="1899-12-30T00:00:00"/>
    <d v="1899-12-30T00:00:00"/>
    <n v="0"/>
    <n v="0"/>
    <m/>
    <m/>
    <m/>
  </r>
  <r>
    <s v="2023"/>
    <s v="SIR"/>
    <m/>
    <s v="Separación del diario de ventas (interfaz locales SIR a SAP)"/>
    <s v="UAT"/>
    <m/>
    <m/>
    <s v="LOCAL"/>
    <s v="Otros - Presupuesto 2023"/>
    <x v="0"/>
    <s v="Ecuador"/>
    <x v="6"/>
    <x v="4"/>
    <x v="1"/>
    <s v="En curso"/>
    <m/>
    <s v="Q2"/>
    <m/>
    <s v="ALTA"/>
    <m/>
    <n v="1"/>
    <n v="4"/>
    <n v="550"/>
    <m/>
    <n v="2200"/>
    <m/>
    <m/>
    <n v="1"/>
    <d v="2024-01-15T00:00:00"/>
    <d v="2024-01-26T00:00:00"/>
    <e v="#REF!"/>
    <d v="2024-03-01T00:00:00"/>
    <d v="2024-03-08T00:00:00"/>
    <d v="2893-05-15T00:00:00"/>
    <d v="2024-04-30T00:00:00"/>
    <m/>
    <d v="2024-01-15T00:00:00"/>
    <d v="1899-12-30T00:00:00"/>
    <n v="0.25"/>
    <n v="-45412"/>
    <m/>
    <m/>
    <m/>
  </r>
  <r>
    <s v="2024"/>
    <s v="SISTEMAS INTERNOS"/>
    <m/>
    <s v="Sistema Aprobaciones OCs: Control de Cupos por Solicitantes e interfaz de CM ( Mercadeo )"/>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s v="LOCAL"/>
    <s v="Aprobación orden de compra - Mercadeo"/>
    <x v="0"/>
    <s v="Ecuador"/>
    <x v="30"/>
    <x v="10"/>
    <x v="0"/>
    <s v="No iniciado"/>
    <s v="Q2"/>
    <s v="Q4"/>
    <m/>
    <s v="ALTA"/>
    <n v="1"/>
    <n v="5"/>
    <n v="1"/>
    <n v="550"/>
    <m/>
    <n v="3950"/>
    <m/>
    <m/>
    <m/>
    <d v="2024-10-01T00:00:00"/>
    <d v="2025-10-07T00:00:00"/>
    <d v="2024-11-01T00:00:00"/>
    <d v="2025-10-07T00:00:00"/>
    <d v="2024-10-14T00:00:00"/>
    <d v="2024-11-07T00:00:00"/>
    <d v="2024-10-21T00:00:00"/>
    <d v="2024-04-21T00:00:00"/>
    <d v="2024-10-01T00:00:00"/>
    <d v="2024-04-21T00:00:00"/>
    <n v="1.25"/>
    <n v="-183"/>
    <m/>
    <m/>
    <m/>
  </r>
  <r>
    <s v="2024"/>
    <s v="SISTEMAS INTERNOS"/>
    <m/>
    <s v="Sistema Aprobaciones OCs: Interfaz con SAP"/>
    <m/>
    <s v="Lo estaba proponiendo Davis N fase 1 (Regional) más ajustes a EC"/>
    <m/>
    <s v="LOCAL"/>
    <s v="Aprobación orden de compra - CAR"/>
    <x v="0"/>
    <s v="Ecuador"/>
    <x v="6"/>
    <x v="6"/>
    <x v="0"/>
    <s v="No iniciado"/>
    <s v="Q2"/>
    <s v="Q2"/>
    <m/>
    <s v="MEDIA"/>
    <m/>
    <n v="10"/>
    <n v="1"/>
    <n v="550"/>
    <m/>
    <n v="5500"/>
    <m/>
    <m/>
    <m/>
    <m/>
    <m/>
    <e v="#REF!"/>
    <m/>
    <m/>
    <d v="1899-12-30T00:00:00"/>
    <m/>
    <m/>
    <d v="1899-12-30T00:00:00"/>
    <d v="1899-12-30T00:00:00"/>
    <n v="2.5"/>
    <n v="0"/>
    <m/>
    <m/>
    <m/>
  </r>
  <r>
    <s v="2024"/>
    <s v="CANALES DIGITALES"/>
    <s v="Appedir"/>
    <s v="Smart routing (Recepcion formas de pago)"/>
    <s v="MAX LEGACY_x000a_TRADE"/>
    <s v="Appedir Integración Paymentez Visa y Mastercard Appedir; Kushki Diners y Discover Appedir"/>
    <s v="ALTA"/>
    <s v="LOCAL"/>
    <s v="Proyectos TD 2024"/>
    <x v="0"/>
    <s v="Ecuador"/>
    <x v="3"/>
    <x v="1"/>
    <x v="1"/>
    <s v="No iniciado"/>
    <s v="Q1"/>
    <s v="Q1"/>
    <s v="p18"/>
    <s v="MEDIA"/>
    <m/>
    <n v="4"/>
    <n v="1"/>
    <n v="550"/>
    <m/>
    <n v="2200"/>
    <m/>
    <m/>
    <m/>
    <d v="2024-02-23T00:00:00"/>
    <d v="2024-03-01T00:00:00"/>
    <n v="7"/>
    <d v="2024-03-01T00:00:00"/>
    <d v="2024-03-08T00:00:00"/>
    <n v="362823"/>
    <d v="2024-03-08T00:00:00"/>
    <d v="2024-03-08T00:00:00"/>
    <d v="2024-05-01T00:00:00"/>
    <d v="2024-05-29T00:00:00"/>
    <n v="1"/>
    <n v="0"/>
    <s v="ECOMERCE"/>
    <m/>
    <s v="x"/>
  </r>
  <r>
    <s v="2024"/>
    <s v="ERP"/>
    <m/>
    <s v="THEOBALD Estabilización de procesamiento y calidad de datos SAP"/>
    <m/>
    <s v="Extracción de información desde SAP con THEOBALD"/>
    <m/>
    <s v="LOCAL"/>
    <s v="Optimizar envío de data a Blob Storage"/>
    <x v="0"/>
    <s v="Ecuador"/>
    <x v="31"/>
    <x v="1"/>
    <x v="0"/>
    <s v="No iniciado"/>
    <s v="Q2"/>
    <s v="Q3"/>
    <m/>
    <s v="MEDIA"/>
    <m/>
    <m/>
    <n v="4"/>
    <m/>
    <m/>
    <n v="38400"/>
    <n v="15400"/>
    <m/>
    <m/>
    <d v="2024-02-07T00:00:00"/>
    <d v="2024-03-28T00:00:00"/>
    <n v="50"/>
    <d v="2024-03-28T00:00:00"/>
    <d v="2024-03-28T00:00:00"/>
    <n v="0"/>
    <m/>
    <m/>
    <d v="2024-02-07T00:00:00"/>
    <d v="1899-12-30T00:00:00"/>
    <n v="0"/>
    <n v="0"/>
    <s v="BI"/>
    <m/>
    <m/>
  </r>
  <r>
    <s v="2024"/>
    <s v="CANALES DIGITALES"/>
    <s v="API Inyección v3"/>
    <s v="Tiempos de Cambios de estado en todos los canales Maxpoint"/>
    <s v="MXP LEGACY_x000a_TRADE"/>
    <s v="Tiempos de Cambios de estado en todos los canales Maxpoint - TRansformación Digital"/>
    <s v="BAJA"/>
    <s v="REGIONAL"/>
    <s v="Funcionalidades Regionales"/>
    <x v="0"/>
    <s v="Ecuador"/>
    <x v="31"/>
    <x v="1"/>
    <x v="1"/>
    <s v="No iniciado"/>
    <m/>
    <s v="Q4"/>
    <m/>
    <m/>
    <m/>
    <n v="8"/>
    <n v="1"/>
    <n v="550"/>
    <m/>
    <n v="5040"/>
    <m/>
    <m/>
    <m/>
    <d v="2024-10-07T00:00:00"/>
    <d v="2024-11-11T00:00:00"/>
    <n v="35"/>
    <d v="2024-11-11T00:00:00"/>
    <d v="2024-11-25T00:00:00"/>
    <n v="364870"/>
    <d v="2024-11-25T00:00:00"/>
    <d v="2024-12-02T00:00:00"/>
    <d v="2024-10-01T00:00:00"/>
    <d v="2024-11-26T00:00:00"/>
    <n v="2"/>
    <n v="7"/>
    <s v="BI"/>
    <m/>
    <m/>
  </r>
  <r>
    <s v="2024"/>
    <s v="CANALES DIGITALES"/>
    <s v="Cupones"/>
    <s v="Unificación de Cupones QR y Online"/>
    <s v="MXP LEGACY_x000a_TRADE"/>
    <s v="Mejorar la densidad de todos los códigos QR"/>
    <s v="BAJA"/>
    <s v="REGIONAL"/>
    <s v="Proyectos TD 2024"/>
    <x v="0"/>
    <s v="Argentina"/>
    <x v="3"/>
    <x v="1"/>
    <x v="1"/>
    <s v="No iniciado"/>
    <e v="#N/A"/>
    <s v="Q4"/>
    <s v="p75"/>
    <s v="MEDIA"/>
    <n v="1"/>
    <n v="6"/>
    <n v="1"/>
    <n v="550"/>
    <m/>
    <n v="3940"/>
    <m/>
    <m/>
    <m/>
    <d v="2024-04-08T00:00:00"/>
    <d v="2024-04-15T00:00:00"/>
    <n v="7"/>
    <d v="2024-04-15T00:00:00"/>
    <d v="2024-04-22T00:00:00"/>
    <n v="363183"/>
    <d v="2024-04-22T00:00:00"/>
    <d v="2024-04-29T00:00:00"/>
    <d v="2024-06-08T00:00:00"/>
    <d v="2024-07-20T00:00:00"/>
    <n v="1.5"/>
    <n v="7"/>
    <s v="PROYECTO REGIONAL"/>
    <m/>
    <s v="x"/>
  </r>
  <r>
    <s v="2024"/>
    <s v="CANALES DIGITALES"/>
    <s v="Cupones"/>
    <s v="Unificación de Cupones QR y Online"/>
    <s v="MXP LEGACY_x000a_TRADE"/>
    <s v="Mejorar la densidad de todos los códigos QR"/>
    <s v="BAJA"/>
    <s v="REGIONAL"/>
    <s v="Proyectos TD 2024"/>
    <x v="0"/>
    <s v="Chile"/>
    <x v="3"/>
    <x v="1"/>
    <x v="1"/>
    <s v="No iniciado"/>
    <e v="#N/A"/>
    <s v="Q4"/>
    <s v="p75"/>
    <s v="MEDIA"/>
    <n v="1"/>
    <n v="5"/>
    <n v="1"/>
    <n v="550"/>
    <m/>
    <n v="3390"/>
    <m/>
    <m/>
    <m/>
    <d v="2024-04-08T00:00:00"/>
    <d v="2024-04-15T00:00:00"/>
    <n v="7"/>
    <d v="2024-04-15T00:00:00"/>
    <d v="2024-04-22T00:00:00"/>
    <n v="363183"/>
    <d v="2024-04-22T00:00:00"/>
    <d v="2024-05-13T00:00:00"/>
    <d v="2024-06-08T00:00:00"/>
    <d v="2024-07-13T00:00:00"/>
    <n v="1.25"/>
    <n v="21"/>
    <s v="PROYECTO REGIONAL"/>
    <m/>
    <s v="x"/>
  </r>
  <r>
    <s v="2024"/>
    <s v="CANALES DIGITALES"/>
    <s v="Cupones"/>
    <s v="Unificación de Cupones QR y Online"/>
    <s v="MXP LEGACY_x000a_TRADE"/>
    <s v="Mejorar la densidad de todos los códigos QR"/>
    <s v="BAJA"/>
    <s v="REGIONAL"/>
    <s v="Proyectos TD 2024"/>
    <x v="0"/>
    <s v="Colombia"/>
    <x v="3"/>
    <x v="1"/>
    <x v="1"/>
    <s v="No iniciado"/>
    <e v="#N/A"/>
    <s v="Q4"/>
    <s v="p75"/>
    <s v="MEDIA"/>
    <n v="1"/>
    <n v="6"/>
    <n v="1"/>
    <n v="550"/>
    <m/>
    <n v="3940"/>
    <m/>
    <m/>
    <m/>
    <d v="2024-04-08T00:00:00"/>
    <d v="2024-04-15T00:00:00"/>
    <n v="7"/>
    <d v="2024-04-15T00:00:00"/>
    <d v="2024-04-22T00:00:00"/>
    <n v="363183"/>
    <d v="2024-04-22T00:00:00"/>
    <d v="2024-04-29T00:00:00"/>
    <d v="2024-06-08T00:00:00"/>
    <d v="2024-07-20T00:00:00"/>
    <n v="1.5"/>
    <n v="7"/>
    <s v="PROYECTO REGIONAL"/>
    <m/>
    <s v="x"/>
  </r>
  <r>
    <s v="2024"/>
    <s v="CANALES DIGITALES"/>
    <s v="Cupones"/>
    <s v="Unificación de Cupones QR y Online"/>
    <s v="MXP LEGACY_x000a_TRADE"/>
    <s v="Mejorar la densidad de todos los códigos QR (cambiar)"/>
    <s v="BAJA"/>
    <s v="REGIONAL"/>
    <s v="Proyectos TD 2024"/>
    <x v="0"/>
    <s v="Venezuela"/>
    <x v="3"/>
    <x v="1"/>
    <x v="1"/>
    <s v="No iniciado"/>
    <e v="#N/A"/>
    <s v="Q4"/>
    <s v="p75"/>
    <s v="MEDIA"/>
    <n v="1"/>
    <n v="6"/>
    <n v="1"/>
    <n v="550"/>
    <m/>
    <n v="3940"/>
    <m/>
    <m/>
    <m/>
    <d v="2024-04-08T00:00:00"/>
    <d v="2024-04-15T00:00:00"/>
    <n v="7"/>
    <d v="2024-04-15T00:00:00"/>
    <d v="2024-04-22T00:00:00"/>
    <n v="363183"/>
    <d v="2024-04-22T00:00:00"/>
    <d v="2024-04-29T00:00:00"/>
    <d v="2024-06-08T00:00:00"/>
    <d v="2024-07-20T00:00:00"/>
    <n v="1.5"/>
    <n v="7"/>
    <s v="PROYECTO REGIONAL"/>
    <m/>
    <s v="x"/>
  </r>
  <r>
    <s v="2024"/>
    <s v="CANALES DIGITALES"/>
    <s v="API Inyección v3"/>
    <s v="Upsell (Analítica)"/>
    <s v="MXP LEGACY_x000a_TRADE"/>
    <s v="Redcibir el TAG upselling dentro de inyección V3, para sistema de Analítica"/>
    <s v="ALTA"/>
    <s v="LOCAL"/>
    <s v="Proyectos TD 2024"/>
    <x v="0"/>
    <s v="Ecuador"/>
    <x v="3"/>
    <x v="1"/>
    <x v="1"/>
    <s v="No iniciado"/>
    <s v="Q1"/>
    <s v="Q2"/>
    <s v="p17"/>
    <s v="MEDIA"/>
    <n v="1"/>
    <n v="4"/>
    <n v="1"/>
    <n v="550"/>
    <m/>
    <n v="2840"/>
    <m/>
    <m/>
    <m/>
    <d v="2024-03-18T00:00:00"/>
    <d v="2024-03-25T00:00:00"/>
    <n v="7"/>
    <d v="2024-03-25T00:00:00"/>
    <d v="2024-04-01T00:00:00"/>
    <n v="363015"/>
    <d v="2024-04-01T00:00:00"/>
    <d v="2024-04-08T00:00:00"/>
    <d v="2024-06-01T00:00:00"/>
    <d v="2024-06-29T00:00:00"/>
    <n v="1"/>
    <n v="7"/>
    <s v="PROYECTO REGIONAL"/>
    <m/>
    <m/>
  </r>
  <r>
    <s v="2024"/>
    <s v="CANALES DIGITALES"/>
    <s v="API Inyección v3"/>
    <s v="Upsell (Analítica)"/>
    <s v="MXP LEGACY_x000a_TRADE"/>
    <s v="Recibir el TAG upselling dentro de inyección V3, para sistema de Analítica"/>
    <s v="ALTA"/>
    <s v="REGIONAL"/>
    <s v="Proyectos TD 2024"/>
    <x v="0"/>
    <s v="Chile"/>
    <x v="3"/>
    <x v="1"/>
    <x v="1"/>
    <s v="No iniciado"/>
    <s v="Q1"/>
    <s v="Q2"/>
    <s v="p17"/>
    <s v="MEDIA"/>
    <n v="1"/>
    <n v="3"/>
    <n v="1"/>
    <n v="550"/>
    <m/>
    <n v="2290"/>
    <m/>
    <m/>
    <m/>
    <d v="2024-04-22T00:00:00"/>
    <d v="2024-05-06T00:00:00"/>
    <n v="14"/>
    <d v="2024-05-06T00:00:00"/>
    <d v="2024-05-13T00:00:00"/>
    <n v="363351"/>
    <d v="2024-05-13T00:00:00"/>
    <d v="2024-05-13T00:00:00"/>
    <d v="2024-05-01T00:00:00"/>
    <d v="2024-05-22T00:00:00"/>
    <n v="0.75"/>
    <n v="0"/>
    <s v="PROYECTO REGIONAL"/>
    <m/>
    <m/>
  </r>
  <r>
    <s v="2024"/>
    <s v="CANALES DIGITALES"/>
    <s v="API Inyección v3"/>
    <s v="Upsell (Analítica)"/>
    <s v="MXP LEGACY_x000a_TRADE"/>
    <s v="Redcibir el TAG upselling dentro de inyección V3, para sistema de Analítica"/>
    <s v="ALTA"/>
    <s v="REGIONAL"/>
    <s v="Proyectos TD 2024"/>
    <x v="0"/>
    <s v="Colombia"/>
    <x v="3"/>
    <x v="1"/>
    <x v="1"/>
    <s v="No iniciado"/>
    <s v="Q1"/>
    <s v="Q2"/>
    <s v="p17"/>
    <s v="MEDIA"/>
    <n v="1"/>
    <n v="2"/>
    <n v="1"/>
    <n v="550"/>
    <m/>
    <n v="1740"/>
    <m/>
    <m/>
    <m/>
    <d v="2024-03-25T00:00:00"/>
    <d v="2024-04-01T00:00:00"/>
    <n v="7"/>
    <d v="2024-04-01T00:00:00"/>
    <d v="2024-04-08T00:00:00"/>
    <n v="363071"/>
    <d v="2024-05-13T00:00:00"/>
    <d v="2024-04-08T00:00:00"/>
    <d v="2024-05-01T00:00:00"/>
    <d v="2024-05-15T00:00:00"/>
    <n v="0.5"/>
    <n v="-35"/>
    <s v="PROYECTO REGIONAL"/>
    <m/>
    <m/>
  </r>
  <r>
    <s v="2024"/>
    <s v="CANALES DIGITALES"/>
    <s v="API Inyección v3"/>
    <s v="Upsell (Analítica)"/>
    <s v="MXP LEGACY_x000a_TRADE"/>
    <s v="Recibir el TAG upselling dentro de inyección V3, para sistema de Analítica"/>
    <s v="ALTA"/>
    <s v="REGIONAL"/>
    <s v="Proyectos TD 2024"/>
    <x v="0"/>
    <s v="Argentina"/>
    <x v="3"/>
    <x v="1"/>
    <x v="1"/>
    <s v="No iniciado"/>
    <s v="Q1"/>
    <s v="Q2"/>
    <s v="p17"/>
    <s v="MEDIA"/>
    <n v="1"/>
    <n v="2"/>
    <n v="1"/>
    <n v="550"/>
    <m/>
    <n v="1740"/>
    <m/>
    <m/>
    <m/>
    <d v="2024-05-20T00:00:00"/>
    <d v="2024-05-27T00:00:00"/>
    <n v="7"/>
    <d v="2024-05-27T00:00:00"/>
    <d v="2024-06-03T00:00:00"/>
    <n v="363519"/>
    <d v="2024-06-03T00:00:00"/>
    <d v="2024-06-03T00:00:00"/>
    <d v="2024-06-01T00:00:00"/>
    <d v="2024-06-15T00:00:00"/>
    <n v="0.5"/>
    <n v="0"/>
    <s v="PROYECTO REGIONAL"/>
    <m/>
    <m/>
  </r>
  <r>
    <s v="2024"/>
    <s v="CANALES DIGITALES"/>
    <s v="API Inyección v3"/>
    <s v="Upsell (Analítica)"/>
    <s v="MXP LEGACY_x000a_TRADE"/>
    <s v="Redcibir el TAG upselling dentro de inyección V3, para sistema de Analítica"/>
    <s v="ALTA"/>
    <s v="REGIONAL"/>
    <s v="Proyectos TD 2024"/>
    <x v="0"/>
    <s v="Venezuela"/>
    <x v="3"/>
    <x v="1"/>
    <x v="1"/>
    <s v="No iniciado"/>
    <s v="Q1"/>
    <s v="Q2"/>
    <s v="p17"/>
    <s v="MEDIA"/>
    <n v="1"/>
    <n v="2"/>
    <n v="1"/>
    <n v="550"/>
    <m/>
    <n v="1740"/>
    <m/>
    <m/>
    <m/>
    <d v="2024-05-06T00:00:00"/>
    <d v="2024-05-20T00:00:00"/>
    <n v="14"/>
    <d v="2024-05-20T00:00:00"/>
    <d v="2024-05-27T00:00:00"/>
    <n v="363463"/>
    <d v="2024-05-27T00:00:00"/>
    <d v="2024-05-27T00:00:00"/>
    <d v="2024-06-01T00:00:00"/>
    <d v="2024-06-15T00:00:00"/>
    <n v="0.5"/>
    <n v="0"/>
    <s v="PROYECTO REGIONAL"/>
    <m/>
    <m/>
  </r>
  <r>
    <s v="2023"/>
    <s v="SIR"/>
    <m/>
    <s v="Usos y Consumos: Sobrantes y Faltantes"/>
    <s v="N/A"/>
    <s v="Segmentación de Sobrantes y Faltantes en el Reporte SIR: USOS Y CONSUMOS MERMAS."/>
    <m/>
    <s v="LOCAL"/>
    <s v="Otros - Presupuesto 2023"/>
    <x v="0"/>
    <s v="Ecuador"/>
    <x v="0"/>
    <x v="0"/>
    <x v="1"/>
    <s v="Finalizado"/>
    <n v="1"/>
    <s v="Q1"/>
    <m/>
    <s v="BAJA"/>
    <m/>
    <m/>
    <m/>
    <m/>
    <m/>
    <m/>
    <m/>
    <m/>
    <n v="0"/>
    <d v="2024-01-01T00:00:00"/>
    <d v="2024-01-21T00:00:00"/>
    <e v="#REF!"/>
    <d v="2024-01-21T00:00:00"/>
    <d v="2024-02-21T00:00:00"/>
    <d v="2892-07-23T00:00:00"/>
    <d v="2024-02-21T00:00:00"/>
    <d v="2024-02-28T00:00:00"/>
    <d v="2024-01-01T00:00:00"/>
    <d v="2024-02-28T00:00:00"/>
    <n v="0"/>
    <n v="7"/>
    <m/>
    <m/>
    <m/>
  </r>
  <r>
    <s v="2024"/>
    <s v="MXP LEGACY"/>
    <m/>
    <s v="Visualización resaltada en notas de crédito por concepto de cambio de datos"/>
    <s v="MXP 2.0"/>
    <s v="Resaltar NC en Maxpoint que sean por CAMBIO DE DATOS"/>
    <m/>
    <s v="LOCAL"/>
    <s v="Mejoras Maxpoint Auditoría 2024"/>
    <x v="0"/>
    <s v="Ecuador"/>
    <x v="0"/>
    <x v="0"/>
    <x v="0"/>
    <s v="No iniciado"/>
    <n v="2"/>
    <s v="Q2"/>
    <m/>
    <s v="BAJA"/>
    <n v="1"/>
    <n v="1"/>
    <n v="2"/>
    <n v="550"/>
    <m/>
    <n v="1680"/>
    <m/>
    <m/>
    <n v="3"/>
    <d v="2024-06-03T00:00:00"/>
    <d v="2024-06-10T00:00:00"/>
    <d v="1900-01-06T00:00:00"/>
    <d v="2024-06-11T00:00:00"/>
    <d v="2024-06-25T00:00:00"/>
    <d v="2895-08-16T00:00:00"/>
    <d v="2024-06-26T00:00:00"/>
    <d v="2024-07-10T00:00:00"/>
    <d v="2024-06-03T00:00:00"/>
    <d v="2024-07-10T00:00:00"/>
    <n v="0.25"/>
    <n v="14"/>
    <m/>
    <m/>
    <m/>
  </r>
  <r>
    <s v="2024"/>
    <s v="SIR"/>
    <m/>
    <s v="Administración Artículos -  Validación de campos"/>
    <m/>
    <m/>
    <m/>
    <m/>
    <s v="Mantenimiento"/>
    <x v="1"/>
    <s v="Ecuador"/>
    <x v="32"/>
    <x v="14"/>
    <x v="1"/>
    <s v="No iniciado"/>
    <m/>
    <s v="Q3"/>
    <m/>
    <s v="BAJA"/>
    <m/>
    <n v="2"/>
    <n v="2"/>
    <n v="400"/>
    <m/>
    <n v="2240"/>
    <m/>
    <m/>
    <m/>
    <d v="2024-09-02T00:00:00"/>
    <d v="2024-09-17T00:00:00"/>
    <e v="#REF!"/>
    <d v="2024-09-24T00:00:00"/>
    <d v="2024-09-30T00:00:00"/>
    <d v="2897-11-25T00:00:00"/>
    <m/>
    <m/>
    <d v="2024-09-02T00:00:00"/>
    <d v="1899-12-30T00:00:00"/>
    <n v="0.5"/>
    <n v="0"/>
    <m/>
    <m/>
    <m/>
  </r>
  <r>
    <s v="2024"/>
    <s v="SIR"/>
    <m/>
    <s v="Administración cuentas de banco"/>
    <m/>
    <m/>
    <m/>
    <s v="LOCAL"/>
    <s v="Mantenimiento"/>
    <x v="1"/>
    <s v="Ecuador"/>
    <x v="32"/>
    <x v="14"/>
    <x v="1"/>
    <s v="No iniciado"/>
    <m/>
    <s v="Q2"/>
    <m/>
    <s v="BAJA"/>
    <m/>
    <n v="2"/>
    <n v="2"/>
    <n v="400"/>
    <m/>
    <n v="2240"/>
    <m/>
    <m/>
    <n v="2"/>
    <d v="2024-05-13T00:00:00"/>
    <d v="2024-05-17T00:00:00"/>
    <e v="#REF!"/>
    <d v="2024-05-21T00:00:00"/>
    <d v="2024-05-28T00:00:00"/>
    <d v="2895-02-22T00:00:00"/>
    <d v="2024-06-04T00:00:00"/>
    <m/>
    <d v="2024-05-13T00:00:00"/>
    <d v="1899-12-30T00:00:00"/>
    <n v="0.5"/>
    <n v="-45447"/>
    <m/>
    <m/>
    <m/>
  </r>
  <r>
    <s v="2024"/>
    <s v="SIR"/>
    <m/>
    <s v="Administración de Tarjetas crédito Kioskos"/>
    <m/>
    <m/>
    <m/>
    <s v="REGIONAL*"/>
    <s v="Mantenimiento"/>
    <x v="1"/>
    <s v="Ecuador"/>
    <x v="32"/>
    <x v="14"/>
    <x v="1"/>
    <s v="No iniciado"/>
    <m/>
    <s v="Q4"/>
    <m/>
    <s v="BAJA"/>
    <m/>
    <n v="2"/>
    <n v="2"/>
    <n v="400"/>
    <m/>
    <n v="2240"/>
    <m/>
    <m/>
    <m/>
    <d v="2024-10-14T00:00:00"/>
    <d v="2024-10-25T00:00:00"/>
    <e v="#REF!"/>
    <d v="2024-10-29T00:00:00"/>
    <d v="2024-11-05T00:00:00"/>
    <d v="2898-09-02T00:00:00"/>
    <m/>
    <m/>
    <d v="2024-10-14T00:00:00"/>
    <d v="1899-12-30T00:00:00"/>
    <n v="0.5"/>
    <n v="0"/>
    <m/>
    <m/>
    <m/>
  </r>
  <r>
    <s v="2024"/>
    <s v="SIR"/>
    <m/>
    <s v="Administración Restaurante - Regional"/>
    <m/>
    <s v="validación campo swt"/>
    <m/>
    <m/>
    <s v="Mantenimiento"/>
    <x v="1"/>
    <s v="Ecuador"/>
    <x v="32"/>
    <x v="14"/>
    <x v="1"/>
    <s v="No iniciado"/>
    <m/>
    <s v="Q3"/>
    <m/>
    <s v="BAJA"/>
    <m/>
    <n v="3"/>
    <n v="2"/>
    <n v="400"/>
    <m/>
    <n v="3040"/>
    <m/>
    <m/>
    <m/>
    <d v="2024-09-23T00:00:00"/>
    <d v="2024-10-04T00:00:00"/>
    <e v="#REF!"/>
    <d v="2024-10-08T00:00:00"/>
    <d v="2024-10-15T00:00:00"/>
    <d v="2898-03-18T00:00:00"/>
    <m/>
    <m/>
    <d v="2024-09-23T00:00:00"/>
    <d v="1899-12-30T00:00:00"/>
    <n v="0.75"/>
    <n v="0"/>
    <m/>
    <m/>
    <m/>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Argentina"/>
    <x v="20"/>
    <x v="14"/>
    <x v="1"/>
    <s v="No iniciado"/>
    <m/>
    <s v="Q2"/>
    <m/>
    <s v="MEDIA"/>
    <n v="1"/>
    <n v="4"/>
    <n v="1"/>
    <n v="550"/>
    <m/>
    <n v="2840"/>
    <m/>
    <m/>
    <m/>
    <d v="2024-03-25T00:00:00"/>
    <d v="2024-04-08T00:00:00"/>
    <n v="14"/>
    <d v="2024-04-08T00:00:00"/>
    <d v="2024-04-15T00:00:00"/>
    <n v="363127"/>
    <d v="2024-04-15T00:00:00"/>
    <d v="2024-04-22T00:00:00"/>
    <d v="2024-08-01T00:00:00"/>
    <d v="2024-08-29T00:00:00"/>
    <n v="1"/>
    <n v="7"/>
    <m/>
    <m/>
    <s v="x"/>
  </r>
  <r>
    <s v="2024"/>
    <s v="SISTEMAS INTERNOS"/>
    <m/>
    <s v="App Encuestas Fase 2"/>
    <m/>
    <s v="Asesoramiento a Equipo interno de Desarrollo Venezuela"/>
    <m/>
    <s v="LOCAL"/>
    <s v="Funcionalidades Locales"/>
    <x v="1"/>
    <s v="Venezuela"/>
    <x v="33"/>
    <x v="17"/>
    <x v="1"/>
    <s v="No iniciado"/>
    <m/>
    <s v="Q3"/>
    <m/>
    <s v="MEDIA"/>
    <n v="1"/>
    <n v="2"/>
    <n v="1"/>
    <n v="0"/>
    <m/>
    <n v="0"/>
    <m/>
    <m/>
    <m/>
    <d v="2024-04-14T00:00:00"/>
    <d v="2024-04-21T00:00:00"/>
    <e v="#REF!"/>
    <d v="2024-04-21T00:00:00"/>
    <d v="2024-04-24T00:00:00"/>
    <d v="2894-06-23T00:00:00"/>
    <d v="2024-04-24T00:00:00"/>
    <d v="2024-04-28T00:00:00"/>
    <d v="2024-04-14T00:00:00"/>
    <d v="2024-04-28T00:00:00"/>
    <n v="0.5"/>
    <n v="4"/>
    <m/>
    <m/>
    <m/>
  </r>
  <r>
    <s v="2024"/>
    <s v="SIR"/>
    <m/>
    <s v="Automatización de asignación de permisos PDA"/>
    <m/>
    <s v="Evaluar, creación de pantalla, o login contra payroll"/>
    <m/>
    <m/>
    <s v="Mantenimiento"/>
    <x v="1"/>
    <s v="Ecuador"/>
    <x v="32"/>
    <x v="14"/>
    <x v="1"/>
    <s v="No iniciado"/>
    <m/>
    <s v="Q4"/>
    <m/>
    <s v="MEDIA"/>
    <m/>
    <n v="3"/>
    <n v="2"/>
    <n v="400"/>
    <m/>
    <n v="3040"/>
    <m/>
    <m/>
    <m/>
    <d v="2024-10-14T00:00:00"/>
    <d v="2024-11-01T00:00:00"/>
    <e v="#REF!"/>
    <d v="2024-11-05T00:00:00"/>
    <d v="2024-11-12T00:00:00"/>
    <d v="2898-10-28T00:00:00"/>
    <m/>
    <m/>
    <d v="2024-10-14T00:00:00"/>
    <d v="1899-12-30T00:00:00"/>
    <n v="0.75"/>
    <n v="0"/>
    <m/>
    <m/>
    <m/>
  </r>
  <r>
    <s v="2024"/>
    <s v="SIR"/>
    <m/>
    <s v="Automatización de proveedores de cajas chicas Ecuador"/>
    <m/>
    <m/>
    <m/>
    <m/>
    <s v="Mantenimiento"/>
    <x v="1"/>
    <s v="Ecuador"/>
    <x v="32"/>
    <x v="14"/>
    <x v="1"/>
    <s v="No iniciado"/>
    <m/>
    <s v="Q3"/>
    <m/>
    <s v="BAJA"/>
    <m/>
    <n v="1"/>
    <n v="1"/>
    <n v="400"/>
    <m/>
    <n v="1390"/>
    <m/>
    <m/>
    <m/>
    <d v="2024-07-08T00:00:00"/>
    <d v="2024-07-12T00:00:00"/>
    <e v="#REF!"/>
    <d v="2024-07-16T00:00:00"/>
    <d v="2024-07-23T00:00:00"/>
    <d v="2896-05-15T00:00:00"/>
    <m/>
    <m/>
    <d v="2024-07-08T00:00:00"/>
    <d v="1899-12-30T00:00:00"/>
    <n v="0.25"/>
    <n v="0"/>
    <m/>
    <m/>
    <m/>
  </r>
  <r>
    <s v="2024"/>
    <s v="SIR"/>
    <s v="Incluir una alerta cuando ingresen un activo ya utilizado en una orden de trabajo - cambio de alcance"/>
    <s v="Cambio de alncace duplicidad de ordenes de mantenimiento "/>
    <s v="Dependencia de lienas79-25"/>
    <m/>
    <m/>
    <m/>
    <m/>
    <x v="2"/>
    <m/>
    <x v="9"/>
    <x v="8"/>
    <x v="0"/>
    <s v="No iniciado"/>
    <m/>
    <s v="Q2"/>
    <m/>
    <m/>
    <m/>
    <m/>
    <m/>
    <m/>
    <m/>
    <n v="640"/>
    <m/>
    <m/>
    <n v="2"/>
    <d v="2024-04-29T00:00:00"/>
    <m/>
    <e v="#REF!"/>
    <m/>
    <m/>
    <n v="0"/>
    <d v="2024-05-24T00:00:00"/>
    <m/>
    <m/>
    <m/>
    <n v="0"/>
    <n v="-45436"/>
    <m/>
    <m/>
    <m/>
  </r>
  <r>
    <s v="2024"/>
    <s v="SIR"/>
    <m/>
    <s v="Automatización en el proceso de envío de notificación de pedidos planta"/>
    <m/>
    <s v="Revisión y mejora de procesos de pedidos"/>
    <m/>
    <s v="LOCAL"/>
    <s v="Mantenimiento"/>
    <x v="1"/>
    <s v="Ecuador"/>
    <x v="32"/>
    <x v="14"/>
    <x v="1"/>
    <s v="Finalizado"/>
    <m/>
    <s v="Q1"/>
    <m/>
    <s v="BAJA"/>
    <m/>
    <n v="2"/>
    <n v="1"/>
    <n v="400"/>
    <m/>
    <n v="1440"/>
    <m/>
    <m/>
    <n v="0"/>
    <d v="2024-03-04T00:00:00"/>
    <d v="2024-03-21T00:00:00"/>
    <e v="#REF!"/>
    <d v="2024-03-26T00:00:00"/>
    <d v="2024-03-19T00:00:00"/>
    <d v="2893-11-17T00:00:00"/>
    <m/>
    <m/>
    <d v="2024-03-04T00:00:00"/>
    <d v="1899-12-30T00:00:00"/>
    <n v="0.5"/>
    <n v="0"/>
    <m/>
    <m/>
    <m/>
  </r>
  <r>
    <s v="2024"/>
    <s v="SISTEMAS INTERNOS"/>
    <m/>
    <s v="Cargas Masivas: Contabilización de Facturas Fisicas Venezuel"/>
    <m/>
    <s v="Dependencia de SAP Venezuela"/>
    <m/>
    <s v="LOCAL"/>
    <s v="Funcionalidades Locales"/>
    <x v="1"/>
    <s v="Venezuela"/>
    <x v="33"/>
    <x v="17"/>
    <x v="1"/>
    <s v="No iniciado"/>
    <m/>
    <s v="Q2"/>
    <m/>
    <s v="MEDIA"/>
    <n v="0"/>
    <n v="8"/>
    <n v="1"/>
    <n v="550"/>
    <m/>
    <n v="0"/>
    <m/>
    <m/>
    <m/>
    <d v="2024-04-01T00:00:00"/>
    <d v="2024-05-14T00:00:00"/>
    <e v="#REF!"/>
    <d v="2024-05-14T00:00:00"/>
    <d v="2024-05-21T00:00:00"/>
    <d v="2894-12-28T00:00:00"/>
    <d v="2024-06-21T00:00:00"/>
    <d v="2024-06-28T00:00:00"/>
    <d v="2024-04-01T00:00:00"/>
    <d v="2024-06-28T00:00:00"/>
    <n v="2"/>
    <n v="7"/>
    <s v="Presupuesto de proyecto SAP"/>
    <m/>
    <m/>
  </r>
  <r>
    <s v="2024"/>
    <s v="SIR"/>
    <m/>
    <s v="Colombia - Articulos sin conversión"/>
    <m/>
    <s v="Igualar versión costo articulos Colombia"/>
    <m/>
    <s v="LOCAL"/>
    <s v="Mantenimiento"/>
    <x v="1"/>
    <s v="Ecuador"/>
    <x v="32"/>
    <x v="14"/>
    <x v="1"/>
    <s v="No iniciado"/>
    <m/>
    <s v="Q2"/>
    <m/>
    <s v="BAJA"/>
    <m/>
    <n v="2"/>
    <n v="2"/>
    <n v="400"/>
    <m/>
    <n v="2240"/>
    <m/>
    <m/>
    <n v="1"/>
    <d v="2024-02-26T00:00:00"/>
    <d v="2024-03-08T00:00:00"/>
    <e v="#REF!"/>
    <d v="2024-03-12T00:00:00"/>
    <d v="2024-03-19T00:00:00"/>
    <d v="2893-08-11T00:00:00"/>
    <d v="2024-05-09T00:00:00"/>
    <m/>
    <d v="2024-02-26T00:00:00"/>
    <d v="1899-12-30T00:00:00"/>
    <n v="0.5"/>
    <n v="-45421"/>
    <m/>
    <m/>
    <m/>
  </r>
  <r>
    <s v="2024"/>
    <s v="CANALES DIGITALES"/>
    <s v="Motorizado Delivery"/>
    <s v="Control Motorizados/Agregadores [2] - Depósito de Efectivo"/>
    <s v="MXP LEGACY"/>
    <s v="Compromiso Matriz Regional  (Argentina, Ecuador, Colombia, Venezuela)"/>
    <s v="ALTA"/>
    <s v="REGIONAL"/>
    <s v="Funcionalidades Regionales"/>
    <x v="1"/>
    <s v="Ecuador"/>
    <x v="20"/>
    <x v="14"/>
    <x v="1"/>
    <s v="No iniciado"/>
    <m/>
    <s v="Q1"/>
    <s v="p14"/>
    <s v="ALTA"/>
    <n v="1"/>
    <n v="6"/>
    <n v="1"/>
    <n v="550"/>
    <m/>
    <n v="3940"/>
    <m/>
    <m/>
    <m/>
    <d v="2024-03-04T00:00:00"/>
    <d v="2024-04-01T00:00:00"/>
    <n v="28"/>
    <d v="2024-04-01T00:00:00"/>
    <d v="2024-04-08T00:00:00"/>
    <n v="363071"/>
    <d v="2024-04-08T00:00:00"/>
    <d v="2024-04-15T00:00:00"/>
    <d v="2024-06-01T00:00:00"/>
    <d v="2024-07-13T00:00:00"/>
    <n v="1.5"/>
    <n v="7"/>
    <s v="PROYECTO REGIONAL"/>
    <m/>
    <m/>
  </r>
  <r>
    <s v="2024"/>
    <s v="CANALES DIGITALES"/>
    <s v="Motorizado Delivery"/>
    <s v="Control Motorizados/Agregadores [2] - Depósito de Efectivo"/>
    <s v="MXP LEGACY"/>
    <s v="Compromiso Matriz Regional  (Argentina, Ecuador, Colombia, Venezuela)"/>
    <s v="ALTA"/>
    <s v="REGIONAL"/>
    <s v="Funcionalidades Regionales"/>
    <x v="1"/>
    <s v="Argentina"/>
    <x v="20"/>
    <x v="14"/>
    <x v="1"/>
    <s v="No iniciado"/>
    <m/>
    <s v="Q1"/>
    <s v="p14"/>
    <s v="ALTA"/>
    <n v="1"/>
    <n v="6"/>
    <n v="1"/>
    <n v="550"/>
    <m/>
    <n v="3940"/>
    <m/>
    <m/>
    <m/>
    <d v="2024-03-04T00:00:00"/>
    <d v="2024-04-01T00:00:00"/>
    <n v="28"/>
    <d v="2024-04-01T00:00:00"/>
    <d v="2024-04-08T00:00:00"/>
    <n v="363071"/>
    <d v="2024-04-08T00:00:00"/>
    <d v="2024-04-15T00:00:00"/>
    <d v="2024-06-01T00:00:00"/>
    <d v="2024-07-13T00:00:00"/>
    <n v="1.5"/>
    <n v="7"/>
    <s v="PROYECTO REGIONAL"/>
    <m/>
    <m/>
  </r>
  <r>
    <s v="2024"/>
    <s v="CANALES DIGITALES"/>
    <s v="Motorizado Delivery"/>
    <s v="Control Motorizados/Agregadores [2] - Depósito de Efectivo"/>
    <s v="MXP LEGACY"/>
    <s v="Compromiso Matriz Regional  (Argentina, Ecuador, Colombia, Venezuela)"/>
    <s v="ALTA"/>
    <s v="REGIONAL"/>
    <s v="Funcionalidades Regionales"/>
    <x v="1"/>
    <s v="Venezuela"/>
    <x v="20"/>
    <x v="14"/>
    <x v="1"/>
    <s v="No iniciado"/>
    <m/>
    <s v="Q1"/>
    <s v="p14"/>
    <s v="ALTA"/>
    <n v="1"/>
    <n v="6"/>
    <n v="1"/>
    <n v="550"/>
    <m/>
    <n v="3940"/>
    <m/>
    <m/>
    <m/>
    <d v="2024-03-04T00:00:00"/>
    <d v="2024-04-01T00:00:00"/>
    <n v="28"/>
    <d v="2024-04-01T00:00:00"/>
    <d v="2024-04-08T00:00:00"/>
    <n v="363071"/>
    <d v="2024-04-08T00:00:00"/>
    <d v="2024-04-15T00:00:00"/>
    <d v="2024-06-01T00:00:00"/>
    <d v="2024-07-13T00:00:00"/>
    <n v="1.5"/>
    <n v="7"/>
    <s v="PROYECTO REGIONAL"/>
    <m/>
    <m/>
  </r>
  <r>
    <s v="2023"/>
    <s v="CANALES DIGITALES"/>
    <s v="Motorizado Delivery"/>
    <s v="Control Motorizados/Agregadores [2] - Depósito de Efectivo"/>
    <s v="MXP LEGACY_x000a_TRADE"/>
    <s v="flujo para controlar los pagos en efectivo entregados por el motorizado a personal del restaurante"/>
    <m/>
    <s v="REGIONAL"/>
    <s v="Funcionalidades Regionales"/>
    <x v="1"/>
    <s v="Colombia"/>
    <x v="34"/>
    <x v="18"/>
    <x v="1"/>
    <s v="No iniciado"/>
    <m/>
    <s v="Q1"/>
    <m/>
    <s v="MEDIA"/>
    <n v="1"/>
    <n v="4"/>
    <n v="1"/>
    <n v="625"/>
    <m/>
    <n v="2500"/>
    <m/>
    <m/>
    <m/>
    <d v="2023-12-17T00:00:00"/>
    <d v="2024-02-02T00:00:00"/>
    <e v="#REF!"/>
    <d v="2024-02-04T00:00:00"/>
    <d v="2024-02-09T00:00:00"/>
    <d v="2892-10-17T00:00:00"/>
    <d v="2024-02-11T00:00:00"/>
    <d v="2024-02-15T00:00:00"/>
    <d v="2024-06-01T00:00:00"/>
    <d v="2024-07-13T00:00:00"/>
    <n v="1"/>
    <n v="4"/>
    <m/>
    <m/>
    <m/>
  </r>
  <r>
    <s v="2024"/>
    <s v="CANALES DIGITALES"/>
    <s v="Motorizado Delivery"/>
    <s v="Control Motorizados/Agregadores [2] - Picking Agregadores QR V1"/>
    <s v="MXP LEGACY"/>
    <s v="Integracion Picking QR Agregadores"/>
    <s v="ALTA"/>
    <s v="REGIONAL"/>
    <s v="Funcionalidades Regionales"/>
    <x v="1"/>
    <s v="Ecuador"/>
    <x v="20"/>
    <x v="14"/>
    <x v="1"/>
    <s v="No iniciado"/>
    <m/>
    <s v="Q1"/>
    <s v="p13"/>
    <s v="ALTA"/>
    <n v="1"/>
    <n v="6"/>
    <n v="1"/>
    <n v="550"/>
    <m/>
    <n v="3940"/>
    <m/>
    <m/>
    <m/>
    <d v="2024-03-04T00:00:00"/>
    <d v="2024-03-18T00:00:00"/>
    <n v="14"/>
    <d v="2024-03-18T00:00:00"/>
    <d v="2024-03-25T00:00:00"/>
    <n v="362959"/>
    <d v="2024-03-25T00:00:00"/>
    <d v="2024-04-01T00:00:00"/>
    <d v="2024-05-01T00:00:00"/>
    <d v="2024-06-12T00:00:00"/>
    <n v="1.5"/>
    <n v="7"/>
    <s v="PROYECTO REGIONAL"/>
    <m/>
    <m/>
  </r>
  <r>
    <s v="2024"/>
    <s v="CANALES DIGITALES"/>
    <s v="Motorizado Delivery"/>
    <s v="Control Motorizados/Agregadores [2] - Picking Agregadores QR V1"/>
    <s v="MXP LEGACY"/>
    <s v="Integracion Picking QR Agregadores"/>
    <s v="ALTA"/>
    <s v="REGIONAL"/>
    <s v="Funcionalidades Regionales"/>
    <x v="1"/>
    <s v="Argentina"/>
    <x v="20"/>
    <x v="14"/>
    <x v="1"/>
    <s v="No iniciado"/>
    <m/>
    <s v="Q1"/>
    <s v="p13"/>
    <s v="ALTA"/>
    <n v="1"/>
    <n v="6"/>
    <n v="1"/>
    <n v="550"/>
    <m/>
    <n v="3940"/>
    <m/>
    <m/>
    <m/>
    <d v="2024-02-26T00:00:00"/>
    <d v="2024-03-25T00:00:00"/>
    <n v="28"/>
    <d v="2024-03-25T00:00:00"/>
    <d v="2024-04-01T00:00:00"/>
    <n v="363015"/>
    <d v="2024-04-01T00:00:00"/>
    <d v="2024-04-08T00:00:00"/>
    <d v="2024-05-01T00:00:00"/>
    <d v="2024-06-12T00:00:00"/>
    <n v="1.5"/>
    <n v="7"/>
    <s v="PROYECTO REGIONAL"/>
    <m/>
    <m/>
  </r>
  <r>
    <s v="2024"/>
    <s v="CANALES DIGITALES"/>
    <s v="Cupones"/>
    <s v="Cupones de Cortesía, Dinero y Empleados"/>
    <s v="MXP LEGACY_x000a_TRADE"/>
    <s v="Compromiso Matriz Regional  (Ecuador, Argentina) (api v3 cupones)"/>
    <s v="MEDIA"/>
    <s v="REGIONAL"/>
    <s v="Funcionalidades Regionales"/>
    <x v="1"/>
    <s v="Argentina"/>
    <x v="35"/>
    <x v="14"/>
    <x v="1"/>
    <s v="No iniciado"/>
    <m/>
    <s v="Q2"/>
    <s v="P37"/>
    <s v="MEDIA"/>
    <n v="1"/>
    <n v="4"/>
    <n v="1"/>
    <n v="550"/>
    <m/>
    <n v="2840"/>
    <m/>
    <m/>
    <m/>
    <d v="2024-04-01T00:00:00"/>
    <d v="2024-04-15T00:00:00"/>
    <n v="14"/>
    <d v="2024-04-15T00:00:00"/>
    <d v="2024-04-22T00:00:00"/>
    <n v="363183"/>
    <d v="2024-04-22T00:00:00"/>
    <d v="2024-04-05T00:00:00"/>
    <d v="2024-06-01T00:00:00"/>
    <d v="2024-06-29T00:00:00"/>
    <n v="1"/>
    <n v="-17"/>
    <s v="PROYECTO REGIONAL"/>
    <m/>
    <m/>
  </r>
  <r>
    <s v="2024"/>
    <s v="CANALES DIGITALES"/>
    <s v="Cupones"/>
    <s v="Cupones QR - V3 Centralizada (App KFC) "/>
    <s v="MXP LEGACY_x000a_TRADE"/>
    <s v="Compromiso Matriz Regional  (Argentina, )"/>
    <s v="MEDIA"/>
    <s v="REGIONAL"/>
    <s v="Funcionalidades Regionales"/>
    <x v="1"/>
    <s v="Argentina"/>
    <x v="35"/>
    <x v="14"/>
    <x v="1"/>
    <s v="No iniciado"/>
    <m/>
    <s v="Q1"/>
    <m/>
    <s v="MEDIA"/>
    <n v="1"/>
    <n v="6"/>
    <n v="1"/>
    <n v="550"/>
    <m/>
    <n v="3940"/>
    <m/>
    <m/>
    <m/>
    <d v="2024-03-04T00:00:00"/>
    <d v="2024-04-01T00:00:00"/>
    <n v="28"/>
    <d v="2024-04-01T00:00:00"/>
    <d v="2024-04-08T00:00:00"/>
    <n v="363071"/>
    <d v="2024-04-08T00:00:00"/>
    <d v="2025-01-31T00:00:00"/>
    <d v="2024-06-01T00:00:00"/>
    <d v="2024-07-13T00:00:00"/>
    <n v="1.5"/>
    <n v="298"/>
    <s v="PROYECTO REGIONAL"/>
    <m/>
    <m/>
  </r>
  <r>
    <s v="2024"/>
    <s v="SIR"/>
    <m/>
    <s v="Descuadres de Cupones CCC. Entre MP Y SIR"/>
    <m/>
    <s v="Identificar el motivo por el cual existe diferencias al ingreso de cupones en  Max Point. "/>
    <m/>
    <s v="LOCAL"/>
    <s v="Mantenimiento"/>
    <x v="1"/>
    <s v="Ecuador"/>
    <x v="0"/>
    <x v="14"/>
    <x v="1"/>
    <s v="Finalizado"/>
    <n v="1"/>
    <s v="Q1"/>
    <m/>
    <s v="BAJA"/>
    <m/>
    <n v="1"/>
    <n v="1"/>
    <n v="400"/>
    <m/>
    <n v="1410"/>
    <m/>
    <m/>
    <n v="0"/>
    <d v="2024-02-26T00:00:00"/>
    <d v="2024-03-08T00:00:00"/>
    <e v="#REF!"/>
    <d v="2024-03-12T00:00:00"/>
    <d v="2024-03-19T00:00:00"/>
    <d v="2893-08-11T00:00:00"/>
    <d v="2024-04-01T00:00:00"/>
    <d v="2024-07-24T00:00:00"/>
    <d v="2024-02-26T00:00:00"/>
    <d v="2024-07-24T00:00:00"/>
    <n v="0.25"/>
    <n v="114"/>
    <s v="Ingresar REQ a MNT Maxpoint 24"/>
    <m/>
    <m/>
  </r>
  <r>
    <s v="2024"/>
    <s v="CANALES DIGITALES"/>
    <s v="Kioscos"/>
    <s v="Descuentos bancos por Bines kioscos"/>
    <s v="MXP LEGACY_x000a_TRADE"/>
    <s v="Descuentos exclusivos por tarjeta de crédito"/>
    <s v="MEDIA"/>
    <s v="LOCAL"/>
    <s v="Funcionalidades Locales"/>
    <x v="1"/>
    <s v="Chile"/>
    <x v="36"/>
    <x v="14"/>
    <x v="1"/>
    <s v="No iniciado"/>
    <m/>
    <s v="Q2"/>
    <s v="p36"/>
    <s v="ALTA"/>
    <m/>
    <n v="10"/>
    <n v="2"/>
    <n v="550"/>
    <m/>
    <n v="11640"/>
    <m/>
    <m/>
    <m/>
    <d v="2024-04-01T00:00:00"/>
    <d v="2024-04-29T00:00:00"/>
    <n v="28"/>
    <d v="2024-04-29T00:00:00"/>
    <d v="2024-05-13T00:00:00"/>
    <n v="363302"/>
    <d v="2024-05-13T00:00:00"/>
    <d v="2024-06-10T00:00:00"/>
    <d v="2024-05-01T00:00:00"/>
    <d v="2024-07-10T00:00:00"/>
    <n v="2.5"/>
    <n v="28"/>
    <s v="Solicitud de Colombia y Chile._x000a_Falta definición de alcance con el proveedor."/>
    <m/>
    <s v="x"/>
  </r>
  <r>
    <s v="2024"/>
    <s v="SIR"/>
    <m/>
    <s v="Devoluciones - Agregar observaciones planta"/>
    <s v="Catalogo de obervaciones planta "/>
    <m/>
    <m/>
    <s v="LOCAL"/>
    <s v="Mantenimiento"/>
    <x v="1"/>
    <s v="Ecuador"/>
    <x v="37"/>
    <x v="14"/>
    <x v="0"/>
    <s v="No iniciado"/>
    <m/>
    <s v="Q2"/>
    <m/>
    <s v="BAJA"/>
    <m/>
    <n v="2"/>
    <n v="1"/>
    <n v="400"/>
    <m/>
    <n v="1440"/>
    <m/>
    <m/>
    <n v="2"/>
    <d v="2024-04-29T00:00:00"/>
    <m/>
    <e v="#REF!"/>
    <m/>
    <m/>
    <d v="1899-12-30T00:00:00"/>
    <d v="2024-05-28T00:00:00"/>
    <m/>
    <d v="2024-04-29T00:00:00"/>
    <d v="1899-12-30T00:00:00"/>
    <n v="0.5"/>
    <n v="-45440"/>
    <m/>
    <m/>
    <m/>
  </r>
  <r>
    <s v="2024"/>
    <s v="ERP"/>
    <m/>
    <s v="Extracción de Datos SAP para BI"/>
    <m/>
    <s v="Mejorar la disponibilidad de los datos, actualmente los datos presentan dificultad para extracción de datos a diario._x000a_Control de integridad de los datos_x000a_"/>
    <m/>
    <m/>
    <s v="Mejora en la entrega de data para BI"/>
    <x v="1"/>
    <s v="Ecuador"/>
    <x v="31"/>
    <x v="14"/>
    <x v="0"/>
    <s v="No iniciado"/>
    <s v="Q2"/>
    <s v="Q1"/>
    <m/>
    <s v="MEDIA"/>
    <n v="1"/>
    <n v="2"/>
    <n v="2"/>
    <n v="550"/>
    <m/>
    <n v="2200"/>
    <m/>
    <m/>
    <m/>
    <d v="2024-02-07T00:00:00"/>
    <d v="2024-02-14T00:00:00"/>
    <n v="7"/>
    <d v="2024-02-14T00:00:00"/>
    <d v="2024-02-21T00:00:00"/>
    <n v="7"/>
    <d v="2024-02-21T00:00:00"/>
    <d v="2024-02-28T00:00:00"/>
    <d v="2024-02-07T00:00:00"/>
    <d v="2024-02-28T00:00:00"/>
    <n v="0.5"/>
    <n v="7"/>
    <s v="BI"/>
    <m/>
    <m/>
  </r>
  <r>
    <s v="2024"/>
    <s v="ERP"/>
    <m/>
    <s v="Implementar B2B en Depto. Tesorería"/>
    <m/>
    <s v="Nuevo Requerimiento"/>
    <m/>
    <s v="LOCAL"/>
    <s v="Mejoras B2B - Finanzas"/>
    <x v="1"/>
    <s v="Chile"/>
    <x v="38"/>
    <x v="19"/>
    <x v="1"/>
    <s v="No iniciado"/>
    <s v="Q1"/>
    <s v="Q2"/>
    <m/>
    <s v="MEDIA"/>
    <n v="1"/>
    <n v="4"/>
    <n v="1"/>
    <n v="572.5"/>
    <m/>
    <n v="2290"/>
    <m/>
    <m/>
    <m/>
    <d v="2024-02-21T00:00:00"/>
    <d v="2024-03-07T00:00:00"/>
    <n v="15"/>
    <d v="2024-03-07T00:00:00"/>
    <d v="2024-03-14T00:00:00"/>
    <n v="7"/>
    <d v="2024-03-14T00:00:00"/>
    <d v="2024-03-21T00:00:00"/>
    <d v="2024-02-21T00:00:00"/>
    <d v="2024-03-21T00:00:00"/>
    <n v="1"/>
    <n v="7"/>
    <m/>
    <m/>
    <m/>
  </r>
  <r>
    <s v="2024"/>
    <s v="SIR"/>
    <m/>
    <s v="Incluir auditoría en Gastos cajas chicas"/>
    <m/>
    <m/>
    <m/>
    <m/>
    <s v="Mantenimiento"/>
    <x v="1"/>
    <s v="Ecuador"/>
    <x v="32"/>
    <x v="14"/>
    <x v="1"/>
    <s v="No iniciado"/>
    <m/>
    <s v="Q3"/>
    <m/>
    <s v="BAJA"/>
    <m/>
    <n v="2"/>
    <n v="1"/>
    <n v="400"/>
    <m/>
    <n v="1440"/>
    <m/>
    <m/>
    <m/>
    <d v="2024-09-16T00:00:00"/>
    <d v="2024-09-27T00:00:00"/>
    <e v="#REF!"/>
    <d v="2024-10-01T00:00:00"/>
    <d v="2024-10-07T00:00:00"/>
    <d v="2898-01-20T00:00:00"/>
    <m/>
    <m/>
    <d v="2024-09-16T00:00:00"/>
    <d v="1899-12-30T00:00:00"/>
    <n v="0.5"/>
    <n v="0"/>
    <m/>
    <m/>
    <m/>
  </r>
  <r>
    <n v="2024"/>
    <s v="MXP LEGACY"/>
    <m/>
    <s v="Integración con maxpoint v2 para modulo de productos"/>
    <s v="MXP 2.0 _x000a_CANALES DIGITALES"/>
    <m/>
    <m/>
    <m/>
    <s v="DSI"/>
    <x v="1"/>
    <s v="Ecuador"/>
    <x v="39"/>
    <x v="14"/>
    <x v="0"/>
    <s v="No iniciado"/>
    <m/>
    <s v="Q2"/>
    <m/>
    <m/>
    <m/>
    <n v="12"/>
    <n v="3"/>
    <n v="550"/>
    <m/>
    <n v="20360"/>
    <m/>
    <m/>
    <n v="2"/>
    <d v="2024-05-01T00:00:00"/>
    <d v="2024-06-24T00:00:00"/>
    <d v="2024-05-24T00:00:00"/>
    <d v="2024-06-25T00:00:00"/>
    <d v="2024-07-09T00:00:00"/>
    <d v="2024-06-22T00:00:00"/>
    <d v="2024-07-10T00:00:00"/>
    <d v="2024-07-17T00:00:00"/>
    <d v="2024-05-01T00:00:00"/>
    <d v="2024-07-17T00:00:00"/>
    <d v="1900-01-02T00:00:00"/>
    <n v="7"/>
    <m/>
    <m/>
    <m/>
  </r>
  <r>
    <s v="2024"/>
    <s v="SISTEMAS INTERNOS"/>
    <m/>
    <s v="Integración de Herramientas SatCon: Venezuela"/>
    <m/>
    <s v="Dependencia de SAP Venezuela"/>
    <m/>
    <s v="LOCAL"/>
    <s v="Funcionalidades Locales"/>
    <x v="1"/>
    <s v="Venezuela"/>
    <x v="33"/>
    <x v="17"/>
    <x v="1"/>
    <s v="No iniciado"/>
    <m/>
    <s v="Q2"/>
    <m/>
    <s v="MEDIA"/>
    <n v="0"/>
    <n v="10"/>
    <n v="1"/>
    <n v="550"/>
    <m/>
    <n v="0"/>
    <n v="364"/>
    <m/>
    <m/>
    <d v="2024-04-01T00:00:00"/>
    <d v="2024-06-01T00:00:00"/>
    <e v="#REF!"/>
    <d v="2024-06-01T00:00:00"/>
    <d v="2024-06-07T00:00:00"/>
    <d v="2895-05-20T00:00:00"/>
    <d v="2024-06-07T00:00:00"/>
    <d v="2024-06-14T00:00:00"/>
    <d v="2024-04-01T00:00:00"/>
    <d v="2024-06-14T00:00:00"/>
    <n v="2.5"/>
    <n v="7"/>
    <s v="Presupuesto incluido en poryecto SAP"/>
    <m/>
    <m/>
  </r>
  <r>
    <s v="2024"/>
    <s v="CANALES DIGITALES"/>
    <s v="Agregadores"/>
    <s v="Integración Directo a Agregadores KFC"/>
    <s v="MXP LEGACY_x000a_MXP 2.0_x000a_"/>
    <s v="Envío Menús Agregadores KFC_x000a_*PEYA*"/>
    <s v="ALTA"/>
    <s v="REGIONAL"/>
    <s v="Integración con Agregadores (Regional)"/>
    <x v="1"/>
    <s v="Venezuela"/>
    <x v="40"/>
    <x v="14"/>
    <x v="1"/>
    <s v="No iniciado"/>
    <m/>
    <s v="Q2"/>
    <s v="p38"/>
    <s v="MEDIA"/>
    <n v="0.03"/>
    <n v="1"/>
    <n v="1"/>
    <n v="101428"/>
    <m/>
    <n v="3062.04"/>
    <m/>
    <m/>
    <m/>
    <d v="2024-10-21T00:00:00"/>
    <m/>
    <n v="-45586"/>
    <m/>
    <m/>
    <n v="0"/>
    <m/>
    <d v="2024-12-02T00:00:00"/>
    <d v="2024-10-21T00:00:00"/>
    <d v="2024-12-02T00:00:00"/>
    <n v="1.5"/>
    <n v="45628"/>
    <s v="PROYECTO REGIONAL"/>
    <m/>
    <m/>
  </r>
  <r>
    <s v="2024"/>
    <s v="CANALES DIGITALES"/>
    <s v="Agregadores"/>
    <s v="Integración Directo a Agregadores KFC"/>
    <s v="MXP LEGACY_x000a_MXP 2.0_x000a_"/>
    <s v="Envío Menús Agregadores KFC"/>
    <s v="ALTA"/>
    <s v="REGIONAL"/>
    <s v="Integración con Agregadores (Regional)"/>
    <x v="1"/>
    <s v="Argentina"/>
    <x v="40"/>
    <x v="14"/>
    <x v="1"/>
    <s v="No iniciado"/>
    <m/>
    <s v="Q2"/>
    <s v="p38"/>
    <s v="MEDIA"/>
    <n v="0.12"/>
    <n v="1"/>
    <n v="1"/>
    <n v="101428"/>
    <m/>
    <n v="12248.16"/>
    <m/>
    <m/>
    <m/>
    <d v="2024-11-04T00:00:00"/>
    <m/>
    <n v="-45600"/>
    <m/>
    <m/>
    <n v="0"/>
    <m/>
    <d v="2025-01-13T00:00:00"/>
    <d v="2024-11-04T00:00:00"/>
    <d v="2025-01-13T00:00:00"/>
    <n v="2.5"/>
    <n v="45670"/>
    <s v="PROYECTO REGIONAL"/>
    <m/>
    <m/>
  </r>
  <r>
    <s v="2024"/>
    <s v="CANALES DIGITALES"/>
    <s v="Agregadores"/>
    <s v="Integración Directo a Agregadores KFC"/>
    <s v="MXP LEGACY_x000a_MXP 2.0_x000a_"/>
    <s v="Envío Menús Agregadores KFC"/>
    <s v="ALTA"/>
    <s v="REGIONAL"/>
    <s v="Integración con Agregadores (Regional)"/>
    <x v="1"/>
    <s v="Chile"/>
    <x v="40"/>
    <x v="14"/>
    <x v="1"/>
    <s v="No iniciado"/>
    <m/>
    <s v="Q2"/>
    <s v="p38"/>
    <s v="MEDIA"/>
    <n v="0.28999999999999998"/>
    <n v="1"/>
    <n v="1"/>
    <n v="101428"/>
    <m/>
    <n v="29599.719999999998"/>
    <m/>
    <m/>
    <m/>
    <d v="2024-07-15T00:00:00"/>
    <m/>
    <n v="-45488"/>
    <m/>
    <m/>
    <n v="0"/>
    <m/>
    <d v="2024-12-02T00:00:00"/>
    <d v="2024-07-15T00:00:00"/>
    <d v="2024-12-02T00:00:00"/>
    <n v="5"/>
    <n v="45628"/>
    <s v="PROYECTO REGIONAL"/>
    <m/>
    <m/>
  </r>
  <r>
    <s v="2024"/>
    <s v="CANALES DIGITALES"/>
    <s v="Agregadores"/>
    <s v="Integración Directo a Agregadores KFC"/>
    <s v="MXP LEGACY_x000a_MXP 2.0_x000a_"/>
    <s v="Envío Menús Agregadores KFC"/>
    <s v="ALTA"/>
    <s v="REGIONAL"/>
    <s v="Integración con Agregadores (Regional)"/>
    <x v="1"/>
    <s v="Colombia"/>
    <x v="40"/>
    <x v="14"/>
    <x v="1"/>
    <s v="No iniciado"/>
    <m/>
    <s v="Q2"/>
    <s v="p38"/>
    <s v="MEDIA"/>
    <n v="0.27"/>
    <n v="1"/>
    <n v="1"/>
    <n v="101428"/>
    <m/>
    <n v="27558.36"/>
    <m/>
    <m/>
    <m/>
    <d v="2024-05-20T00:00:00"/>
    <m/>
    <n v="-45432"/>
    <m/>
    <m/>
    <n v="0"/>
    <m/>
    <d v="2024-08-26T00:00:00"/>
    <d v="2024-05-20T00:00:00"/>
    <d v="2024-08-26T00:00:00"/>
    <n v="3.5"/>
    <n v="45530"/>
    <s v="PROYECTO REGIONAL"/>
    <m/>
    <m/>
  </r>
  <r>
    <s v="2024"/>
    <s v="CANALES DIGITALES"/>
    <s v="Agregadores"/>
    <s v="Integración Maxpoint con Agregadores (Yummy)"/>
    <s v="MXP LEGACY_x000a_MXP 2.0_x000a_"/>
    <s v="Homologar integración a través de trade.  (Integraccion Agregador Yummy)"/>
    <s v="BAJA"/>
    <s v="LOCAL"/>
    <s v="Funcionalidades Locales"/>
    <x v="1"/>
    <s v="Venezuela"/>
    <x v="33"/>
    <x v="14"/>
    <x v="1"/>
    <s v="No iniciado"/>
    <m/>
    <s v="Q2"/>
    <s v="p45"/>
    <s v="MEDIA"/>
    <m/>
    <n v="2"/>
    <n v="1"/>
    <n v="550"/>
    <m/>
    <n v="1740"/>
    <m/>
    <m/>
    <m/>
    <d v="2024-05-28T00:00:00"/>
    <d v="2024-05-28T00:00:00"/>
    <n v="0"/>
    <d v="2024-05-28T00:00:00"/>
    <d v="2024-06-04T00:00:00"/>
    <n v="363527"/>
    <d v="2024-06-04T00:00:00"/>
    <d v="2024-06-11T00:00:00"/>
    <d v="2024-06-01T00:00:00"/>
    <d v="2024-06-15T00:00:00"/>
    <n v="0.5"/>
    <n v="7"/>
    <m/>
    <m/>
    <m/>
  </r>
  <r>
    <s v="2024"/>
    <s v="CANALES DIGITALES"/>
    <s v="Agregadores"/>
    <s v="Integraciones Automáticas- Agregadores"/>
    <s v="MXP LEGACY_x000a_MXP 2.0_x000a_"/>
    <s v="Compromiso Matriz Regional  (Argentina)_x000a_- + Justo​+Trade"/>
    <s v="MEDIA"/>
    <s v="REGIONAL"/>
    <s v="Funcionalidades Regionales"/>
    <x v="1"/>
    <s v="Argentina"/>
    <x v="20"/>
    <x v="14"/>
    <x v="1"/>
    <s v="No iniciado"/>
    <m/>
    <s v="Q2"/>
    <s v="p39"/>
    <s v="MEDIA"/>
    <n v="1"/>
    <n v="4"/>
    <n v="1"/>
    <n v="550"/>
    <m/>
    <n v="2840"/>
    <m/>
    <m/>
    <m/>
    <d v="2024-05-13T00:00:00"/>
    <d v="2024-05-27T00:00:00"/>
    <n v="14"/>
    <d v="2024-05-27T00:00:00"/>
    <d v="2024-06-03T00:00:00"/>
    <n v="363519"/>
    <d v="2024-06-03T00:00:00"/>
    <d v="2024-06-10T00:00:00"/>
    <d v="2024-06-01T00:00:00"/>
    <d v="2024-06-29T00:00:00"/>
    <n v="1"/>
    <n v="7"/>
    <s v="PROYECTO REGIONAL"/>
    <m/>
    <m/>
  </r>
  <r>
    <s v="2024"/>
    <s v="CANALES DIGITALES"/>
    <s v="API Inyección v3"/>
    <s v="Integraciones Automáticas- Agregadores"/>
    <s v="MXP LEGACY_x000a_TRADE"/>
    <s v="Compromiso Matriz Regional  (Colombia)_x000a_ - + TicTuk + Trade​"/>
    <s v="MEDIA"/>
    <s v="REGIONAL"/>
    <s v="Funcionalidades Regionales"/>
    <x v="1"/>
    <s v="Colombia"/>
    <x v="20"/>
    <x v="14"/>
    <x v="1"/>
    <s v="En curso"/>
    <m/>
    <s v="Q2"/>
    <m/>
    <s v="MEDIA"/>
    <n v="1"/>
    <n v="2"/>
    <n v="1"/>
    <n v="550"/>
    <m/>
    <n v="1740"/>
    <m/>
    <m/>
    <m/>
    <d v="2024-05-13T00:00:00"/>
    <d v="2024-05-13T00:00:00"/>
    <n v="0"/>
    <d v="2024-05-13T00:00:00"/>
    <d v="2024-05-20T00:00:00"/>
    <n v="363407"/>
    <d v="2024-05-20T00:00:00"/>
    <d v="2024-05-27T00:00:00"/>
    <d v="2024-05-01T00:00:00"/>
    <d v="2024-05-15T00:00:00"/>
    <n v="0.5"/>
    <n v="7"/>
    <s v="PROYECTO REGIONAL"/>
    <m/>
    <m/>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Venezuela"/>
    <x v="20"/>
    <x v="14"/>
    <x v="1"/>
    <s v="No iniciado"/>
    <m/>
    <s v="Q1"/>
    <m/>
    <s v="MEDIA"/>
    <n v="1"/>
    <n v="4"/>
    <n v="1"/>
    <n v="550"/>
    <m/>
    <n v="2840"/>
    <m/>
    <m/>
    <m/>
    <d v="2024-03-04T00:00:00"/>
    <d v="2024-04-01T00:00:00"/>
    <n v="28"/>
    <d v="2024-04-01T00:00:00"/>
    <d v="2024-04-08T00:00:00"/>
    <n v="363071"/>
    <d v="2024-04-08T00:00:00"/>
    <d v="2024-04-15T00:00:00"/>
    <d v="2024-08-01T00:00:00"/>
    <d v="2024-08-29T00:00:00"/>
    <n v="1"/>
    <n v="7"/>
    <m/>
    <m/>
    <s v="x"/>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Colombia"/>
    <x v="20"/>
    <x v="14"/>
    <x v="1"/>
    <s v="No iniciado"/>
    <s v="Q1"/>
    <s v="Q1"/>
    <m/>
    <s v="MEDIA"/>
    <n v="1"/>
    <n v="12"/>
    <n v="1"/>
    <n v="550"/>
    <m/>
    <n v="7240"/>
    <m/>
    <m/>
    <m/>
    <d v="2024-03-04T00:00:00"/>
    <d v="2024-04-29T00:00:00"/>
    <n v="56"/>
    <d v="2024-04-29T00:00:00"/>
    <d v="2024-05-13T00:00:00"/>
    <n v="363302"/>
    <d v="2024-05-13T00:00:00"/>
    <d v="2024-05-27T00:00:00"/>
    <d v="2024-07-01T00:00:00"/>
    <d v="2024-09-23T00:00:00"/>
    <n v="3"/>
    <n v="14"/>
    <s v="PROYECTO REGIONAL"/>
    <m/>
    <s v="x"/>
  </r>
  <r>
    <s v="2024"/>
    <s v="CANALES DIGITALES"/>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x v="1"/>
    <s v="Ecuador"/>
    <x v="20"/>
    <x v="14"/>
    <x v="1"/>
    <s v="No iniciado"/>
    <s v="Q1"/>
    <s v="Q1"/>
    <m/>
    <s v="MEDIA"/>
    <n v="1"/>
    <n v="6"/>
    <n v="1"/>
    <n v="550"/>
    <m/>
    <n v="3940"/>
    <m/>
    <m/>
    <m/>
    <d v="2024-03-04T00:00:00"/>
    <d v="2024-03-18T00:00:00"/>
    <n v="14"/>
    <d v="2024-03-18T00:00:00"/>
    <d v="2024-03-25T00:00:00"/>
    <n v="362959"/>
    <d v="2024-03-25T00:00:00"/>
    <d v="2024-04-08T00:00:00"/>
    <d v="2024-07-01T00:00:00"/>
    <d v="2024-08-12T00:00:00"/>
    <n v="1.5"/>
    <n v="14"/>
    <s v="PROYECTO REGIONAL"/>
    <m/>
    <s v="x"/>
  </r>
  <r>
    <s v="2024"/>
    <s v="CANALES DIGITALES"/>
    <s v="Kioscos"/>
    <s v="Kioskos (KFC, WENDYS)"/>
    <s v="MXP LEGACY_x000a_TRADE"/>
    <s v="Implementación de kioskos en todas las tiendas KFC "/>
    <s v="MEDIA"/>
    <s v="REGIONAL"/>
    <s v="Funcionalidades Regionales"/>
    <x v="1"/>
    <s v="Argentina"/>
    <x v="41"/>
    <x v="14"/>
    <x v="1"/>
    <s v="En curso"/>
    <s v="Q1"/>
    <s v="Q2"/>
    <s v="p32"/>
    <s v="MEDIA"/>
    <n v="1"/>
    <n v="8"/>
    <n v="1"/>
    <n v="550"/>
    <m/>
    <n v="5040"/>
    <m/>
    <m/>
    <m/>
    <d v="2024-03-18T00:00:00"/>
    <d v="2024-04-15T00:00:00"/>
    <n v="28"/>
    <d v="2024-04-15T00:00:00"/>
    <d v="2024-04-29T00:00:00"/>
    <n v="363190"/>
    <d v="2024-04-29T00:00:00"/>
    <d v="2024-05-13T00:00:00"/>
    <d v="2024-05-01T00:00:00"/>
    <d v="2024-06-26T00:00:00"/>
    <n v="2"/>
    <n v="14"/>
    <s v="PROYECTO REGIONAL"/>
    <m/>
    <s v="x"/>
  </r>
  <r>
    <s v="2024"/>
    <s v="CANALES DIGITALES"/>
    <s v="Kioscos"/>
    <s v="Kioskos (KFC, WENDYS)"/>
    <s v="MXP LEGACY_x000a_TRADE"/>
    <s v="Implementación de kioskos en todas las tiendas Wendys"/>
    <s v="MEDIA"/>
    <s v="REGIONAL"/>
    <s v="Funcionalidades Regionales"/>
    <x v="1"/>
    <s v="Argentina"/>
    <x v="41"/>
    <x v="14"/>
    <x v="1"/>
    <s v="No iniciado"/>
    <m/>
    <s v="Q2"/>
    <s v="p35"/>
    <s v="MEDIA"/>
    <n v="1"/>
    <n v="8"/>
    <n v="2"/>
    <n v="550"/>
    <m/>
    <n v="9440"/>
    <m/>
    <m/>
    <m/>
    <d v="2024-03-18T00:00:00"/>
    <d v="2024-04-15T00:00:00"/>
    <n v="28"/>
    <d v="2024-04-15T00:00:00"/>
    <d v="2024-04-29T00:00:00"/>
    <n v="363190"/>
    <d v="2024-04-29T00:00:00"/>
    <d v="2024-05-13T00:00:00"/>
    <d v="2024-05-01T00:00:00"/>
    <d v="2024-06-26T00:00:00"/>
    <n v="2"/>
    <n v="14"/>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Colombia"/>
    <x v="35"/>
    <x v="14"/>
    <x v="1"/>
    <s v="Finalizado"/>
    <s v="Q1"/>
    <s v="Q1"/>
    <s v="p33"/>
    <s v="MEDIA"/>
    <n v="1"/>
    <n v="2"/>
    <n v="1"/>
    <n v="550"/>
    <m/>
    <n v="1260"/>
    <m/>
    <m/>
    <m/>
    <d v="2024-03-04T00:00:00"/>
    <d v="2024-04-01T00:00:00"/>
    <n v="28"/>
    <d v="2024-04-01T00:00:00"/>
    <d v="2024-04-08T00:00:00"/>
    <n v="363071"/>
    <d v="2024-04-08T00:00:00"/>
    <d v="2024-05-31T00:00:00"/>
    <d v="2024-04-01T00:00:00"/>
    <d v="2024-04-15T00:00:00"/>
    <n v="0.5"/>
    <n v="53"/>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Chile"/>
    <x v="35"/>
    <x v="14"/>
    <x v="1"/>
    <s v="No iniciado"/>
    <s v="Q1"/>
    <s v="Q1"/>
    <s v="p33"/>
    <s v="MEDIA"/>
    <n v="1"/>
    <n v="2"/>
    <n v="1"/>
    <n v="550"/>
    <m/>
    <n v="1260"/>
    <m/>
    <m/>
    <m/>
    <d v="2024-03-04T00:00:00"/>
    <d v="2024-04-01T00:00:00"/>
    <n v="28"/>
    <d v="2024-04-01T00:00:00"/>
    <d v="2024-04-08T00:00:00"/>
    <n v="363071"/>
    <d v="2024-04-08T00:00:00"/>
    <d v="2024-05-31T00:00:00"/>
    <d v="2024-05-01T00:00:00"/>
    <d v="2024-05-15T00:00:00"/>
    <n v="0.5"/>
    <n v="53"/>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Venezuela"/>
    <x v="35"/>
    <x v="14"/>
    <x v="1"/>
    <s v="En curso"/>
    <s v="Q1"/>
    <s v="Q1"/>
    <s v="p33"/>
    <s v="MEDIA"/>
    <n v="1"/>
    <n v="2"/>
    <n v="1"/>
    <n v="550"/>
    <m/>
    <n v="1260"/>
    <m/>
    <m/>
    <m/>
    <d v="2024-03-04T00:00:00"/>
    <d v="2024-04-01T00:00:00"/>
    <n v="28"/>
    <d v="2024-04-01T00:00:00"/>
    <d v="2024-04-08T00:00:00"/>
    <n v="363071"/>
    <d v="2024-04-08T00:00:00"/>
    <d v="2024-05-31T00:00:00"/>
    <d v="2024-04-01T00:00:00"/>
    <d v="2024-04-15T00:00:00"/>
    <n v="0.5"/>
    <n v="53"/>
    <s v="PROYECTO REGIONAL"/>
    <m/>
    <s v="x"/>
  </r>
  <r>
    <s v="2024"/>
    <s v="CANALES DIGITALES"/>
    <s v="Cupones"/>
    <s v="Cupones QR - Cupones por horario"/>
    <s v="MXP LEGACY_x000a_TRADE"/>
    <s v="Compromiso Matriz Regional  (Argentina)_x000a_Integrar las pantallas del backoffice de Mxp_x000a_"/>
    <s v="ALTA"/>
    <s v="REGIONAL"/>
    <s v="Funcionalidades Regionales"/>
    <x v="1"/>
    <s v="Argentina"/>
    <x v="35"/>
    <x v="14"/>
    <x v="1"/>
    <s v="No iniciado"/>
    <s v="Q1"/>
    <s v="Q1"/>
    <s v="p33"/>
    <s v="MEDIA"/>
    <n v="1"/>
    <n v="2"/>
    <n v="1"/>
    <n v="550"/>
    <m/>
    <n v="1260"/>
    <m/>
    <m/>
    <m/>
    <d v="2024-03-04T00:00:00"/>
    <d v="2024-04-01T00:00:00"/>
    <n v="28"/>
    <d v="2024-04-01T00:00:00"/>
    <d v="2024-04-08T00:00:00"/>
    <n v="363071"/>
    <d v="2024-04-08T00:00:00"/>
    <d v="2024-05-31T00:00:00"/>
    <d v="2024-05-01T00:00:00"/>
    <d v="2024-05-15T00:00:00"/>
    <n v="0.5"/>
    <n v="53"/>
    <s v="PROYECTO REGIONAL"/>
    <m/>
    <s v="x"/>
  </r>
  <r>
    <s v="2023"/>
    <s v="MXP LEGACY"/>
    <m/>
    <s v="LOPDP - Adaptación del proceso de cupones app a la master data de clientes"/>
    <m/>
    <m/>
    <m/>
    <m/>
    <m/>
    <x v="1"/>
    <s v="Ecuador"/>
    <x v="9"/>
    <x v="14"/>
    <x v="1"/>
    <m/>
    <m/>
    <s v="Q1"/>
    <m/>
    <s v="BAJA"/>
    <m/>
    <m/>
    <m/>
    <m/>
    <m/>
    <m/>
    <m/>
    <m/>
    <m/>
    <m/>
    <m/>
    <e v="#REF!"/>
    <m/>
    <m/>
    <d v="1899-12-30T00:00:00"/>
    <m/>
    <m/>
    <d v="1899-12-30T00:00:00"/>
    <d v="1899-12-30T00:00:00"/>
    <n v="0"/>
    <n v="0"/>
    <m/>
    <m/>
    <m/>
  </r>
  <r>
    <s v="2023"/>
    <s v="MXP LEGACY"/>
    <m/>
    <s v="LOPDP - Adaptación del proceso de motorizados a la master data de clientes"/>
    <m/>
    <m/>
    <m/>
    <m/>
    <m/>
    <x v="1"/>
    <s v="Ecuador"/>
    <x v="9"/>
    <x v="14"/>
    <x v="1"/>
    <m/>
    <m/>
    <s v="Q1"/>
    <m/>
    <s v="BAJA"/>
    <m/>
    <m/>
    <m/>
    <m/>
    <m/>
    <m/>
    <m/>
    <m/>
    <m/>
    <m/>
    <m/>
    <e v="#REF!"/>
    <m/>
    <m/>
    <d v="1899-12-30T00:00:00"/>
    <m/>
    <m/>
    <d v="1899-12-30T00:00:00"/>
    <d v="1899-12-30T00:00:00"/>
    <n v="0"/>
    <n v="0"/>
    <m/>
    <m/>
    <m/>
  </r>
  <r>
    <s v="2024"/>
    <s v="SIR"/>
    <m/>
    <s v="Mantenimiento"/>
    <m/>
    <m/>
    <m/>
    <m/>
    <s v="Mantenimiento"/>
    <x v="1"/>
    <s v="Ecuador"/>
    <x v="9"/>
    <x v="14"/>
    <x v="1"/>
    <m/>
    <m/>
    <s v="Q4"/>
    <m/>
    <m/>
    <m/>
    <n v="40"/>
    <n v="1"/>
    <n v="190"/>
    <m/>
    <n v="8240"/>
    <m/>
    <m/>
    <m/>
    <d v="2024-03-01T00:00:00"/>
    <d v="2024-12-31T00:00:00"/>
    <e v="#REF!"/>
    <m/>
    <m/>
    <d v="1899-12-30T00:00:00"/>
    <m/>
    <m/>
    <d v="2024-03-01T00:00:00"/>
    <d v="1899-12-30T00:00:00"/>
    <n v="10"/>
    <n v="0"/>
    <m/>
    <m/>
    <m/>
  </r>
  <r>
    <s v="2024"/>
    <s v="MXP LEGACY"/>
    <m/>
    <s v="Mantenimiento Legacy Ecuador 2024"/>
    <m/>
    <s v="Ver Anexo A3"/>
    <m/>
    <m/>
    <s v="Mantenimiento"/>
    <x v="1"/>
    <s v="Ecuador"/>
    <x v="42"/>
    <x v="14"/>
    <x v="1"/>
    <s v="No iniciado"/>
    <m/>
    <s v="Q2"/>
    <m/>
    <s v="ALTA"/>
    <n v="1"/>
    <n v="20"/>
    <n v="8"/>
    <n v="550"/>
    <m/>
    <n v="88560"/>
    <m/>
    <m/>
    <m/>
    <d v="2024-06-15T00:00:00"/>
    <d v="2024-07-06T00:00:00"/>
    <d v="2024-07-07T00:00:00"/>
    <d v="2024-07-21T00:00:00"/>
    <d v="2024-07-22T00:00:00"/>
    <d v="2024-08-05T00:00:00"/>
    <d v="2024-03-10T00:00:00"/>
    <d v="2024-12-31T00:00:00"/>
    <d v="2024-06-15T00:00:00"/>
    <d v="2024-12-31T00:00:00"/>
    <n v="5"/>
    <n v="296"/>
    <s v="Identificado Grupo de Soporte"/>
    <m/>
    <m/>
  </r>
  <r>
    <s v="2024"/>
    <s v="MXP LEGACY"/>
    <m/>
    <s v="Mantenimiento Maxpoint"/>
    <m/>
    <s v="Correcciones y mejoras en MaxPoint"/>
    <m/>
    <s v="LOCAL"/>
    <s v="Mantenimiento"/>
    <x v="1"/>
    <s v="Venezuela"/>
    <x v="33"/>
    <x v="17"/>
    <x v="1"/>
    <s v="En curso"/>
    <m/>
    <s v="Q1"/>
    <m/>
    <s v="ALTA"/>
    <n v="1"/>
    <n v="8"/>
    <n v="3"/>
    <n v="550"/>
    <m/>
    <n v="13200"/>
    <m/>
    <m/>
    <m/>
    <d v="2024-01-01T00:00:00"/>
    <d v="2024-03-14T00:00:00"/>
    <e v="#REF!"/>
    <d v="2024-03-18T00:00:00"/>
    <d v="2024-03-22T00:00:00"/>
    <d v="2893-09-25T00:00:00"/>
    <d v="2024-03-25T00:00:00"/>
    <d v="2024-03-27T00:00:00"/>
    <d v="2024-01-01T00:00:00"/>
    <d v="2024-03-27T00:00:00"/>
    <n v="2"/>
    <n v="2"/>
    <m/>
    <m/>
    <m/>
  </r>
  <r>
    <s v="2024"/>
    <s v="MXP LEGACY"/>
    <m/>
    <s v="Mantenimiento Maxpoint"/>
    <m/>
    <s v="Mejoras y corrección bugs"/>
    <m/>
    <s v="LOCAL"/>
    <s v="Mantenimiento"/>
    <x v="1"/>
    <s v="Argentina"/>
    <x v="41"/>
    <x v="20"/>
    <x v="1"/>
    <s v="En curso"/>
    <m/>
    <s v="Q1"/>
    <m/>
    <s v="MEDIA"/>
    <n v="1"/>
    <n v="8"/>
    <n v="3"/>
    <n v="550"/>
    <m/>
    <n v="13200"/>
    <m/>
    <m/>
    <m/>
    <d v="2024-01-01T00:00:00"/>
    <d v="2024-04-12T00:00:00"/>
    <e v="#REF!"/>
    <d v="2024-04-15T00:00:00"/>
    <d v="2024-04-19T00:00:00"/>
    <d v="2894-05-07T00:00:00"/>
    <d v="2024-04-22T00:00:00"/>
    <d v="2024-04-26T00:00:00"/>
    <d v="2024-01-01T00:00:00"/>
    <d v="2024-04-26T00:00:00"/>
    <n v="2"/>
    <n v="4"/>
    <m/>
    <m/>
    <m/>
  </r>
  <r>
    <s v="2024"/>
    <s v="MXP LEGACY"/>
    <m/>
    <s v="Mantenimiento MaxPoint"/>
    <m/>
    <s v="Mantenimiento y remediaciones en MaxPoint"/>
    <m/>
    <s v="LOCAL"/>
    <s v="Mantenimiento"/>
    <x v="1"/>
    <s v="Colombia"/>
    <x v="34"/>
    <x v="18"/>
    <x v="1"/>
    <s v="En curso"/>
    <m/>
    <s v="Q1"/>
    <m/>
    <s v="ALTA"/>
    <n v="1"/>
    <n v="8"/>
    <n v="3"/>
    <n v="625"/>
    <m/>
    <n v="15000"/>
    <m/>
    <m/>
    <m/>
    <d v="2024-01-01T00:00:00"/>
    <d v="2024-02-15T00:00:00"/>
    <e v="#REF!"/>
    <d v="2024-02-04T00:00:00"/>
    <d v="2024-02-09T00:00:00"/>
    <d v="2892-10-17T00:00:00"/>
    <d v="2024-02-11T00:00:00"/>
    <d v="2024-02-15T00:00:00"/>
    <d v="2024-01-01T00:00:00"/>
    <d v="2024-02-15T00:00:00"/>
    <n v="2"/>
    <n v="4"/>
    <m/>
    <m/>
    <m/>
  </r>
  <r>
    <s v="2024"/>
    <s v="MXP LEGACY"/>
    <m/>
    <s v="Maxpoint Delivery CW"/>
    <m/>
    <s v="Terminar implementación y corrección de bug"/>
    <m/>
    <s v="LOCAL"/>
    <s v="Mantenimiento"/>
    <x v="1"/>
    <s v="Chile"/>
    <x v="36"/>
    <x v="19"/>
    <x v="1"/>
    <s v="En curso"/>
    <m/>
    <s v="Q1"/>
    <s v="Dependencia estabilización en KFC"/>
    <s v="ALTA"/>
    <n v="1"/>
    <n v="1"/>
    <n v="2"/>
    <n v="625"/>
    <m/>
    <n v="1250"/>
    <m/>
    <m/>
    <m/>
    <d v="2024-03-04T00:00:00"/>
    <d v="2024-03-08T00:00:00"/>
    <e v="#REF!"/>
    <d v="2024-03-11T00:00:00"/>
    <d v="2024-03-15T00:00:00"/>
    <d v="2893-07-31T00:00:00"/>
    <d v="2024-03-18T00:00:00"/>
    <d v="2024-03-22T00:00:00"/>
    <d v="2024-03-04T00:00:00"/>
    <d v="2024-03-22T00:00:00"/>
    <n v="0.25"/>
    <n v="4"/>
    <m/>
    <m/>
    <m/>
  </r>
  <r>
    <s v="2024"/>
    <s v="SIR"/>
    <m/>
    <s v="Mayores Contables por Cco"/>
    <m/>
    <s v="Alcance presupuesto anterior mejoras contabilidad- pedido equipo ERP"/>
    <m/>
    <s v="LOCAL"/>
    <s v="Mantenimiento"/>
    <x v="1"/>
    <s v="Ecuador"/>
    <x v="43"/>
    <x v="14"/>
    <x v="0"/>
    <s v="Iniciado "/>
    <m/>
    <s v="Q2"/>
    <m/>
    <s v="BAJA"/>
    <m/>
    <n v="2"/>
    <n v="2"/>
    <n v="400"/>
    <m/>
    <n v="2240"/>
    <m/>
    <m/>
    <n v="2"/>
    <d v="2024-04-29T00:00:00"/>
    <m/>
    <e v="#REF!"/>
    <m/>
    <m/>
    <d v="1899-12-30T00:00:00"/>
    <d v="2024-05-28T00:00:00"/>
    <m/>
    <d v="2024-04-29T00:00:00"/>
    <d v="1899-12-30T00:00:00"/>
    <n v="0.5"/>
    <n v="-45440"/>
    <m/>
    <m/>
    <m/>
  </r>
  <r>
    <s v="2024"/>
    <s v="CANALES DIGITALES"/>
    <s v="Cupones"/>
    <s v="Cupones QR - Empresariales"/>
    <s v="MXP LEGACY_x000a_TRADE"/>
    <s v="Compromiso Matriz Regional  (Ecuador) (api v3 cupones)"/>
    <s v="MEDIA"/>
    <s v="REGIONAL"/>
    <s v="Funcionalidades Regionales"/>
    <x v="1"/>
    <s v="Ecuador"/>
    <x v="35"/>
    <x v="14"/>
    <x v="1"/>
    <s v="No iniciado"/>
    <m/>
    <s v="Q2"/>
    <s v="P37"/>
    <s v="MEDIA"/>
    <n v="1"/>
    <n v="2"/>
    <n v="1"/>
    <n v="550"/>
    <m/>
    <n v="1420"/>
    <m/>
    <m/>
    <m/>
    <d v="2024-04-01T00:00:00"/>
    <d v="2024-04-15T00:00:00"/>
    <n v="14"/>
    <d v="2024-04-15T00:00:00"/>
    <d v="2024-04-22T00:00:00"/>
    <n v="363183"/>
    <d v="2024-04-22T00:00:00"/>
    <d v="2025-01-31T00:00:00"/>
    <d v="2024-07-01T00:00:00"/>
    <d v="2024-07-15T00:00:00"/>
    <n v="0.5"/>
    <n v="284"/>
    <s v="PROYECTO REGIONAL"/>
    <m/>
    <m/>
  </r>
  <r>
    <s v="2024"/>
    <s v="SISTEMAS INTERNOS"/>
    <m/>
    <s v="Migración de Aplicativo de Reclutamiento a AKS"/>
    <m/>
    <s v="Coordinar en un AKS"/>
    <m/>
    <s v="LOCAL"/>
    <s v="Funcionalidades Locales"/>
    <x v="1"/>
    <s v="Venezuela"/>
    <x v="33"/>
    <x v="17"/>
    <x v="1"/>
    <s v="No iniciado"/>
    <m/>
    <s v="Q2"/>
    <m/>
    <s v="BAJA"/>
    <n v="1"/>
    <n v="2"/>
    <n v="1"/>
    <n v="550"/>
    <m/>
    <n v="1740"/>
    <m/>
    <m/>
    <m/>
    <d v="2024-04-01T00:00:00"/>
    <d v="2024-04-07T00:00:00"/>
    <e v="#REF!"/>
    <d v="2024-04-07T00:00:00"/>
    <d v="2024-04-10T00:00:00"/>
    <d v="2894-03-03T00:00:00"/>
    <d v="2024-04-10T00:00:00"/>
    <d v="2024-04-14T00:00:00"/>
    <d v="2024-04-01T00:00:00"/>
    <d v="2024-04-14T00:00:00"/>
    <n v="0.5"/>
    <n v="4"/>
    <m/>
    <m/>
    <m/>
  </r>
  <r>
    <n v="2024"/>
    <s v="ERP"/>
    <m/>
    <s v="Migración Plataforma B2b a Genexus"/>
    <m/>
    <s v="Migrar plataforma B2B a Genexus"/>
    <m/>
    <s v="LOCAL"/>
    <s v="Mejoras B2B - Finanzas"/>
    <x v="1"/>
    <s v="Colombia"/>
    <x v="9"/>
    <x v="18"/>
    <x v="1"/>
    <s v="En curso"/>
    <s v="Q2"/>
    <s v="Q3"/>
    <m/>
    <s v="MEDIA"/>
    <n v="0.15"/>
    <n v="4"/>
    <n v="1"/>
    <n v="1600"/>
    <m/>
    <n v="960"/>
    <m/>
    <m/>
    <m/>
    <m/>
    <m/>
    <m/>
    <m/>
    <m/>
    <m/>
    <m/>
    <m/>
    <d v="1899-12-30T00:00:00"/>
    <d v="1899-12-30T00:00:00"/>
    <n v="1"/>
    <m/>
    <m/>
    <m/>
    <m/>
  </r>
  <r>
    <n v="2024"/>
    <s v="ERP"/>
    <m/>
    <s v="Migración Plataforma B2b a Genexus"/>
    <m/>
    <s v="Migrar plataforma B2B a Genexus"/>
    <m/>
    <s v="LOCAL"/>
    <s v="Mejoras B2B - Finanzas"/>
    <x v="1"/>
    <s v="Chile"/>
    <x v="9"/>
    <x v="19"/>
    <x v="1"/>
    <s v="En curso"/>
    <s v="Q2"/>
    <s v="Q3"/>
    <m/>
    <s v="MEDIA"/>
    <n v="0.05"/>
    <n v="4"/>
    <n v="1"/>
    <n v="1600"/>
    <m/>
    <n v="320"/>
    <m/>
    <m/>
    <m/>
    <m/>
    <m/>
    <m/>
    <m/>
    <m/>
    <m/>
    <m/>
    <m/>
    <d v="1899-12-30T00:00:00"/>
    <d v="1899-12-30T00:00:00"/>
    <n v="1"/>
    <m/>
    <m/>
    <m/>
    <m/>
  </r>
  <r>
    <s v="2024"/>
    <s v="CANALES DIGITALES"/>
    <s v="Motorizado Delivery"/>
    <s v="Monitor de Pedidos Motorizados DY Propios"/>
    <s v="MXP LEGACY_x000a_TRADE"/>
    <s v="Nuevo Requerimiento"/>
    <s v="MEDIA"/>
    <s v="LOCAL"/>
    <s v="Funcionalidades Locales"/>
    <x v="1"/>
    <s v="Chile"/>
    <x v="36"/>
    <x v="14"/>
    <x v="1"/>
    <s v="No iniciado"/>
    <m/>
    <s v="Q4"/>
    <s v="p77"/>
    <s v="MEDIA"/>
    <m/>
    <n v="9"/>
    <n v="1"/>
    <n v="550"/>
    <m/>
    <n v="5590"/>
    <m/>
    <m/>
    <m/>
    <d v="2024-10-14T00:00:00"/>
    <d v="2024-11-11T00:00:00"/>
    <n v="28"/>
    <d v="2024-11-11T00:00:00"/>
    <d v="2024-11-25T00:00:00"/>
    <n v="364870"/>
    <d v="2024-11-25T00:00:00"/>
    <d v="2024-12-16T00:00:00"/>
    <d v="2024-10-01T00:00:00"/>
    <d v="2024-12-03T00:00:00"/>
    <n v="2.25"/>
    <n v="21"/>
    <s v="Contexto."/>
    <m/>
    <m/>
  </r>
  <r>
    <s v="2024"/>
    <s v="CANALES DIGITALES"/>
    <s v="Multinube"/>
    <s v="Multinube para pedidos de domicilio"/>
    <m/>
    <s v="Implmentación de redundancia en servicio de nube de Google"/>
    <s v="BAJA"/>
    <s v="LOCAL"/>
    <s v="Funcionalidades Locales"/>
    <x v="1"/>
    <s v="Colombia"/>
    <x v="34"/>
    <x v="14"/>
    <x v="1"/>
    <s v="No iniciado"/>
    <m/>
    <s v="Q1"/>
    <s v="p31"/>
    <s v="MEDIA"/>
    <m/>
    <n v="2"/>
    <n v="1"/>
    <n v="550"/>
    <m/>
    <n v="1740"/>
    <m/>
    <m/>
    <m/>
    <d v="2024-03-04T00:00:00"/>
    <d v="2024-03-11T00:00:00"/>
    <n v="7"/>
    <d v="2024-03-11T00:00:00"/>
    <d v="2024-03-18T00:00:00"/>
    <n v="362903"/>
    <d v="2024-03-18T00:00:00"/>
    <d v="2024-03-18T00:00:00"/>
    <d v="2024-06-01T00:00:00"/>
    <d v="2024-06-15T00:00:00"/>
    <n v="0.5"/>
    <n v="0"/>
    <m/>
    <m/>
    <m/>
  </r>
  <r>
    <s v="2023"/>
    <s v="MXP LEGACY"/>
    <m/>
    <s v="Mxp - Impresión v2.1 NETCORE"/>
    <m/>
    <s v="Compromiso Matriz Regional  (Ecuador, Colombia, Chile y Argentina)"/>
    <m/>
    <m/>
    <s v="Pendientes Matriz Regional 2023"/>
    <x v="1"/>
    <s v="Ecuador"/>
    <x v="44"/>
    <x v="14"/>
    <x v="1"/>
    <s v="Finalizado"/>
    <m/>
    <s v="Q1"/>
    <m/>
    <s v="BAJA"/>
    <m/>
    <m/>
    <m/>
    <m/>
    <m/>
    <n v="580"/>
    <m/>
    <m/>
    <m/>
    <m/>
    <m/>
    <m/>
    <m/>
    <m/>
    <d v="1899-12-30T00:00:00"/>
    <m/>
    <m/>
    <d v="1899-12-30T00:00:00"/>
    <d v="1899-12-30T00:00:00"/>
    <n v="0"/>
    <n v="0"/>
    <s v="PROYECTO REGIONAL"/>
    <m/>
    <m/>
  </r>
  <r>
    <s v="2024"/>
    <s v="CANALES DIGITALES"/>
    <s v="Cupones"/>
    <s v="Cupones QR - Empresariales"/>
    <s v="MXP LEGACY_x000a_TRADE"/>
    <s v="Compromiso Matriz Regional  (Argentina) (api v3 cupones)"/>
    <s v="MEDIA"/>
    <s v="REGIONAL"/>
    <s v="Funcionalidades Regionales"/>
    <x v="1"/>
    <s v="Argentina"/>
    <x v="35"/>
    <x v="14"/>
    <x v="1"/>
    <s v="En curso"/>
    <m/>
    <s v="Q2"/>
    <s v="P37"/>
    <s v="MEDIA"/>
    <n v="1"/>
    <n v="2"/>
    <n v="1"/>
    <n v="550"/>
    <m/>
    <n v="1420"/>
    <m/>
    <m/>
    <m/>
    <d v="2024-04-01T00:00:00"/>
    <d v="2024-04-15T00:00:00"/>
    <n v="14"/>
    <d v="2024-04-15T00:00:00"/>
    <d v="2024-04-22T00:00:00"/>
    <n v="363183"/>
    <d v="2024-04-22T00:00:00"/>
    <d v="2025-01-31T00:00:00"/>
    <d v="2024-08-01T00:00:00"/>
    <d v="2024-08-15T00:00:00"/>
    <n v="0.5"/>
    <n v="284"/>
    <s v="PROYECTO REGIONAL"/>
    <m/>
    <m/>
  </r>
  <r>
    <s v="2024"/>
    <s v="CANALES DIGITALES"/>
    <s v="Cupones"/>
    <s v="Cupones QR - V3 Centralizada (App KFC) "/>
    <s v="MXP LEGACY_x000a_TRADE"/>
    <s v="Compromiso Matriz Regional  ( venezuela)"/>
    <s v="MEDIA"/>
    <s v="REGIONAL"/>
    <s v="Funcionalidades Regionales"/>
    <x v="1"/>
    <s v="Venezuela"/>
    <x v="35"/>
    <x v="14"/>
    <x v="1"/>
    <s v="No iniciado"/>
    <m/>
    <s v="Q1"/>
    <m/>
    <s v="MEDIA"/>
    <n v="1"/>
    <n v="6"/>
    <n v="1"/>
    <n v="550"/>
    <m/>
    <n v="3940"/>
    <m/>
    <m/>
    <m/>
    <d v="2024-03-04T00:00:00"/>
    <d v="2024-04-01T00:00:00"/>
    <n v="28"/>
    <d v="2024-04-01T00:00:00"/>
    <d v="2024-04-08T00:00:00"/>
    <n v="363071"/>
    <d v="2024-04-08T00:00:00"/>
    <d v="2025-01-31T00:00:00"/>
    <d v="2024-06-01T00:00:00"/>
    <d v="2024-07-13T00:00:00"/>
    <n v="1.5"/>
    <n v="298"/>
    <s v="PROYECTO REGIONAL"/>
    <m/>
    <m/>
  </r>
  <r>
    <s v="2024"/>
    <s v="CANALES DIGITALES"/>
    <s v="DragonTail"/>
    <s v="Mxp Delivery - Dragon Tail"/>
    <s v="MXP LEGACY_x000a_MXP 2.0"/>
    <s v="Mxp Delivery - Dragon Tail (Integración)_x000a_Compromiso Matriz Regional  (Venezuela, Ecuador, Chile, Colombia y Argentina)   _x000a_Implementación de KDS en el counter con dragontale para todos los pedido, envío de tracking ID."/>
    <s v="ALTA"/>
    <s v="REGIONAL"/>
    <s v="Proyectos TD 2024"/>
    <x v="1"/>
    <s v="Chile"/>
    <x v="35"/>
    <x v="14"/>
    <x v="1"/>
    <s v="No iniciado"/>
    <m/>
    <s v="Q4"/>
    <s v="p8"/>
    <s v="ALTA"/>
    <n v="1"/>
    <n v="15"/>
    <n v="1"/>
    <n v="550"/>
    <m/>
    <n v="8890"/>
    <m/>
    <m/>
    <m/>
    <d v="2024-10-07T00:00:00"/>
    <d v="2024-11-04T00:00:00"/>
    <n v="28"/>
    <d v="2024-11-04T00:00:00"/>
    <d v="2024-11-18T00:00:00"/>
    <n v="364814"/>
    <d v="2024-11-18T00:00:00"/>
    <d v="2024-12-09T00:00:00"/>
    <d v="2024-10-01T00:00:00"/>
    <d v="2025-01-14T00:00:00"/>
    <n v="3.75"/>
    <n v="21"/>
    <s v="PROYECTO REGIONAL"/>
    <m/>
    <m/>
  </r>
  <r>
    <s v="2024"/>
    <s v="CANALES DIGITALES"/>
    <s v="Agregadores"/>
    <s v="Integración Directo a Agregadores KFC"/>
    <s v="MXP LEGACY_x000a_MXP 2.0_x000a_"/>
    <s v="Envío Menús Agregadores KFC"/>
    <s v="ALTA"/>
    <s v="REGIONAL"/>
    <s v="Integración con Agregadores (Regional)"/>
    <x v="1"/>
    <s v="Ecuador"/>
    <x v="40"/>
    <x v="14"/>
    <x v="1"/>
    <s v="En curso"/>
    <m/>
    <s v="Q2"/>
    <s v="p38"/>
    <s v="MEDIA"/>
    <n v="0.28999999999999998"/>
    <n v="1"/>
    <n v="1"/>
    <n v="101428"/>
    <m/>
    <n v="29599.719999999998"/>
    <m/>
    <m/>
    <m/>
    <d v="2024-03-25T00:00:00"/>
    <m/>
    <n v="-45376"/>
    <m/>
    <m/>
    <n v="0"/>
    <m/>
    <d v="2024-08-12T00:00:00"/>
    <d v="2024-03-25T00:00:00"/>
    <d v="2024-08-12T00:00:00"/>
    <n v="5"/>
    <n v="45516"/>
    <s v="PROYECTO REGIONAL"/>
    <m/>
    <m/>
  </r>
  <r>
    <s v="2024"/>
    <s v="CANALES DIGITALES"/>
    <s v="Menú V3"/>
    <s v="Menu V3 - Envio de Descuentos desde MXP"/>
    <s v="MXP LEGACY_x000a_TRADE"/>
    <s v="Compromiso Matriz Regional  (Falta Argentina - 2023)"/>
    <s v="ALTA"/>
    <s v="REGIONAL"/>
    <s v="Funcionalidades Regionales"/>
    <x v="1"/>
    <s v="Argentina"/>
    <x v="20"/>
    <x v="14"/>
    <x v="1"/>
    <s v="En curso"/>
    <m/>
    <s v="Q1"/>
    <s v="p15"/>
    <s v="ALTA"/>
    <n v="1"/>
    <n v="2"/>
    <n v="1"/>
    <n v="550"/>
    <m/>
    <n v="1740"/>
    <m/>
    <m/>
    <m/>
    <d v="2024-03-04T00:00:00"/>
    <d v="2024-03-11T00:00:00"/>
    <n v="7"/>
    <d v="2024-03-11T00:00:00"/>
    <d v="2024-03-18T00:00:00"/>
    <n v="362903"/>
    <d v="2024-03-18T00:00:00"/>
    <d v="2024-03-25T00:00:00"/>
    <d v="2024-04-01T00:00:00"/>
    <d v="2024-04-15T00:00:00"/>
    <n v="0.5"/>
    <n v="7"/>
    <s v="PROYECTO REGIONAL"/>
    <m/>
    <m/>
  </r>
  <r>
    <s v="2024"/>
    <s v="ERP"/>
    <m/>
    <s v="Optimizacion de desarrollos Z en SAP Regional"/>
    <m/>
    <s v="Mejorar los desarrollos en SAP"/>
    <m/>
    <m/>
    <s v="Mejorar los desarrollos en SAP"/>
    <x v="1"/>
    <s v="Ecuador"/>
    <x v="45"/>
    <x v="14"/>
    <x v="0"/>
    <s v="No iniciado"/>
    <s v="Q3"/>
    <s v="Q3"/>
    <m/>
    <s v="ALTA"/>
    <n v="1"/>
    <n v="24"/>
    <n v="2"/>
    <n v="500"/>
    <m/>
    <n v="24000"/>
    <m/>
    <m/>
    <m/>
    <d v="2024-02-28T00:00:00"/>
    <d v="2024-08-28T00:00:00"/>
    <n v="182"/>
    <m/>
    <m/>
    <n v="0"/>
    <m/>
    <m/>
    <d v="2024-02-28T00:00:00"/>
    <d v="1899-12-30T00:00:00"/>
    <n v="6"/>
    <n v="0"/>
    <s v="PROYECTO REGIONAL"/>
    <m/>
    <m/>
  </r>
  <r>
    <s v="2024"/>
    <s v="SISTEMAS INTERNOS"/>
    <m/>
    <s v="Payrol: Integración Venezuela"/>
    <m/>
    <s v="Implementación de Payrol e Integraciones, Se puso un macro pero este proyecto maneja los costos de Dennis y Sabri"/>
    <m/>
    <s v="LOCAL"/>
    <s v="Funcionalidades Locales"/>
    <x v="1"/>
    <s v="Venezuela"/>
    <x v="33"/>
    <x v="17"/>
    <x v="1"/>
    <s v="En curso"/>
    <m/>
    <s v="Q2"/>
    <m/>
    <s v="ALTA"/>
    <n v="0"/>
    <n v="32"/>
    <n v="2"/>
    <n v="700"/>
    <m/>
    <n v="0"/>
    <m/>
    <m/>
    <m/>
    <d v="2024-04-01T00:00:00"/>
    <d v="2024-12-14T00:00:00"/>
    <e v="#REF!"/>
    <d v="2024-12-14T00:00:00"/>
    <d v="2024-12-21T00:00:00"/>
    <n v="365127"/>
    <d v="2024-12-21T00:00:00"/>
    <d v="2024-12-28T00:00:00"/>
    <d v="2024-04-01T00:00:00"/>
    <d v="2024-12-28T00:00:00"/>
    <d v="1900-01-07T00:00:00"/>
    <n v="7"/>
    <s v="Cancelado el 40%"/>
    <m/>
    <m/>
  </r>
  <r>
    <s v="2024"/>
    <s v="CANALES DIGITALES"/>
    <s v="Motorizado Delivery"/>
    <s v="Control Motorizados/Agregadores [2] - Picking Agregadores QR V2"/>
    <s v="MXP LEGACY"/>
    <s v="Nuevo Requerimiento (Ya levantado a Juan Daniel, documentación adjunta)"/>
    <s v="MEDIA"/>
    <s v="LOCAL"/>
    <s v="Funcionalidades Regionales"/>
    <x v="1"/>
    <s v="Chile"/>
    <x v="36"/>
    <x v="14"/>
    <x v="1"/>
    <s v="No iniciado"/>
    <m/>
    <s v="Q3"/>
    <m/>
    <s v="ALTA"/>
    <n v="1"/>
    <n v="10"/>
    <n v="3"/>
    <n v="625"/>
    <m/>
    <n v="18750"/>
    <m/>
    <m/>
    <m/>
    <d v="2024-07-15T00:00:00"/>
    <d v="2024-07-22T00:00:00"/>
    <n v="7"/>
    <d v="2024-07-22T00:00:00"/>
    <d v="2024-07-29T00:00:00"/>
    <n v="363967"/>
    <d v="2024-07-29T00:00:00"/>
    <d v="2024-08-19T00:00:00"/>
    <d v="2024-06-01T00:00:00"/>
    <d v="2024-08-10T00:00:00"/>
    <n v="2.5"/>
    <n v="21"/>
    <m/>
    <m/>
    <m/>
  </r>
  <r>
    <s v="2024"/>
    <s v="SISTEMAS INTERNOS"/>
    <m/>
    <s v="Plataforma Elearning: Paises Venezuela"/>
    <m/>
    <s v="Fase de despliegue a Paises para E-Learning"/>
    <m/>
    <s v="LOCAL"/>
    <s v="Funcionalidades Locales"/>
    <x v="1"/>
    <s v="Venezuela"/>
    <x v="33"/>
    <x v="17"/>
    <x v="1"/>
    <s v="No iniciado"/>
    <m/>
    <s v="Q4"/>
    <m/>
    <s v="ALTA"/>
    <n v="1"/>
    <n v="6"/>
    <n v="1"/>
    <n v="550"/>
    <m/>
    <n v="3940"/>
    <n v="364"/>
    <m/>
    <m/>
    <d v="2024-10-01T00:00:00"/>
    <d v="2025-11-01T00:00:00"/>
    <e v="#REF!"/>
    <d v="2024-11-01T00:00:00"/>
    <d v="2024-11-07T00:00:00"/>
    <d v="2898-09-25T00:00:00"/>
    <d v="2024-11-07T00:00:00"/>
    <d v="2024-11-07T00:00:00"/>
    <d v="2024-10-01T00:00:00"/>
    <d v="2024-11-07T00:00:00"/>
    <d v="1899-12-31T12:00:00"/>
    <n v="0"/>
    <m/>
    <m/>
    <m/>
  </r>
  <r>
    <s v="2024"/>
    <s v="SIR"/>
    <m/>
    <s v="Proceso de Cuadre de información ventas"/>
    <m/>
    <m/>
    <m/>
    <m/>
    <s v="Mantenimiento"/>
    <x v="1"/>
    <s v="Ecuador"/>
    <x v="31"/>
    <x v="21"/>
    <x v="1"/>
    <s v="No iniciado"/>
    <m/>
    <s v="Q3"/>
    <m/>
    <s v="ALTA"/>
    <m/>
    <n v="6"/>
    <n v="2"/>
    <n v="450"/>
    <m/>
    <n v="6040"/>
    <m/>
    <m/>
    <m/>
    <d v="2024-08-19T00:00:00"/>
    <d v="2024-09-27T00:00:00"/>
    <e v="#REF!"/>
    <d v="2024-10-01T00:00:00"/>
    <d v="2024-10-07T00:00:00"/>
    <d v="2898-01-20T00:00:00"/>
    <m/>
    <m/>
    <d v="2024-08-19T00:00:00"/>
    <d v="1899-12-30T00:00:00"/>
    <n v="1.5"/>
    <n v="0"/>
    <m/>
    <m/>
    <m/>
  </r>
  <r>
    <s v="2024"/>
    <s v="CANALES DIGITALES"/>
    <s v="DragonTail"/>
    <s v="Mxp Delivery - Dragon Tail"/>
    <s v="MXP LEGACY_x000a_MXP 2.0_x000a_TRADE"/>
    <s v="Mxp Delivery - Dragon Tail (Envío de TrackingID)_x000a_Envío del  trackingID hacia TRADE para que se muestre el mapa de seguimiento de dragonTail desde la App"/>
    <s v="ALTA"/>
    <s v="REGIONAL"/>
    <s v="Funcionalidades Locales"/>
    <x v="1"/>
    <s v="Colombia"/>
    <x v="35"/>
    <x v="14"/>
    <x v="1"/>
    <s v="En curso"/>
    <m/>
    <s v="Q1"/>
    <s v="p8"/>
    <s v="ALTA"/>
    <n v="1"/>
    <n v="6"/>
    <n v="1"/>
    <n v="550"/>
    <m/>
    <n v="3940"/>
    <m/>
    <m/>
    <m/>
    <d v="2024-02-05T00:00:00"/>
    <d v="2024-03-04T00:00:00"/>
    <n v="28"/>
    <d v="2024-03-11T00:00:00"/>
    <d v="2024-03-11T00:00:00"/>
    <n v="362896"/>
    <d v="2024-03-18T00:00:00"/>
    <d v="2024-04-01T00:00:00"/>
    <d v="2024-04-01T00:00:00"/>
    <d v="2024-05-13T00:00:00"/>
    <n v="1.5"/>
    <n v="14"/>
    <s v="PROYECTO REGIONAL"/>
    <m/>
    <m/>
  </r>
  <r>
    <s v="2024"/>
    <s v="CANALES DIGITALES"/>
    <s v="DragonTail"/>
    <s v="Mxp Delivery - Dragon Tail"/>
    <s v="MXP LEGACY_x000a_MXP 2.0"/>
    <s v="Mxp Delivery - Dragon Tail (Integración)_x000a_Compromiso Matriz Regional  (Venezuela, Ecuador, Chile, Colombia y Argentina)_x000a_Implementación de KDS en el counter con dragontale para todos los pedido"/>
    <s v="ALTA"/>
    <s v="REGIONAL"/>
    <s v="Funcionalidades Locales"/>
    <x v="1"/>
    <s v="Ecuador"/>
    <x v="35"/>
    <x v="14"/>
    <x v="1"/>
    <s v="En curso"/>
    <m/>
    <s v="Q1"/>
    <s v="p8"/>
    <s v="ALTA"/>
    <n v="1"/>
    <n v="6"/>
    <n v="2"/>
    <n v="550"/>
    <m/>
    <n v="7240"/>
    <m/>
    <m/>
    <m/>
    <d v="2024-02-05T00:00:00"/>
    <d v="2024-03-11T00:00:00"/>
    <n v="35"/>
    <d v="2024-03-11T00:00:00"/>
    <d v="2024-03-18T00:00:00"/>
    <n v="362903"/>
    <d v="2024-03-18T00:00:00"/>
    <d v="2024-04-01T00:00:00"/>
    <d v="2024-04-01T00:00:00"/>
    <d v="2024-05-13T00:00:00"/>
    <n v="1.5"/>
    <n v="14"/>
    <s v="PROYECTO REGIONAL"/>
    <m/>
    <m/>
  </r>
  <r>
    <s v="2024"/>
    <s v="CANALES DIGITALES"/>
    <s v="DragonTail"/>
    <s v="Mxp Delivery - Dragon Tail"/>
    <s v="MXP LEGACY_x000a_MXP 2.0"/>
    <s v="Mxp Delivery - Dragon Tail (Seguimiento)_x000a_Compromiso Matriz Regional  (Venezuela, Ecuador, Chile, Colombia y Argentina)_x000a_Implementación de KDS en el counter con dragontale para todos los pedido_x000a_"/>
    <s v="ALTA"/>
    <s v="REGIONAL"/>
    <s v="Funcionalidades Locales"/>
    <x v="1"/>
    <s v="Venezuela"/>
    <x v="35"/>
    <x v="14"/>
    <x v="1"/>
    <s v="En curso"/>
    <m/>
    <s v="Q1"/>
    <s v="p8"/>
    <s v="ALTA"/>
    <n v="1"/>
    <n v="6"/>
    <n v="1"/>
    <n v="550"/>
    <m/>
    <n v="3940"/>
    <m/>
    <m/>
    <m/>
    <d v="2024-02-05T00:00:00"/>
    <d v="2024-03-04T00:00:00"/>
    <n v="28"/>
    <d v="2024-03-04T00:00:00"/>
    <d v="2024-03-11T00:00:00"/>
    <n v="362847"/>
    <d v="2024-03-11T00:00:00"/>
    <d v="2024-03-25T00:00:00"/>
    <d v="2024-04-01T00:00:00"/>
    <d v="2024-05-13T00:00:00"/>
    <n v="1.5"/>
    <n v="14"/>
    <s v="PROYECTO REGIONAL"/>
    <m/>
    <m/>
  </r>
  <r>
    <s v="2024"/>
    <s v="CANALES DIGITALES"/>
    <s v="Ultimas millas"/>
    <s v="Mxp Delivery - FLY Delivery"/>
    <s v="MXP LEGACY_x000a_TRADE"/>
    <s v="Compromiso Matriz Regional  (Ecuador)"/>
    <s v="BAJA"/>
    <s v="REGIONAL"/>
    <s v="Funcionalidades Regionales"/>
    <x v="1"/>
    <s v="Ecuador"/>
    <x v="20"/>
    <x v="14"/>
    <x v="1"/>
    <s v="En curso"/>
    <m/>
    <s v="Q1"/>
    <s v="p9"/>
    <s v="MEDIA"/>
    <n v="1"/>
    <n v="3"/>
    <n v="1"/>
    <n v="550"/>
    <m/>
    <n v="2290"/>
    <m/>
    <m/>
    <m/>
    <d v="2024-02-12T00:00:00"/>
    <d v="2024-02-26T00:00:00"/>
    <n v="14"/>
    <d v="2024-02-26T00:00:00"/>
    <d v="2024-03-04T00:00:00"/>
    <n v="362791"/>
    <d v="2024-03-04T00:00:00"/>
    <d v="2024-03-11T00:00:00"/>
    <d v="2024-04-01T00:00:00"/>
    <d v="2024-04-22T00:00:00"/>
    <n v="0.75"/>
    <n v="7"/>
    <s v="PROYECTO REGIONAL"/>
    <m/>
    <m/>
  </r>
  <r>
    <s v="2024"/>
    <s v="CANALES DIGITALES"/>
    <s v="API Inyección v3"/>
    <s v="Recepción de Descuentos - Offering/Agregadores Trade"/>
    <s v="MXP LEGACY_x000a_TRADE"/>
    <m/>
    <s v="ALTA"/>
    <s v="REGIONAL"/>
    <s v="Funcionalidades Regionales"/>
    <x v="1"/>
    <s v="Ecuador"/>
    <x v="20"/>
    <x v="14"/>
    <x v="1"/>
    <s v="En curso"/>
    <m/>
    <s v="Q1"/>
    <s v="p11"/>
    <s v="ALTA"/>
    <n v="1"/>
    <n v="3"/>
    <n v="1"/>
    <n v="550"/>
    <m/>
    <n v="2290"/>
    <m/>
    <m/>
    <m/>
    <d v="2024-02-05T00:00:00"/>
    <d v="2024-02-05T00:00:00"/>
    <n v="0"/>
    <d v="2024-02-05T00:00:00"/>
    <d v="2024-02-19T00:00:00"/>
    <n v="362630"/>
    <d v="2024-02-19T00:00:00"/>
    <d v="2024-02-26T00:00:00"/>
    <d v="2024-05-01T00:00:00"/>
    <d v="2024-05-22T00:00:00"/>
    <n v="0.75"/>
    <n v="7"/>
    <s v="PROYECTO REGIONAL"/>
    <m/>
    <m/>
  </r>
  <r>
    <s v="2024"/>
    <s v="CANALES DIGITALES"/>
    <s v="API Inyección v3"/>
    <s v="Recepción de Descuentos - Offering/Agregadores Trade"/>
    <s v="MXP LEGACY_x000a_TRADE"/>
    <m/>
    <s v="ALTA"/>
    <s v="REGIONAL"/>
    <s v="Funcionalidades Regionales"/>
    <x v="1"/>
    <s v="Venezuela"/>
    <x v="20"/>
    <x v="14"/>
    <x v="1"/>
    <s v="No iniciado"/>
    <m/>
    <s v="Q1"/>
    <s v="p11"/>
    <s v="ALTA"/>
    <n v="1"/>
    <n v="3"/>
    <n v="1"/>
    <n v="550"/>
    <m/>
    <n v="2290"/>
    <m/>
    <m/>
    <m/>
    <d v="2024-03-04T00:00:00"/>
    <d v="2024-03-04T00:00:00"/>
    <n v="0"/>
    <d v="2024-03-04T00:00:00"/>
    <d v="2024-03-18T00:00:00"/>
    <n v="362854"/>
    <d v="2024-03-18T00:00:00"/>
    <d v="2024-03-25T00:00:00"/>
    <d v="2024-06-01T00:00:00"/>
    <d v="2024-06-22T00:00:00"/>
    <n v="0.75"/>
    <n v="7"/>
    <s v="PROYECTO REGIONAL"/>
    <m/>
    <s v="x"/>
  </r>
  <r>
    <s v="2024"/>
    <s v="CANALES DIGITALES"/>
    <s v="API Inyección v3"/>
    <s v="Recepción de Descuentos - Offering/Agregadores Trade"/>
    <s v="MXP LEGACY_x000a_TRADE"/>
    <m/>
    <s v="ALTA"/>
    <s v="REGIONAL"/>
    <s v="Funcionalidades Regionales"/>
    <x v="1"/>
    <s v="Argentina"/>
    <x v="20"/>
    <x v="14"/>
    <x v="1"/>
    <s v="No iniciado"/>
    <m/>
    <s v="Q1"/>
    <s v="p11"/>
    <s v="ALTA"/>
    <n v="1"/>
    <n v="3"/>
    <n v="1"/>
    <n v="550"/>
    <m/>
    <n v="2290"/>
    <m/>
    <m/>
    <m/>
    <d v="2024-03-18T00:00:00"/>
    <d v="2024-03-18T00:00:00"/>
    <n v="0"/>
    <d v="2024-03-18T00:00:00"/>
    <d v="2024-03-25T00:00:00"/>
    <n v="362959"/>
    <d v="2024-03-25T00:00:00"/>
    <d v="2024-04-01T00:00:00"/>
    <d v="2024-06-01T00:00:00"/>
    <d v="2024-06-22T00:00:00"/>
    <n v="0.75"/>
    <n v="7"/>
    <s v="PROYECTO REGIONAL"/>
    <m/>
    <m/>
  </r>
  <r>
    <s v="2024"/>
    <s v="CANALES DIGITALES"/>
    <s v="API Inyección v3"/>
    <s v="Recepciones de Pedidos V3 - Maxpoint Rastreo Pedidos Panel domicilio v2.0.4.2"/>
    <s v="MXP LEGACY_x000a_TRADE"/>
    <s v="Compromiso Matriz Regional  (Argentina"/>
    <s v="MEDIA"/>
    <s v="REGIONAL"/>
    <s v="Funcionalidades Regionales"/>
    <x v="1"/>
    <s v="Argentina"/>
    <x v="20"/>
    <x v="14"/>
    <x v="1"/>
    <s v="Finalizado"/>
    <m/>
    <s v="Q1"/>
    <s v="p12"/>
    <s v="MEDIA"/>
    <n v="1"/>
    <n v="4"/>
    <n v="1"/>
    <n v="550"/>
    <m/>
    <n v="2840"/>
    <m/>
    <m/>
    <m/>
    <d v="2024-03-04T00:00:00"/>
    <d v="2024-03-18T00:00:00"/>
    <n v="14"/>
    <d v="2024-03-18T00:00:00"/>
    <d v="2024-03-25T00:00:00"/>
    <n v="362959"/>
    <d v="2024-03-25T00:00:00"/>
    <d v="2024-04-01T00:00:00"/>
    <d v="2024-06-01T00:00:00"/>
    <d v="2024-06-29T00:00:00"/>
    <n v="1"/>
    <n v="7"/>
    <s v="PROYECTO REGIONAL"/>
    <m/>
    <m/>
  </r>
  <r>
    <s v="2024"/>
    <s v="CANALES DIGITALES"/>
    <s v="API Inyección v3"/>
    <s v="Recepciones de Pedidos V3 - Monitor  de transacciones (Tracking) de Pedidos"/>
    <s v="MXP LEGACY_x000a_TRADE"/>
    <s v="Compromiso Matriz Regional  (Argentina - 2023"/>
    <s v="ALTA"/>
    <s v="REGIONAL"/>
    <s v="Funcionalidades Regionales"/>
    <x v="1"/>
    <s v="Argentina"/>
    <x v="20"/>
    <x v="14"/>
    <x v="1"/>
    <s v="No iniciado"/>
    <m/>
    <s v="Q2"/>
    <m/>
    <s v="ALTA"/>
    <n v="1"/>
    <n v="6"/>
    <n v="1"/>
    <n v="550"/>
    <m/>
    <n v="3940"/>
    <m/>
    <m/>
    <m/>
    <d v="2024-03-18T00:00:00"/>
    <d v="2024-04-15T00:00:00"/>
    <n v="28"/>
    <d v="2024-04-15T00:00:00"/>
    <d v="2024-04-22T00:00:00"/>
    <n v="363183"/>
    <d v="2024-04-22T00:00:00"/>
    <d v="2024-04-29T00:00:00"/>
    <d v="2024-05-01T00:00:00"/>
    <d v="2024-06-12T00:00:00"/>
    <n v="1.5"/>
    <n v="7"/>
    <s v="PROYECTO REGIONAL"/>
    <m/>
    <m/>
  </r>
  <r>
    <s v="2024"/>
    <s v="MXP LEGACY"/>
    <m/>
    <s v="Remedación Dynatrace"/>
    <m/>
    <s v="Nuevo Requerimiento de mejoras de rendimiento y seguridades."/>
    <m/>
    <s v="REGIONAL "/>
    <s v="Mantenimiento"/>
    <x v="1"/>
    <s v="Chile"/>
    <x v="36"/>
    <x v="19"/>
    <x v="1"/>
    <s v="En curso"/>
    <m/>
    <s v="Q2"/>
    <s v="Depende del análisis ed Dytrace, para establecer el plan. Validar si es a nivel de server o caja."/>
    <s v="ALTA"/>
    <n v="1"/>
    <n v="1"/>
    <n v="10"/>
    <n v="625"/>
    <m/>
    <n v="6250"/>
    <m/>
    <m/>
    <m/>
    <d v="2024-04-01T00:00:00"/>
    <d v="2024-05-17T00:00:00"/>
    <e v="#REF!"/>
    <d v="2024-05-20T00:00:00"/>
    <d v="2024-05-24T00:00:00"/>
    <d v="2895-02-11T00:00:00"/>
    <d v="2024-05-27T00:00:00"/>
    <d v="2024-05-31T00:00:00"/>
    <d v="2024-04-01T00:00:00"/>
    <d v="2024-05-31T00:00:00"/>
    <n v="0.25"/>
    <n v="4"/>
    <m/>
    <m/>
    <m/>
  </r>
  <r>
    <s v="2024"/>
    <s v="MXP LEGACY"/>
    <m/>
    <s v="Remedación Dynatrace"/>
    <m/>
    <s v="Implementación de Dynatrace, analisis  de resultados y ejecución del plan de acción."/>
    <m/>
    <s v="REGIONAL"/>
    <s v="Mantenimiento"/>
    <x v="1"/>
    <s v="Venezuela"/>
    <x v="33"/>
    <x v="17"/>
    <x v="1"/>
    <s v="No iniciado"/>
    <m/>
    <s v="Q3"/>
    <m/>
    <s v="ALTA"/>
    <n v="1"/>
    <n v="8"/>
    <n v="1"/>
    <n v="550"/>
    <m/>
    <n v="4400"/>
    <m/>
    <m/>
    <m/>
    <d v="2024-07-01T00:00:00"/>
    <d v="2024-08-16T00:00:00"/>
    <e v="#REF!"/>
    <d v="2024-08-19T00:00:00"/>
    <d v="2024-08-23T00:00:00"/>
    <d v="2897-02-08T00:00:00"/>
    <d v="2024-08-26T00:00:00"/>
    <d v="2024-08-28T00:00:00"/>
    <d v="2024-07-01T00:00:00"/>
    <d v="2024-08-28T00:00:00"/>
    <n v="2"/>
    <n v="2"/>
    <m/>
    <m/>
    <m/>
  </r>
  <r>
    <n v="2024"/>
    <s v="MXP LEGACY"/>
    <m/>
    <s v="Remedación Dynatrace"/>
    <m/>
    <s v="Implementación de Dynatrace, analisis  de resultados y ejecución del plan de acción."/>
    <m/>
    <s v="REGIONAL"/>
    <s v="Mantenimiento"/>
    <x v="1"/>
    <s v="Argentina"/>
    <x v="41"/>
    <x v="20"/>
    <x v="1"/>
    <s v="No iniciado"/>
    <m/>
    <s v="Q3"/>
    <m/>
    <s v="ALTA"/>
    <n v="1"/>
    <n v="8"/>
    <n v="1"/>
    <n v="550"/>
    <m/>
    <n v="4400"/>
    <m/>
    <m/>
    <m/>
    <d v="2024-06-03T00:00:00"/>
    <d v="2024-07-26T00:00:00"/>
    <e v="#REF!"/>
    <d v="2024-07-29T00:00:00"/>
    <d v="2024-08-02T00:00:00"/>
    <d v="2896-08-24T00:00:00"/>
    <d v="2024-08-05T00:00:00"/>
    <d v="2024-08-09T00:00:00"/>
    <d v="2024-06-03T00:00:00"/>
    <d v="2024-08-09T00:00:00"/>
    <d v="1900-01-01T00:00:00"/>
    <n v="4"/>
    <m/>
    <m/>
    <m/>
  </r>
  <r>
    <s v="2024"/>
    <s v="MXP LEGACY"/>
    <m/>
    <s v="Remediación MaxPoint"/>
    <m/>
    <s v="Correcciones y mejoras de estabilización del proceso de facturación counter y delivery."/>
    <m/>
    <s v="LOCAL"/>
    <s v="Mantenimiento"/>
    <x v="1"/>
    <s v="Chile"/>
    <x v="32"/>
    <x v="19"/>
    <x v="1"/>
    <s v="En curso"/>
    <m/>
    <s v="Q1"/>
    <m/>
    <s v="ALTA"/>
    <n v="1"/>
    <n v="3"/>
    <n v="13"/>
    <n v="625"/>
    <m/>
    <n v="24375"/>
    <m/>
    <m/>
    <m/>
    <d v="2024-01-01T00:00:00"/>
    <d v="2024-03-22T00:00:00"/>
    <e v="#REF!"/>
    <d v="2024-03-25T00:00:00"/>
    <d v="2024-03-29T00:00:00"/>
    <d v="2893-11-20T00:00:00"/>
    <d v="2024-04-01T00:00:00"/>
    <d v="2024-04-12T00:00:00"/>
    <d v="2024-01-01T00:00:00"/>
    <d v="2024-04-12T00:00:00"/>
    <n v="0.75"/>
    <n v="11"/>
    <m/>
    <m/>
    <m/>
  </r>
  <r>
    <s v="2024"/>
    <s v="MXP LEGACY"/>
    <m/>
    <s v="Replica de información v2.0"/>
    <m/>
    <s v="Compromiso Matriz Regional  (Ecuador)"/>
    <m/>
    <s v="LOCAL"/>
    <s v="Funcionalidades País"/>
    <x v="1"/>
    <s v="Ecuador"/>
    <x v="44"/>
    <x v="14"/>
    <x v="0"/>
    <s v="No iniciado"/>
    <m/>
    <s v="Q2"/>
    <m/>
    <s v="BAJA"/>
    <m/>
    <n v="8"/>
    <n v="2"/>
    <n v="550"/>
    <m/>
    <n v="9380"/>
    <m/>
    <m/>
    <n v="3"/>
    <d v="2024-06-03T00:00:00"/>
    <d v="2024-05-27T00:00:00"/>
    <m/>
    <d v="2024-05-28T00:00:00"/>
    <d v="2024-06-11T00:00:00"/>
    <d v="2895-04-26T00:00:00"/>
    <d v="2024-06-12T00:00:00"/>
    <d v="2024-07-28T00:00:00"/>
    <d v="2024-06-03T00:00:00"/>
    <d v="2024-07-28T00:00:00"/>
    <n v="2"/>
    <n v="46"/>
    <s v="PROYECTO REGIONAL"/>
    <m/>
    <m/>
  </r>
  <r>
    <s v="2024"/>
    <s v="ERP"/>
    <m/>
    <s v="SAP Disaster Recovery"/>
    <m/>
    <s v="CONTAR CON UN PLAN DE RECUPERACION ANTE DESASTERES Y PLAN DE CONTINUIDAD DE NEGOCIO "/>
    <m/>
    <m/>
    <s v="Implementar DRP / BCP SAP Países"/>
    <x v="1"/>
    <s v="Ecuador"/>
    <x v="9"/>
    <x v="14"/>
    <x v="0"/>
    <s v="En curso"/>
    <s v="Q2"/>
    <s v="Q3"/>
    <m/>
    <s v="ALTA"/>
    <n v="0.8"/>
    <n v="12"/>
    <n v="10"/>
    <n v="1221"/>
    <m/>
    <n v="117216"/>
    <n v="108310.40000000001"/>
    <m/>
    <m/>
    <d v="2024-02-21T00:00:00"/>
    <d v="2024-05-21T00:00:00"/>
    <n v="90"/>
    <d v="2024-03-21T00:00:00"/>
    <d v="2024-03-28T00:00:00"/>
    <n v="7"/>
    <d v="2024-03-21T00:00:00"/>
    <d v="2024-03-28T00:00:00"/>
    <d v="2024-02-21T00:00:00"/>
    <d v="2024-03-28T00:00:00"/>
    <n v="3"/>
    <n v="7"/>
    <s v="PROYECTO REGIONAL"/>
    <m/>
    <m/>
  </r>
  <r>
    <s v="2024"/>
    <s v="ERP"/>
    <m/>
    <s v="SAP(Licencias, Servicios Externos)"/>
    <m/>
    <s v="PAM Basis"/>
    <m/>
    <m/>
    <s v="SAP(Licencias, Servicios Externos)"/>
    <x v="1"/>
    <s v="Ecuador"/>
    <x v="45"/>
    <x v="14"/>
    <x v="1"/>
    <s v="No iniciado"/>
    <s v="Q3"/>
    <s v="Q3"/>
    <m/>
    <s v="ALTA"/>
    <n v="0.8"/>
    <n v="3"/>
    <n v="24"/>
    <n v="500"/>
    <m/>
    <n v="289120"/>
    <m/>
    <m/>
    <m/>
    <d v="2024-02-28T00:00:00"/>
    <d v="2024-08-28T00:00:00"/>
    <n v="182"/>
    <m/>
    <m/>
    <n v="0"/>
    <m/>
    <m/>
    <d v="2024-02-28T00:00:00"/>
    <d v="1899-12-30T00:00:00"/>
    <n v="0.75"/>
    <n v="0"/>
    <s v="PROYECTO REGIONAL"/>
    <m/>
    <m/>
  </r>
  <r>
    <s v="2024"/>
    <s v="ERP"/>
    <m/>
    <s v="SAP(Licencias, Servicios Externos)"/>
    <m/>
    <s v="PAM Basis"/>
    <m/>
    <s v="REGIONAL"/>
    <s v="SAP(Licencias, Servicios Externos)"/>
    <x v="1"/>
    <s v="Colombia"/>
    <x v="45"/>
    <x v="18"/>
    <x v="1"/>
    <s v="No iniciado"/>
    <s v="Q3"/>
    <s v="Q3"/>
    <m/>
    <s v="ALTA"/>
    <n v="0.15"/>
    <n v="3"/>
    <n v="24"/>
    <n v="500"/>
    <m/>
    <n v="22692"/>
    <m/>
    <m/>
    <m/>
    <d v="2024-02-28T00:00:00"/>
    <d v="2024-08-28T00:00:00"/>
    <n v="182"/>
    <m/>
    <m/>
    <n v="0"/>
    <m/>
    <m/>
    <d v="2024-02-28T00:00:00"/>
    <d v="1899-12-30T00:00:00"/>
    <n v="0.75"/>
    <n v="0"/>
    <s v="PROYECTO REGIONAL"/>
    <m/>
    <m/>
  </r>
  <r>
    <s v="2024"/>
    <s v="ERP"/>
    <m/>
    <s v="SAP(Licencias, Servicios Externos)"/>
    <m/>
    <s v="PAM Basis"/>
    <m/>
    <s v="REGIONAL"/>
    <s v="SAP(Licencias, Servicios Externos)"/>
    <x v="1"/>
    <s v="Chile"/>
    <x v="45"/>
    <x v="19"/>
    <x v="1"/>
    <s v="No iniciado"/>
    <s v="Q2"/>
    <s v="Q3"/>
    <m/>
    <s v="ALTA"/>
    <n v="0.05"/>
    <n v="3"/>
    <n v="24"/>
    <n v="500"/>
    <m/>
    <n v="25219"/>
    <m/>
    <m/>
    <m/>
    <d v="2024-02-28T00:00:00"/>
    <d v="2024-08-28T00:00:00"/>
    <n v="182"/>
    <m/>
    <m/>
    <n v="0"/>
    <m/>
    <m/>
    <d v="2024-02-28T00:00:00"/>
    <d v="1899-12-30T00:00:00"/>
    <n v="0.75"/>
    <n v="0"/>
    <s v="PROYECTO REGIONAL"/>
    <m/>
    <m/>
  </r>
  <r>
    <s v="2024"/>
    <s v="SIR"/>
    <m/>
    <s v="Sitio SIR Historico"/>
    <m/>
    <m/>
    <m/>
    <s v="LOCAL"/>
    <s v="Mantenimiento"/>
    <x v="1"/>
    <s v="Ecuador"/>
    <x v="32"/>
    <x v="14"/>
    <x v="1"/>
    <s v="No iniciado"/>
    <m/>
    <s v="Q2"/>
    <m/>
    <s v="BAJA"/>
    <m/>
    <n v="2"/>
    <n v="2"/>
    <n v="400"/>
    <m/>
    <n v="2240"/>
    <m/>
    <m/>
    <n v="2"/>
    <d v="2024-04-29T00:00:00"/>
    <m/>
    <e v="#REF!"/>
    <m/>
    <m/>
    <d v="1899-12-30T00:00:00"/>
    <d v="2024-06-25T00:00:00"/>
    <m/>
    <d v="2024-04-29T00:00:00"/>
    <d v="1899-12-30T00:00:00"/>
    <n v="0.5"/>
    <n v="-45468"/>
    <m/>
    <m/>
    <m/>
  </r>
  <r>
    <s v="2024"/>
    <s v="MXP LEGACY"/>
    <m/>
    <s v="Upgrade de versión a .net 8 del aplicativo de impresión"/>
    <m/>
    <m/>
    <m/>
    <m/>
    <s v="DSI"/>
    <x v="1"/>
    <s v="Ecuador"/>
    <x v="42"/>
    <x v="14"/>
    <x v="0"/>
    <s v="No iniciado"/>
    <m/>
    <s v="Q2"/>
    <m/>
    <s v="ALTA"/>
    <m/>
    <n v="4"/>
    <n v="1"/>
    <n v="550"/>
    <m/>
    <n v="2760"/>
    <m/>
    <m/>
    <n v="2"/>
    <d v="2024-05-01T00:00:00"/>
    <m/>
    <e v="#REF!"/>
    <m/>
    <d v="2024-05-14T00:00:00"/>
    <d v="2024-05-14T00:00:00"/>
    <d v="2024-05-15T00:00:00"/>
    <d v="2024-05-29T00:00:00"/>
    <d v="2024-05-01T00:00:00"/>
    <d v="2024-05-29T00:00:00"/>
    <d v="1899-12-31T00:00:00"/>
    <n v="14"/>
    <m/>
    <m/>
    <m/>
  </r>
  <r>
    <s v="2024"/>
    <s v="SIR"/>
    <m/>
    <s v="Cupones de Cortesía, Dinero y Empleados"/>
    <s v="consultar requerimiento "/>
    <s v="Digitalización de cupones de cortesía, dinero y empleados desde SIR"/>
    <m/>
    <s v="REGIONAL"/>
    <s v="Funcionalidades Locales"/>
    <x v="3"/>
    <s v="Chile"/>
    <x v="34"/>
    <x v="20"/>
    <x v="1"/>
    <s v="En curso"/>
    <m/>
    <m/>
    <m/>
    <m/>
    <m/>
    <m/>
    <m/>
    <m/>
    <m/>
    <n v="640"/>
    <m/>
    <m/>
    <m/>
    <m/>
    <m/>
    <e v="#REF!"/>
    <m/>
    <m/>
    <d v="1899-12-30T00:00:00"/>
    <m/>
    <m/>
    <m/>
    <m/>
    <n v="0"/>
    <n v="0"/>
    <m/>
    <m/>
    <m/>
  </r>
  <r>
    <s v="2024"/>
    <s v="SIR"/>
    <m/>
    <s v="Cupones de Cortesía, Dinero y Empleados"/>
    <m/>
    <s v="Digitalización de cupones de cortesía, dinero y empleados desde SIR"/>
    <m/>
    <s v="REGIONAL"/>
    <s v="Funcionalidades Locales"/>
    <x v="3"/>
    <s v="Colombia"/>
    <x v="34"/>
    <x v="18"/>
    <x v="1"/>
    <s v="En curso"/>
    <m/>
    <s v="Q2"/>
    <m/>
    <s v="ALTA"/>
    <m/>
    <n v="3"/>
    <n v="2"/>
    <n v="450"/>
    <m/>
    <n v="3340"/>
    <m/>
    <m/>
    <m/>
    <d v="2024-03-14T00:00:00"/>
    <m/>
    <e v="#REF!"/>
    <d v="2024-03-14T00:00:00"/>
    <m/>
    <d v="2769-06-07T00:00:00"/>
    <m/>
    <d v="2024-04-26T00:00:00"/>
    <d v="2024-03-14T00:00:00"/>
    <d v="2024-04-26T00:00:00"/>
    <n v="0.75"/>
    <n v="45408"/>
    <m/>
    <m/>
    <m/>
  </r>
  <r>
    <s v="2024"/>
    <s v="MXP LEGACY"/>
    <m/>
    <s v=" La digitación es muy lenta  para digital posible problema de de red"/>
    <m/>
    <s v="Ver Anexo A2_x000a_ La digitación es muy lenta  para digital posible problema de de red"/>
    <m/>
    <s v="LOCAL"/>
    <s v="Celula Operaciones Maxpoint 2024"/>
    <x v="4"/>
    <s v="Ecuador"/>
    <x v="46"/>
    <x v="22"/>
    <x v="2"/>
    <s v="No iniciado"/>
    <n v="4"/>
    <s v="Q3"/>
    <m/>
    <s v="BAJA"/>
    <n v="1"/>
    <n v="0"/>
    <n v="0"/>
    <n v="550"/>
    <m/>
    <n v="0"/>
    <m/>
    <m/>
    <m/>
    <d v="2024-08-12T00:00:00"/>
    <d v="2024-08-26T00:00:00"/>
    <e v="#REF!"/>
    <d v="2024-08-27T00:00:00"/>
    <d v="2024-09-10T00:00:00"/>
    <d v="2897-04-23T00:00:00"/>
    <d v="2024-09-11T00:00:00"/>
    <d v="2024-09-25T00:00:00"/>
    <d v="2024-08-12T00:00:00"/>
    <d v="2024-09-25T00:00:00"/>
    <n v="0"/>
    <n v="14"/>
    <s v="Célula Operaciones_x000a_Es un requerimiento de configuraciones_x000a_Proceso ya realizado en el 2023"/>
    <m/>
    <m/>
  </r>
  <r>
    <s v="2023"/>
    <s v="SIR"/>
    <m/>
    <s v="52 semanas diario y semanal"/>
    <s v="UAT - BI"/>
    <s v="Ver Anexo A4"/>
    <m/>
    <s v="LOCAL"/>
    <s v="Célula de Operaciones SIR 2023"/>
    <x v="4"/>
    <s v="Ecuador"/>
    <x v="47"/>
    <x v="22"/>
    <x v="1"/>
    <s v="Finalizado"/>
    <n v="1"/>
    <s v="Q1"/>
    <m/>
    <s v="MEDIA"/>
    <m/>
    <n v="4"/>
    <n v="1"/>
    <n v="400"/>
    <m/>
    <n v="2240"/>
    <m/>
    <m/>
    <n v="1"/>
    <d v="2024-02-19T00:00:00"/>
    <d v="2024-03-15T00:00:00"/>
    <e v="#REF!"/>
    <d v="2024-03-19T00:00:00"/>
    <d v="2024-03-26T00:00:00"/>
    <d v="2893-10-06T00:00:00"/>
    <m/>
    <m/>
    <d v="2024-02-19T00:00:00"/>
    <d v="1899-12-30T00:00:00"/>
    <n v="1"/>
    <n v="0"/>
    <s v="Célula Operaciones"/>
    <m/>
    <m/>
  </r>
  <r>
    <s v="2024"/>
    <s v="MXP LEGACY"/>
    <m/>
    <s v="Activar en todas las marcas los descuentos que ya utiliza El Español"/>
    <m/>
    <s v="Ver Anexo A2"/>
    <m/>
    <s v="LOCAL"/>
    <s v="Celula Operaciones Maxpoint 2024"/>
    <x v="4"/>
    <s v="Ecuador"/>
    <x v="46"/>
    <x v="22"/>
    <x v="2"/>
    <s v="No iniciado"/>
    <n v="3"/>
    <s v="Q3"/>
    <s v="Se necesita mayor contexto del cliente"/>
    <s v="BAJA"/>
    <n v="1"/>
    <n v="0"/>
    <n v="0"/>
    <n v="550"/>
    <m/>
    <n v="0"/>
    <m/>
    <m/>
    <m/>
    <d v="2024-09-11T00:00:00"/>
    <d v="2024-10-02T00:00:00"/>
    <e v="#REF!"/>
    <d v="2024-10-03T00:00:00"/>
    <d v="2024-10-17T00:00:00"/>
    <d v="2898-02-13T00:00:00"/>
    <d v="2024-10-18T00:00:00"/>
    <d v="2024-11-01T00:00:00"/>
    <d v="2024-09-11T00:00:00"/>
    <d v="2024-11-01T00:00:00"/>
    <n v="0"/>
    <n v="14"/>
    <s v="Célula Operaciones_x000a_Es un requerimiento de configuraciones"/>
    <m/>
    <m/>
  </r>
  <r>
    <s v="2024"/>
    <s v="MXP LEGACY"/>
    <m/>
    <s v="Agregar número de ficha la orden de la cocina y en el RIDE que sea el mismo número"/>
    <s v="MXP 2.0"/>
    <s v="Ver Anexo A2"/>
    <m/>
    <s v="LOCAL"/>
    <s v="Celula Operaciones Maxpoint 2024"/>
    <x v="4"/>
    <s v="Ecuador"/>
    <x v="46"/>
    <x v="22"/>
    <x v="0"/>
    <s v="No iniciado"/>
    <n v="3"/>
    <s v="Q2"/>
    <m/>
    <s v="BAJA"/>
    <n v="1"/>
    <n v="2"/>
    <n v="1"/>
    <n v="550"/>
    <m/>
    <n v="1660"/>
    <m/>
    <m/>
    <n v="2"/>
    <d v="2024-05-02T00:00:00"/>
    <d v="2024-05-28T00:00:00"/>
    <d v="2024-06-04T00:00:00"/>
    <d v="2024-06-01T00:00:00"/>
    <d v="2024-06-09T00:00:00"/>
    <d v="2024-07-03T00:00:00"/>
    <d v="2024-06-01T00:00:00"/>
    <d v="2024-06-15T00:00:00"/>
    <d v="2024-05-02T00:00:00"/>
    <d v="2024-06-15T00:00:00"/>
    <n v="0.5"/>
    <n v="14"/>
    <s v="Célula Operaciones"/>
    <m/>
    <m/>
  </r>
  <r>
    <s v="2024"/>
    <s v="SIR"/>
    <m/>
    <s v="Alertas de caducidad para productos inventario restaurante"/>
    <m/>
    <s v="Revisar con los pedidos ingresados con planta y operaciones (Socializar desarrollo SIR)"/>
    <m/>
    <s v="LOCAL"/>
    <s v="Célula de Operaciones SIR 2024"/>
    <x v="4"/>
    <s v="Ecuador"/>
    <x v="48"/>
    <x v="23"/>
    <x v="2"/>
    <s v="En curso"/>
    <n v="1"/>
    <s v="Q3"/>
    <m/>
    <s v="BAJA"/>
    <m/>
    <m/>
    <m/>
    <m/>
    <m/>
    <m/>
    <m/>
    <m/>
    <m/>
    <m/>
    <m/>
    <e v="#REF!"/>
    <m/>
    <m/>
    <d v="1899-12-30T00:00:00"/>
    <m/>
    <m/>
    <d v="1899-12-30T00:00:00"/>
    <d v="1899-12-30T00:00:00"/>
    <n v="0"/>
    <n v="0"/>
    <m/>
    <m/>
    <m/>
  </r>
  <r>
    <s v="2023"/>
    <s v="SIR"/>
    <m/>
    <s v="Automatización de Compras Automaticas PLT-TIENDAS"/>
    <s v="UAT"/>
    <s v="Ver Anexo A4"/>
    <m/>
    <s v="LOCAL"/>
    <s v="Célula de Operaciones SIR 2023"/>
    <x v="4"/>
    <s v="Ecuador"/>
    <x v="47"/>
    <x v="22"/>
    <x v="1"/>
    <s v="En curso"/>
    <n v="2"/>
    <s v="Q2"/>
    <m/>
    <s v="ALTA"/>
    <m/>
    <n v="5"/>
    <n v="2"/>
    <n v="450"/>
    <m/>
    <n v="5140"/>
    <m/>
    <m/>
    <n v="2"/>
    <m/>
    <m/>
    <e v="#REF!"/>
    <d v="2024-04-24T00:00:00"/>
    <d v="2024-05-08T00:00:00"/>
    <d v="2894-07-28T00:00:00"/>
    <d v="2024-05-14T00:00:00"/>
    <m/>
    <d v="1899-12-30T00:00:00"/>
    <d v="1899-12-30T00:00:00"/>
    <n v="1.25"/>
    <n v="-45426"/>
    <s v="Célula Operaciones"/>
    <m/>
    <m/>
  </r>
  <r>
    <s v="2023"/>
    <s v="SIR"/>
    <m/>
    <s v="Cambio de costo maximo y minimo costo configurado en artículo y Usos y Consumos"/>
    <s v="N/A"/>
    <s v="Ver Anexo A4"/>
    <m/>
    <s v="LOCAL"/>
    <s v="Otros - Presupuesto 2023"/>
    <x v="4"/>
    <s v="Ecuador"/>
    <x v="47"/>
    <x v="22"/>
    <x v="1"/>
    <s v="Finalizado"/>
    <n v="12"/>
    <s v="Q1"/>
    <m/>
    <s v="BAJA"/>
    <m/>
    <n v="2"/>
    <n v="2"/>
    <n v="400"/>
    <m/>
    <n v="2240"/>
    <m/>
    <m/>
    <n v="0"/>
    <d v="2024-01-15T00:00:00"/>
    <d v="2024-01-26T00:00:00"/>
    <e v="#REF!"/>
    <d v="2024-03-05T00:00:00"/>
    <d v="2024-03-12T00:00:00"/>
    <d v="2893-06-16T00:00:00"/>
    <m/>
    <m/>
    <d v="2024-01-15T00:00:00"/>
    <d v="1899-12-30T00:00:00"/>
    <n v="0.5"/>
    <n v="0"/>
    <s v="Presupuesto 2023"/>
    <m/>
    <m/>
  </r>
  <r>
    <s v="2024"/>
    <s v="SIR"/>
    <m/>
    <s v="Cambio en Reportes (Pedidos, Usos&amp;Consumos, Listado de Articulos)"/>
    <m/>
    <s v="Ver Anexo A4"/>
    <m/>
    <s v="LOCAL"/>
    <s v="Célula de Operaciones SIR 2024"/>
    <x v="4"/>
    <s v="Ecuador"/>
    <x v="47"/>
    <x v="22"/>
    <x v="0"/>
    <s v="No iniciado"/>
    <n v="20"/>
    <s v="Q4"/>
    <m/>
    <s v="BAJA"/>
    <m/>
    <n v="6"/>
    <n v="2"/>
    <n v="450"/>
    <m/>
    <n v="6040"/>
    <m/>
    <m/>
    <m/>
    <d v="2024-11-11T00:00:00"/>
    <d v="2024-12-20T00:00:00"/>
    <e v="#REF!"/>
    <d v="2025-01-07T00:00:00"/>
    <d v="2025-01-10T00:00:00"/>
    <d v="2900-03-12T00:00:00"/>
    <m/>
    <m/>
    <d v="2024-11-11T00:00:00"/>
    <d v="1899-12-30T00:00:00"/>
    <n v="1.5"/>
    <n v="0"/>
    <s v="Célula Operaciones"/>
    <m/>
    <m/>
  </r>
  <r>
    <s v="2023"/>
    <s v="MXP LEGACY"/>
    <m/>
    <s v="Cashless multiples formas de pago"/>
    <m/>
    <s v="A cargo de Javier Sánchez, se tiene un avance del 70%. Se ofreció entregar para  el 2 de enero."/>
    <m/>
    <s v="LOCAL"/>
    <s v="Operaciones Aeropuerto 2024"/>
    <x v="4"/>
    <s v="Ecuador"/>
    <x v="49"/>
    <x v="24"/>
    <x v="2"/>
    <s v="En curso"/>
    <n v="4"/>
    <s v="Q1"/>
    <s v="Veronica Jácome indica que este proceso se encuentra suspendido por temas legales."/>
    <s v="BAJA"/>
    <n v="1"/>
    <n v="0"/>
    <n v="0"/>
    <n v="550"/>
    <m/>
    <n v="580"/>
    <m/>
    <m/>
    <m/>
    <d v="2024-02-26T00:00:00"/>
    <d v="2024-03-01T00:00:00"/>
    <d v="1900-01-03T00:00:00"/>
    <d v="2024-03-11T00:00:00"/>
    <d v="2024-03-22T00:00:00"/>
    <d v="2893-08-07T00:00:00"/>
    <d v="2024-03-25T00:00:00"/>
    <d v="2024-04-05T00:00:00"/>
    <d v="2024-02-26T00:00:00"/>
    <d v="2024-04-05T00:00:00"/>
    <n v="0"/>
    <n v="11"/>
    <s v="Eliminar"/>
    <m/>
    <m/>
  </r>
  <r>
    <s v="2024"/>
    <s v="SIR"/>
    <m/>
    <s v="Cierre automático de Pedidos segun Configuracion por Proveedor"/>
    <m/>
    <s v="Ver Anexo A4"/>
    <m/>
    <s v="LOCAL"/>
    <s v="Célula de Operaciones SIR 2024"/>
    <x v="4"/>
    <s v="Ecuador"/>
    <x v="47"/>
    <x v="22"/>
    <x v="0"/>
    <s v="No iniciado"/>
    <n v="26"/>
    <s v="Q4"/>
    <m/>
    <s v="MEDIA"/>
    <m/>
    <n v="4"/>
    <n v="2"/>
    <n v="400"/>
    <m/>
    <n v="3840"/>
    <m/>
    <m/>
    <m/>
    <d v="2024-11-18T00:00:00"/>
    <d v="2024-12-13T00:00:00"/>
    <e v="#REF!"/>
    <d v="2024-12-17T00:00:00"/>
    <d v="2024-12-23T00:00:00"/>
    <d v="2899-09-28T00:00:00"/>
    <m/>
    <m/>
    <d v="2024-11-18T00:00:00"/>
    <d v="1899-12-30T00:00:00"/>
    <n v="1"/>
    <n v="0"/>
    <s v="Célula Operaciones"/>
    <m/>
    <m/>
  </r>
  <r>
    <s v="2024"/>
    <s v="SIR"/>
    <m/>
    <s v="Código de Barras ( Español)"/>
    <m/>
    <s v="Ver Anexo A4"/>
    <m/>
    <s v="LOCAL"/>
    <s v="Célula de Operaciones SIR 2024"/>
    <x v="4"/>
    <s v="Ecuador"/>
    <x v="47"/>
    <x v="22"/>
    <x v="0"/>
    <s v="No iniciado"/>
    <n v="17"/>
    <s v="Q3"/>
    <m/>
    <s v="BAJA"/>
    <m/>
    <n v="3"/>
    <n v="2"/>
    <n v="400"/>
    <m/>
    <n v="3040"/>
    <m/>
    <m/>
    <m/>
    <d v="2024-07-01T00:00:00"/>
    <d v="2024-07-20T00:00:00"/>
    <e v="#REF!"/>
    <d v="2024-04-23T00:00:00"/>
    <d v="2024-07-30T00:00:00"/>
    <d v="2894-10-12T00:00:00"/>
    <m/>
    <m/>
    <d v="2024-07-01T00:00:00"/>
    <d v="1899-12-30T00:00:00"/>
    <n v="0.75"/>
    <n v="0"/>
    <s v="Célula Operaciones"/>
    <m/>
    <m/>
  </r>
  <r>
    <s v="2024"/>
    <s v="SIR"/>
    <m/>
    <s v="Cupones de Dinero y Descuentos"/>
    <s v="MXP LEGACY"/>
    <s v="Ver Anexo A4"/>
    <m/>
    <s v="LOCAL"/>
    <s v="Célula de Operaciones SIR 2024"/>
    <x v="4"/>
    <s v="Ecuador"/>
    <x v="47"/>
    <x v="22"/>
    <x v="0"/>
    <s v="Iniciado "/>
    <n v="15"/>
    <s v="Q2"/>
    <m/>
    <s v="MEDIA"/>
    <m/>
    <n v="2"/>
    <n v="2"/>
    <n v="400"/>
    <m/>
    <n v="2240"/>
    <m/>
    <m/>
    <n v="3"/>
    <d v="2024-05-27T00:00:00"/>
    <m/>
    <e v="#REF!"/>
    <m/>
    <m/>
    <d v="1899-12-30T00:00:00"/>
    <d v="2024-06-25T00:00:00"/>
    <d v="2024-07-24T00:00:00"/>
    <d v="2024-05-27T00:00:00"/>
    <d v="2024-07-24T00:00:00"/>
    <n v="0.5"/>
    <n v="29"/>
    <s v="Célula Operaciones"/>
    <m/>
    <m/>
  </r>
  <r>
    <s v="2024"/>
    <s v="SIR"/>
    <m/>
    <s v="Definir Modelo de Costos en SIR ( Sug. Promedio ponderado similar a SAP)"/>
    <m/>
    <s v="Ver Anexo A4"/>
    <m/>
    <s v="LOCAL"/>
    <s v="Célula de Operaciones SIR 2024"/>
    <x v="4"/>
    <s v="Ecuador"/>
    <x v="47"/>
    <x v="22"/>
    <x v="0"/>
    <s v="No iniciado"/>
    <n v="18"/>
    <s v="Q4"/>
    <m/>
    <s v="ALTA"/>
    <m/>
    <n v="6"/>
    <n v="2"/>
    <n v="450"/>
    <m/>
    <n v="6040"/>
    <m/>
    <m/>
    <m/>
    <d v="2024-11-04T00:00:00"/>
    <d v="2024-12-13T00:00:00"/>
    <e v="#REF!"/>
    <d v="2025-01-07T00:00:00"/>
    <d v="2025-01-15T00:00:00"/>
    <d v="2900-03-17T00:00:00"/>
    <m/>
    <m/>
    <d v="2024-11-04T00:00:00"/>
    <d v="1899-12-30T00:00:00"/>
    <n v="1.5"/>
    <n v="0"/>
    <s v="Célula Operaciones"/>
    <m/>
    <m/>
  </r>
  <r>
    <s v="2024"/>
    <s v="SIR"/>
    <m/>
    <s v="Digitalización de Toma Fisica de Inventario"/>
    <m/>
    <s v="Ver Anexo A4"/>
    <m/>
    <s v="LOCAL"/>
    <s v="Célula de Operaciones SIR 2024"/>
    <x v="4"/>
    <s v="Ecuador"/>
    <x v="47"/>
    <x v="22"/>
    <x v="0"/>
    <s v="No iniciado"/>
    <n v="13"/>
    <s v="Q3"/>
    <m/>
    <s v="BAJA"/>
    <m/>
    <n v="3"/>
    <n v="2"/>
    <n v="400"/>
    <m/>
    <n v="3040"/>
    <m/>
    <m/>
    <m/>
    <d v="2024-06-17T00:00:00"/>
    <d v="2024-07-05T00:00:00"/>
    <e v="#REF!"/>
    <d v="2024-09-09T00:00:00"/>
    <d v="2024-07-16T00:00:00"/>
    <d v="2897-05-28T00:00:00"/>
    <m/>
    <m/>
    <d v="2024-06-17T00:00:00"/>
    <d v="1899-12-30T00:00:00"/>
    <n v="0.75"/>
    <n v="0"/>
    <s v="Célula Operaciones"/>
    <m/>
    <m/>
  </r>
  <r>
    <s v="2024"/>
    <s v="MXP LEGACY"/>
    <m/>
    <s v="Digitalización del Proceso de Canje de Cupones para Socios Corporativos en el Aeropuerto"/>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s v="LOCAL"/>
    <s v="Validar con ambos aeropuertos, pendiente confirmacion Jose Luis Tello"/>
    <x v="4"/>
    <s v="Ecuador"/>
    <x v="50"/>
    <x v="24"/>
    <x v="0"/>
    <s v="No iniciado"/>
    <m/>
    <s v="Q3"/>
    <m/>
    <s v="MEDIA"/>
    <m/>
    <n v="5"/>
    <n v="1"/>
    <n v="550"/>
    <m/>
    <n v="3310"/>
    <m/>
    <m/>
    <n v="4"/>
    <d v="2024-07-01T00:00:00"/>
    <d v="2024-08-05T00:00:00"/>
    <d v="2024-12-01T00:00:00"/>
    <d v="2024-08-06T00:00:00"/>
    <d v="2024-08-20T00:00:00"/>
    <d v="2024-12-07T00:00:00"/>
    <d v="2024-08-21T00:00:00"/>
    <d v="2024-09-04T00:00:00"/>
    <d v="2024-07-01T00:00:00"/>
    <d v="2024-09-04T00:00:00"/>
    <n v="1.25"/>
    <n v="14"/>
    <s v="Pendiente definición de Aereopuertos Quito / Gye"/>
    <m/>
    <m/>
  </r>
  <r>
    <s v="2024"/>
    <s v="SIR"/>
    <m/>
    <s v="Digitalizar toma fisica de activos fijos"/>
    <m/>
    <s v="Ver Anexo A4"/>
    <m/>
    <s v="LOCAL"/>
    <s v="Célula de Operaciones SIR 2024"/>
    <x v="4"/>
    <s v="Ecuador"/>
    <x v="47"/>
    <x v="22"/>
    <x v="0"/>
    <s v="No iniciado"/>
    <n v="20"/>
    <s v="Q3"/>
    <m/>
    <s v="MEDIA"/>
    <m/>
    <n v="5"/>
    <n v="2"/>
    <n v="450"/>
    <m/>
    <n v="5140"/>
    <m/>
    <m/>
    <m/>
    <d v="2024-07-15T00:00:00"/>
    <d v="2024-08-16T00:00:00"/>
    <e v="#REF!"/>
    <d v="2024-08-20T00:00:00"/>
    <d v="2024-08-27T00:00:00"/>
    <d v="2897-02-19T00:00:00"/>
    <m/>
    <m/>
    <d v="2024-07-15T00:00:00"/>
    <d v="1899-12-30T00:00:00"/>
    <n v="1.25"/>
    <n v="0"/>
    <s v="Célula Operaciones"/>
    <m/>
    <m/>
  </r>
  <r>
    <n v="2024"/>
    <s v="MXP LEGACY"/>
    <m/>
    <s v="Estabilización proceso de fidelizacion juan valdez"/>
    <m/>
    <m/>
    <m/>
    <s v="LOCAL"/>
    <s v="Celula Operaciones Maxpoint 2024"/>
    <x v="4"/>
    <s v="Ecuador"/>
    <x v="51"/>
    <x v="22"/>
    <x v="0"/>
    <s v="No iniciado"/>
    <m/>
    <s v="Q3"/>
    <m/>
    <s v="BAJA"/>
    <n v="1"/>
    <n v="4"/>
    <n v="1"/>
    <n v="550"/>
    <m/>
    <n v="2760"/>
    <m/>
    <m/>
    <n v="4"/>
    <d v="2024-07-01T00:00:00"/>
    <d v="2024-07-29T00:00:00"/>
    <d v="2024-09-26T00:00:00"/>
    <d v="2024-07-30T00:00:00"/>
    <d v="2024-08-13T00:00:00"/>
    <d v="2024-10-25T00:00:00"/>
    <d v="2024-08-14T00:00:00"/>
    <d v="2024-08-28T00:00:00"/>
    <d v="2024-07-01T00:00:00"/>
    <d v="2024-08-28T00:00:00"/>
    <d v="1899-12-31T00:00:00"/>
    <n v="14"/>
    <m/>
    <m/>
    <m/>
  </r>
  <r>
    <s v="2023"/>
    <s v="SIR"/>
    <m/>
    <s v="Flujo Pedido productos No Despachados ( Restaurantes)"/>
    <m/>
    <s v="Ver Anexo A4 - Espera de nueva definición "/>
    <m/>
    <s v="LOCAL"/>
    <s v="Célula de Operaciones SIR 2023"/>
    <x v="4"/>
    <s v="Ecuador"/>
    <x v="47"/>
    <x v="22"/>
    <x v="1"/>
    <s v="Finalizado"/>
    <n v="4"/>
    <s v="Q2"/>
    <m/>
    <s v="ALTA"/>
    <m/>
    <n v="2"/>
    <n v="3"/>
    <n v="400"/>
    <m/>
    <n v="3040"/>
    <m/>
    <m/>
    <n v="0"/>
    <m/>
    <m/>
    <e v="#REF!"/>
    <m/>
    <m/>
    <d v="1899-12-30T00:00:00"/>
    <m/>
    <m/>
    <d v="1899-12-30T00:00:00"/>
    <d v="1899-12-30T00:00:00"/>
    <n v="0.5"/>
    <n v="0"/>
    <s v="Célula Operaciones"/>
    <m/>
    <m/>
  </r>
  <r>
    <s v="2024"/>
    <s v="MXP LEGACY"/>
    <m/>
    <s v="Habilitar completamente el proceso de desasignado del cajero en el backoffice de la tienda"/>
    <m/>
    <s v="Ver Anexo A2"/>
    <m/>
    <s v="LOCAL"/>
    <s v="Celula Operaciones Maxpoint 2024"/>
    <x v="4"/>
    <s v="Ecuador"/>
    <x v="46"/>
    <x v="22"/>
    <x v="0"/>
    <s v="No iniciado"/>
    <m/>
    <s v="Q2"/>
    <m/>
    <s v="MEDIA"/>
    <n v="1"/>
    <n v="3"/>
    <n v="2"/>
    <n v="550"/>
    <m/>
    <n v="3860"/>
    <m/>
    <m/>
    <n v="3"/>
    <d v="2024-06-03T00:00:00"/>
    <d v="2024-06-24T00:00:00"/>
    <d v="2024-06-25T00:00:00"/>
    <d v="2024-07-09T00:00:00"/>
    <d v="2024-07-10T00:00:00"/>
    <d v="2024-07-24T00:00:00"/>
    <d v="2024-07-10T00:00:00"/>
    <d v="2024-07-24T00:00:00"/>
    <d v="2024-06-03T00:00:00"/>
    <d v="2024-07-24T00:00:00"/>
    <n v="0.75"/>
    <n v="14"/>
    <m/>
    <m/>
    <m/>
  </r>
  <r>
    <s v="2023"/>
    <s v="SIR"/>
    <m/>
    <s v="Hoja de Proyeccion de Pre-Producción Articulos Materia primas"/>
    <m/>
    <s v="Ver Anexo A4"/>
    <m/>
    <s v="LOCAL"/>
    <s v="Célula de Operaciones SIR 2023"/>
    <x v="4"/>
    <s v="Ecuador"/>
    <x v="47"/>
    <x v="22"/>
    <x v="1"/>
    <s v="No iniciado"/>
    <n v="5"/>
    <s v="Q2"/>
    <m/>
    <s v="MEDIA"/>
    <m/>
    <n v="2"/>
    <n v="4"/>
    <n v="400"/>
    <m/>
    <n v="3840"/>
    <m/>
    <m/>
    <n v="2"/>
    <d v="2024-04-29T00:00:00"/>
    <d v="2024-05-24T00:00:00"/>
    <e v="#REF!"/>
    <m/>
    <m/>
    <d v="1899-12-30T00:00:00"/>
    <d v="2024-05-30T00:00:00"/>
    <m/>
    <d v="2024-04-29T00:00:00"/>
    <d v="1899-12-30T00:00:00"/>
    <n v="0.5"/>
    <n v="-45442"/>
    <s v="Célula Operaciones"/>
    <m/>
    <m/>
  </r>
  <r>
    <s v="2024"/>
    <s v="MXP LEGACY"/>
    <m/>
    <s v="Homologar la versión del maxpoint en la cadena de dolce incontro"/>
    <m/>
    <s v="Implementar versión de maxpoint domicilio para dolce;"/>
    <m/>
    <s v="LOCAL"/>
    <s v="Celula Operaciones Maxpoint 2024"/>
    <x v="4"/>
    <s v="Ecuador"/>
    <x v="52"/>
    <x v="22"/>
    <x v="0"/>
    <s v="No iniciado"/>
    <m/>
    <s v="Q2"/>
    <m/>
    <s v="ALTA"/>
    <n v="1"/>
    <n v="4"/>
    <n v="2"/>
    <n v="550"/>
    <m/>
    <n v="4960"/>
    <m/>
    <m/>
    <n v="3"/>
    <d v="2024-06-03T00:00:00"/>
    <d v="2024-07-01T00:00:00"/>
    <e v="#REF!"/>
    <d v="2024-07-02T00:00:00"/>
    <d v="2024-07-16T00:00:00"/>
    <d v="2896-01-31T00:00:00"/>
    <d v="2024-07-17T00:00:00"/>
    <d v="2024-07-31T00:00:00"/>
    <d v="2024-06-03T00:00:00"/>
    <d v="2024-07-31T00:00:00"/>
    <n v="1"/>
    <n v="14"/>
    <m/>
    <m/>
    <m/>
  </r>
  <r>
    <s v="2024"/>
    <s v="MXP LEGACY"/>
    <m/>
    <s v="Identificar en la impresión de la comanda a los pedidos de salón y llevar"/>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s v="LOCAL"/>
    <s v="Celula Operaciones Maxpoint 2024"/>
    <x v="4"/>
    <s v="Ecuador"/>
    <x v="52"/>
    <x v="22"/>
    <x v="0"/>
    <s v="No iniciado"/>
    <m/>
    <s v="Q2"/>
    <s v="Se necesita mayor contexto del cliente"/>
    <s v="BAJA"/>
    <n v="1"/>
    <n v="3"/>
    <n v="1"/>
    <n v="550"/>
    <m/>
    <n v="2210"/>
    <m/>
    <m/>
    <n v="2"/>
    <d v="2024-05-02T00:00:00"/>
    <d v="2024-05-23T00:00:00"/>
    <e v="#REF!"/>
    <d v="2024-05-24T00:00:00"/>
    <d v="2024-06-07T00:00:00"/>
    <d v="2895-03-25T00:00:00"/>
    <d v="2024-06-08T00:00:00"/>
    <d v="2024-06-22T00:00:00"/>
    <d v="2024-05-02T00:00:00"/>
    <d v="2024-06-22T00:00:00"/>
    <n v="0.75"/>
    <n v="14"/>
    <m/>
    <m/>
    <m/>
  </r>
  <r>
    <s v="2024"/>
    <s v="MXP LEGACY"/>
    <m/>
    <s v="Identificar extras/modificadores asociados al producto padre en la pantalla de toma de pedido y la impresión de la orden de la cocina"/>
    <s v="MXP 2.0"/>
    <s v="Ver Anexo A2"/>
    <m/>
    <s v="LOCAL"/>
    <s v="Celula Operaciones Maxpoint 2024"/>
    <x v="4"/>
    <s v="Ecuador"/>
    <x v="46"/>
    <x v="22"/>
    <x v="0"/>
    <s v="No iniciado"/>
    <n v="1"/>
    <s v="Q2"/>
    <m/>
    <s v="BAJA"/>
    <n v="1"/>
    <n v="3"/>
    <n v="1"/>
    <n v="550"/>
    <m/>
    <n v="2210"/>
    <m/>
    <m/>
    <n v="2"/>
    <d v="2024-05-02T00:00:00"/>
    <d v="2024-05-23T00:00:00"/>
    <d v="2024-04-23T00:00:00"/>
    <d v="2024-05-24T00:00:00"/>
    <d v="2024-06-07T00:00:00"/>
    <d v="2024-06-08T00:00:00"/>
    <d v="2024-06-08T00:00:00"/>
    <d v="2024-06-22T00:00:00"/>
    <d v="2024-05-02T00:00:00"/>
    <d v="2024-06-22T00:00:00"/>
    <n v="0.75"/>
    <n v="14"/>
    <s v="Célula Operaciones"/>
    <m/>
    <m/>
  </r>
  <r>
    <s v="2024"/>
    <s v="MXP LEGACY"/>
    <m/>
    <s v="Imprimir reporte de desmontado de cajero en la impresora de la caja cuando se realice el proceso desde el backoffice"/>
    <s v="MXP 2.0"/>
    <s v="Ver Anexo A2_x000a_Arqueo, Retiros, proceso de cuadre de caja se lo haga en la oficina y no el en fronting POS, pero Imprimir la cinta en el POS caja, agrupador UX de formas de pago, BACK y Front"/>
    <m/>
    <s v="LOCAL"/>
    <s v="Celula Operaciones Maxpoint 2024"/>
    <x v="4"/>
    <s v="Ecuador"/>
    <x v="18"/>
    <x v="22"/>
    <x v="0"/>
    <s v="No iniciado"/>
    <n v="2"/>
    <s v="Q2"/>
    <m/>
    <s v="BAJA"/>
    <n v="1"/>
    <n v="3"/>
    <n v="1"/>
    <n v="550"/>
    <m/>
    <n v="2210"/>
    <m/>
    <m/>
    <n v="3"/>
    <d v="2024-06-01T00:00:00"/>
    <d v="2024-06-28T00:00:00"/>
    <d v="2024-04-23T00:00:00"/>
    <d v="2024-07-01T00:00:00"/>
    <d v="2024-07-20T00:00:00"/>
    <d v="2024-05-22T00:00:00"/>
    <d v="2024-07-22T00:00:00"/>
    <d v="2024-08-05T00:00:00"/>
    <d v="2024-06-01T00:00:00"/>
    <d v="2024-08-05T00:00:00"/>
    <d v="1899-12-30T18:00:00"/>
    <n v="14"/>
    <s v="Célula Operaciones"/>
    <m/>
    <m/>
  </r>
  <r>
    <s v="2024"/>
    <s v="SIR"/>
    <m/>
    <s v="Inclusión de PLUS en LUNCH, MERMAS y  DEGUSTACIÓN"/>
    <m/>
    <s v="Ver Anexo A4"/>
    <m/>
    <s v="LOCAL"/>
    <s v="Célula de Operaciones SIR 2024"/>
    <x v="4"/>
    <s v="Ecuador"/>
    <x v="47"/>
    <x v="22"/>
    <x v="0"/>
    <s v="No iniciado"/>
    <n v="14"/>
    <s v="Q3"/>
    <m/>
    <s v="ALTA"/>
    <m/>
    <n v="6"/>
    <n v="2"/>
    <n v="450"/>
    <m/>
    <n v="6040"/>
    <m/>
    <m/>
    <m/>
    <d v="2024-07-08T00:00:00"/>
    <d v="2024-08-16T00:00:00"/>
    <e v="#REF!"/>
    <d v="2024-08-22T00:00:00"/>
    <d v="2024-09-02T00:00:00"/>
    <d v="2897-03-11T00:00:00"/>
    <m/>
    <m/>
    <d v="2024-07-08T00:00:00"/>
    <d v="1899-12-30T00:00:00"/>
    <n v="1.5"/>
    <n v="0"/>
    <s v="Célula Operaciones"/>
    <m/>
    <m/>
  </r>
  <r>
    <s v="2024"/>
    <s v="SIR"/>
    <m/>
    <s v="Ingreso de Proyeccion Ventas y Gastos (pyg) - Real y avance"/>
    <m/>
    <s v="Ver Anexo A4"/>
    <m/>
    <s v="LOCAL"/>
    <s v="Célula de Operaciones SIR 2024"/>
    <x v="4"/>
    <s v="Ecuador"/>
    <x v="47"/>
    <x v="22"/>
    <x v="0"/>
    <s v="No iniciado"/>
    <n v="9"/>
    <s v="Q2"/>
    <m/>
    <s v="MEDIA"/>
    <m/>
    <n v="4"/>
    <n v="2"/>
    <n v="400"/>
    <m/>
    <n v="3840"/>
    <m/>
    <m/>
    <n v="2"/>
    <d v="2024-05-13T00:00:00"/>
    <m/>
    <e v="#REF!"/>
    <m/>
    <m/>
    <d v="1899-12-30T00:00:00"/>
    <d v="2024-06-18T00:00:00"/>
    <m/>
    <d v="2024-05-13T00:00:00"/>
    <d v="1899-12-30T00:00:00"/>
    <n v="1"/>
    <n v="-45461"/>
    <s v="Célula Operaciones"/>
    <m/>
    <m/>
  </r>
  <r>
    <s v="2024"/>
    <s v="MXP LEGACY"/>
    <m/>
    <s v="Integración de cupones empresariales"/>
    <s v="MXP 2.0"/>
    <s v="Se debe integrar a la versión de Ecuador la funcionalidad de cupones digitales desde la versión de Colombia_x000a_Compromiso Matriz Regional  (Ecuador)"/>
    <m/>
    <s v="LOCAL"/>
    <s v="Funcionalidades País"/>
    <x v="4"/>
    <s v="Ecuador"/>
    <x v="9"/>
    <x v="22"/>
    <x v="0"/>
    <s v="No iniciado"/>
    <m/>
    <s v="Q3"/>
    <s v="A pesar de ser un requerimiento del 2023 y asociado a la matriz regional sin embargo, ya no existe fondos en este proyecto razón por la cual se debe incluir en la matriz de operaciones ?"/>
    <m/>
    <m/>
    <n v="8"/>
    <n v="1"/>
    <n v="550"/>
    <m/>
    <n v="4960"/>
    <m/>
    <m/>
    <s v="5"/>
    <d v="2024-08-05T00:00:00"/>
    <d v="2024-09-09T00:00:00"/>
    <d v="2024-08-06T00:00:00"/>
    <d v="2024-09-10T00:00:00"/>
    <d v="2024-09-24T00:00:00"/>
    <d v="2024-09-04T00:00:00"/>
    <d v="2024-09-25T00:00:00"/>
    <d v="2024-10-09T00:00:00"/>
    <d v="2024-08-05T00:00:00"/>
    <d v="2024-10-09T00:00:00"/>
    <n v="2"/>
    <n v="14"/>
    <m/>
    <m/>
    <m/>
  </r>
  <r>
    <s v="2024"/>
    <s v="MXP NUEVO"/>
    <m/>
    <s v="Modelar la selección del canal en una misma transacción por producto"/>
    <m/>
    <s v="Ver Anexo A2_x000a_Desglosar el pedido y mediante popup seleccionar el medio del producto"/>
    <m/>
    <s v="LOCAL"/>
    <s v="Celula Operaciones Maxpoint 2024"/>
    <x v="4"/>
    <s v="Ecuador"/>
    <x v="46"/>
    <x v="22"/>
    <x v="2"/>
    <s v="No iniciado"/>
    <n v="1"/>
    <s v="Q1"/>
    <s v="Se necesita mayor contexto del cliente"/>
    <s v="MEDIA"/>
    <n v="1"/>
    <n v="1"/>
    <n v="4"/>
    <n v="550"/>
    <m/>
    <n v="2200"/>
    <m/>
    <m/>
    <m/>
    <d v="2024-02-26T00:00:00"/>
    <d v="2024-03-25T00:00:00"/>
    <e v="#REF!"/>
    <d v="2024-03-26T00:00:00"/>
    <d v="2024-04-09T00:00:00"/>
    <d v="2893-12-08T00:00:00"/>
    <d v="2024-04-10T00:00:00"/>
    <d v="2024-04-24T00:00:00"/>
    <d v="2024-02-26T00:00:00"/>
    <d v="2024-04-24T00:00:00"/>
    <n v="0.25"/>
    <n v="14"/>
    <s v="Célula Operaciones"/>
    <m/>
    <m/>
  </r>
  <r>
    <s v="2024"/>
    <s v="MXP NUEVO"/>
    <m/>
    <s v="Asignacion de Modificadores mendiante Popup y otros como la división de sándwiches"/>
    <m/>
    <s v="Ver Anexo A2"/>
    <m/>
    <s v="LOCAL"/>
    <s v="Celula Operaciones Maxpoint 2024"/>
    <x v="4"/>
    <s v="Ecuador"/>
    <x v="46"/>
    <x v="22"/>
    <x v="2"/>
    <s v="No iniciado"/>
    <n v="1"/>
    <s v="Q1"/>
    <m/>
    <s v="BAJA"/>
    <n v="1"/>
    <n v="1"/>
    <n v="3"/>
    <n v="550"/>
    <m/>
    <n v="1650"/>
    <m/>
    <m/>
    <m/>
    <d v="2024-03-18T00:00:00"/>
    <d v="2024-04-08T00:00:00"/>
    <e v="#REF!"/>
    <d v="2024-04-09T00:00:00"/>
    <d v="2024-04-23T00:00:00"/>
    <d v="2894-03-30T00:00:00"/>
    <d v="2024-04-24T00:00:00"/>
    <d v="2024-05-08T00:00:00"/>
    <d v="2024-03-18T00:00:00"/>
    <d v="2024-05-08T00:00:00"/>
    <n v="0.25"/>
    <n v="14"/>
    <s v="Célula Operaciones"/>
    <m/>
    <m/>
  </r>
  <r>
    <s v="2024"/>
    <s v="MXP NUEVO"/>
    <m/>
    <s v=" Desacoplar las preguntas de los productos, y crear preguntas del macro al micro por categorías y subcategorías de forma general para poder asociar los modificadores"/>
    <m/>
    <s v="Ver Anexo A2"/>
    <m/>
    <s v="LOCAL"/>
    <s v="Celula Operaciones Maxpoint 2024"/>
    <x v="4"/>
    <s v="Ecuador"/>
    <x v="46"/>
    <x v="22"/>
    <x v="2"/>
    <s v="No iniciado"/>
    <n v="1"/>
    <s v="Q1"/>
    <m/>
    <s v="ALTA"/>
    <n v="1"/>
    <n v="1"/>
    <n v="5"/>
    <n v="550"/>
    <m/>
    <n v="2750"/>
    <m/>
    <m/>
    <m/>
    <d v="2024-03-25T00:00:00"/>
    <d v="2024-04-29T00:00:00"/>
    <e v="#REF!"/>
    <d v="2024-04-30T00:00:00"/>
    <d v="2024-05-14T00:00:00"/>
    <d v="2894-09-14T00:00:00"/>
    <d v="2024-05-15T00:00:00"/>
    <d v="2024-05-29T00:00:00"/>
    <d v="2024-03-25T00:00:00"/>
    <d v="2024-05-29T00:00:00"/>
    <n v="0.25"/>
    <n v="14"/>
    <s v="Célula Operaciones"/>
    <m/>
    <m/>
  </r>
  <r>
    <s v="2024"/>
    <s v="MXP NUEVO"/>
    <m/>
    <s v="Ordenar botones por reglas de negocio por definirse"/>
    <m/>
    <s v="Ver Anexo A2"/>
    <m/>
    <s v="LOCAL"/>
    <s v="Celula Operaciones Maxpoint 2024"/>
    <x v="4"/>
    <s v="Ecuador"/>
    <x v="46"/>
    <x v="22"/>
    <x v="2"/>
    <s v="No iniciado"/>
    <n v="1"/>
    <s v="Q2"/>
    <m/>
    <s v="MEDIA"/>
    <n v="1"/>
    <n v="1"/>
    <n v="4"/>
    <n v="550"/>
    <m/>
    <n v="2200"/>
    <m/>
    <m/>
    <m/>
    <d v="2024-04-01T00:00:00"/>
    <d v="2024-04-29T00:00:00"/>
    <e v="#REF!"/>
    <d v="2024-04-30T00:00:00"/>
    <d v="2024-05-14T00:00:00"/>
    <d v="2894-09-14T00:00:00"/>
    <d v="2024-05-15T00:00:00"/>
    <d v="2024-05-29T00:00:00"/>
    <d v="2024-04-01T00:00:00"/>
    <d v="2024-05-29T00:00:00"/>
    <n v="0.25"/>
    <n v="14"/>
    <s v="Célula Operaciones"/>
    <m/>
    <m/>
  </r>
  <r>
    <s v="2024"/>
    <s v="MXP NUEVO"/>
    <m/>
    <s v="Que aparezcan en las pantallas de publicidad el valor de la factura a  pagar"/>
    <m/>
    <s v="Ver Anexo A2"/>
    <m/>
    <s v="LOCAL"/>
    <s v="Celula Operaciones Maxpoint 2024"/>
    <x v="4"/>
    <s v="Ecuador"/>
    <x v="46"/>
    <x v="22"/>
    <x v="2"/>
    <s v="No iniciado"/>
    <n v="2"/>
    <s v="Q2"/>
    <m/>
    <s v="MEDIA"/>
    <n v="1"/>
    <n v="1"/>
    <n v="4"/>
    <n v="550"/>
    <m/>
    <n v="2200"/>
    <m/>
    <m/>
    <m/>
    <d v="2024-04-15T00:00:00"/>
    <d v="2024-05-13T00:00:00"/>
    <e v="#REF!"/>
    <d v="2024-05-14T00:00:00"/>
    <d v="2024-05-28T00:00:00"/>
    <d v="2895-01-04T00:00:00"/>
    <d v="2024-05-29T00:00:00"/>
    <d v="2024-06-12T00:00:00"/>
    <d v="2024-04-15T00:00:00"/>
    <d v="2024-06-12T00:00:00"/>
    <n v="0.25"/>
    <n v="14"/>
    <s v="Célula Operaciones"/>
    <m/>
    <m/>
  </r>
  <r>
    <s v="2024"/>
    <s v="MXP NUEVO"/>
    <m/>
    <s v="Asignación de tamaños a de productividad ctos a botones para selección mediante popup de tamanos (Ej.: Café 8onz 12Onz 16Onz., Cola 12onz 16onz 22onz."/>
    <m/>
    <s v="Ver Anexo A2"/>
    <m/>
    <s v="LOCAL"/>
    <s v="Celula Operaciones Maxpoint 2024"/>
    <x v="4"/>
    <s v="Ecuador"/>
    <x v="46"/>
    <x v="22"/>
    <x v="2"/>
    <s v="No iniciado"/>
    <n v="2"/>
    <s v="Q2"/>
    <m/>
    <s v="MEDIA"/>
    <n v="1"/>
    <n v="2"/>
    <n v="4"/>
    <n v="550"/>
    <m/>
    <n v="4400"/>
    <m/>
    <m/>
    <m/>
    <d v="2024-04-01T00:00:00"/>
    <d v="2024-04-29T00:00:00"/>
    <d v="2024-04-30T00:00:00"/>
    <d v="2024-05-14T00:00:00"/>
    <d v="2024-05-15T00:00:00"/>
    <d v="2024-05-29T00:00:00"/>
    <d v="2024-06-19T00:00:00"/>
    <d v="2024-07-03T00:00:00"/>
    <d v="2024-04-01T00:00:00"/>
    <d v="2024-07-03T00:00:00"/>
    <n v="0.5"/>
    <n v="14"/>
    <s v="Célula Operaciones"/>
    <m/>
    <m/>
  </r>
  <r>
    <s v="2024"/>
    <s v="MXP NUEVO"/>
    <m/>
    <s v="Al momento de cobrar el sistema  tiene muchas preguntas / simplificar"/>
    <m/>
    <s v="Ver Anexo A2"/>
    <m/>
    <s v="LOCAL"/>
    <s v="Celula Operaciones Maxpoint 2024"/>
    <x v="4"/>
    <s v="Ecuador"/>
    <x v="46"/>
    <x v="22"/>
    <x v="2"/>
    <s v="No iniciado"/>
    <n v="3"/>
    <s v="Q2"/>
    <m/>
    <s v="MEDIA"/>
    <n v="1"/>
    <n v="2"/>
    <n v="4"/>
    <n v="550"/>
    <m/>
    <n v="4400"/>
    <m/>
    <m/>
    <m/>
    <d v="2024-05-02T00:00:00"/>
    <d v="2024-05-16T00:00:00"/>
    <d v="2024-05-17T00:00:00"/>
    <d v="2024-05-31T00:00:00"/>
    <d v="2024-06-01T00:00:00"/>
    <d v="2024-06-15T00:00:00"/>
    <d v="2024-06-19T00:00:00"/>
    <d v="2024-07-03T00:00:00"/>
    <d v="2024-05-02T00:00:00"/>
    <d v="2024-07-03T00:00:00"/>
    <n v="0.5"/>
    <n v="14"/>
    <s v="Célula Operaciones"/>
    <m/>
    <m/>
  </r>
  <r>
    <s v="2024"/>
    <s v="MXP NUEVO"/>
    <m/>
    <s v="Incorporar venta detallada de complementos (productos) por cajeros"/>
    <m/>
    <s v="Ver Anexo A2"/>
    <m/>
    <s v="LOCAL"/>
    <s v="Celula Operaciones Maxpoint 2024"/>
    <x v="4"/>
    <s v="Ecuador"/>
    <x v="46"/>
    <x v="22"/>
    <x v="2"/>
    <s v="No iniciado"/>
    <n v="3"/>
    <s v="Q3"/>
    <m/>
    <s v="BAJA"/>
    <n v="1"/>
    <n v="2"/>
    <n v="3"/>
    <n v="550"/>
    <m/>
    <n v="3300"/>
    <m/>
    <m/>
    <m/>
    <d v="2024-08-12T00:00:00"/>
    <d v="2024-08-26T00:00:00"/>
    <d v="2024-08-27T00:00:00"/>
    <d v="2024-09-10T00:00:00"/>
    <d v="2024-09-11T00:00:00"/>
    <d v="2024-09-25T00:00:00"/>
    <d v="2024-07-19T00:00:00"/>
    <d v="2024-08-02T00:00:00"/>
    <d v="2024-08-12T00:00:00"/>
    <d v="2024-08-02T00:00:00"/>
    <n v="0.5"/>
    <n v="14"/>
    <s v="Célula Operaciones"/>
    <m/>
    <m/>
  </r>
  <r>
    <s v="2024"/>
    <s v="MXP NUEVO"/>
    <m/>
    <s v="Poder imprimir en la orden el canal SALÓN - LLEVAR de forma separada e identificada con trazabilidad al BI"/>
    <m/>
    <s v="Ver Anexo A2"/>
    <m/>
    <s v="LOCAL"/>
    <s v="Celula Operaciones Maxpoint 2024"/>
    <x v="4"/>
    <s v="Ecuador"/>
    <x v="46"/>
    <x v="22"/>
    <x v="2"/>
    <s v="No iniciado"/>
    <n v="4"/>
    <s v="Q3"/>
    <m/>
    <s v="BAJA"/>
    <n v="1"/>
    <n v="2"/>
    <n v="2"/>
    <n v="550"/>
    <m/>
    <n v="2200"/>
    <m/>
    <m/>
    <m/>
    <d v="2024-08-05T00:00:00"/>
    <d v="2024-09-09T00:00:00"/>
    <d v="2024-09-10T00:00:00"/>
    <d v="2024-09-24T00:00:00"/>
    <d v="2024-09-25T00:00:00"/>
    <d v="2024-10-09T00:00:00"/>
    <d v="2024-07-26T00:00:00"/>
    <d v="2024-08-09T00:00:00"/>
    <d v="2024-08-05T00:00:00"/>
    <d v="2024-08-09T00:00:00"/>
    <n v="0.5"/>
    <n v="14"/>
    <s v="Célula Operaciones"/>
    <m/>
    <m/>
  </r>
  <r>
    <s v="2024"/>
    <s v="MXP NUEVO"/>
    <m/>
    <s v="Semáforo venta inteligente en los Menús, Se desea colocar colores en los botones por relevancia de venta de PODUCTIVIDAD ctos por venta inteligente VERDE&gt; contribución AMARILLO = ROJO &lt; contribución (actualmente hay muchos colores)"/>
    <m/>
    <s v="Ver Anexo A2"/>
    <m/>
    <s v="LOCAL"/>
    <s v="Celula Operaciones Maxpoint 2024"/>
    <x v="4"/>
    <s v="Ecuador"/>
    <x v="46"/>
    <x v="22"/>
    <x v="2"/>
    <s v="No iniciado"/>
    <n v="4"/>
    <s v="Q2"/>
    <m/>
    <s v="ALTA"/>
    <n v="1"/>
    <n v="2"/>
    <n v="5"/>
    <n v="550"/>
    <m/>
    <n v="5500"/>
    <m/>
    <m/>
    <m/>
    <d v="2024-04-01T00:00:00"/>
    <d v="2024-05-06T00:00:00"/>
    <d v="2024-05-07T00:00:00"/>
    <d v="2024-05-21T00:00:00"/>
    <d v="2024-05-22T00:00:00"/>
    <d v="2024-06-05T00:00:00"/>
    <d v="2024-08-23T00:00:00"/>
    <d v="2024-09-06T00:00:00"/>
    <d v="2024-04-01T00:00:00"/>
    <d v="2024-09-06T00:00:00"/>
    <n v="0.5"/>
    <n v="14"/>
    <s v="Célula Operaciones"/>
    <m/>
    <m/>
  </r>
  <r>
    <s v="2024"/>
    <s v="MXP NUEVO"/>
    <m/>
    <s v="Toma de pedido en Tablet debe ser amigable, rehacer repensar todo el sistema para lograr el efecto"/>
    <m/>
    <s v="Ver Anexo A2"/>
    <m/>
    <s v="LOCAL"/>
    <s v="Celula Operaciones Maxpoint 2024"/>
    <x v="4"/>
    <s v="Ecuador"/>
    <x v="46"/>
    <x v="22"/>
    <x v="2"/>
    <s v="No iniciado"/>
    <s v="3T 24"/>
    <s v="Q2"/>
    <m/>
    <s v="BAJA"/>
    <n v="1"/>
    <n v="0"/>
    <n v="0"/>
    <n v="550"/>
    <m/>
    <n v="0"/>
    <m/>
    <m/>
    <m/>
    <d v="2024-05-02T00:00:00"/>
    <d v="2024-05-23T00:00:00"/>
    <d v="2024-05-24T00:00:00"/>
    <d v="2024-06-07T00:00:00"/>
    <d v="2024-06-08T00:00:00"/>
    <d v="2024-06-22T00:00:00"/>
    <d v="2024-09-15T00:00:00"/>
    <d v="2024-09-29T00:00:00"/>
    <d v="2024-05-02T00:00:00"/>
    <d v="2024-09-29T00:00:00"/>
    <n v="0"/>
    <n v="14"/>
    <s v="Célula Operaciones"/>
    <m/>
    <m/>
  </r>
  <r>
    <s v="2024"/>
    <s v="MXP NUEVO"/>
    <m/>
    <s v="Agrupación de Plus para armar picadas (El Español)"/>
    <m/>
    <s v="Ver Anexo A4"/>
    <m/>
    <s v="LOCAL"/>
    <s v="Restructura de manejo de Plu´s y MasterPlu"/>
    <x v="4"/>
    <s v="Ecuador"/>
    <x v="47"/>
    <x v="22"/>
    <x v="0"/>
    <s v="No iniciado"/>
    <n v="22"/>
    <m/>
    <m/>
    <m/>
    <m/>
    <m/>
    <m/>
    <n v="550"/>
    <m/>
    <m/>
    <m/>
    <m/>
    <m/>
    <m/>
    <m/>
    <e v="#REF!"/>
    <m/>
    <m/>
    <d v="1899-12-30T00:00:00"/>
    <m/>
    <m/>
    <d v="1899-12-30T00:00:00"/>
    <d v="1899-12-30T00:00:00"/>
    <n v="0"/>
    <n v="0"/>
    <s v="Jaime va a evaluar el proceso (MAXPOINT)_x000a_No se tiene contexto del requerimiento, evaluar si se lo realiza en nuevo maxpoint"/>
    <m/>
    <m/>
  </r>
  <r>
    <s v="2024"/>
    <s v="MXP NUEVO"/>
    <m/>
    <s v="Desarrollo PMV "/>
    <m/>
    <s v="Desarrollo PMV "/>
    <m/>
    <s v="LOCAL"/>
    <m/>
    <x v="4"/>
    <s v="Ecuador"/>
    <x v="39"/>
    <x v="22"/>
    <x v="2"/>
    <s v="En curso"/>
    <m/>
    <m/>
    <m/>
    <m/>
    <m/>
    <m/>
    <m/>
    <m/>
    <m/>
    <n v="640"/>
    <m/>
    <m/>
    <m/>
    <m/>
    <m/>
    <e v="#REF!"/>
    <m/>
    <m/>
    <d v="1899-12-30T00:00:00"/>
    <m/>
    <m/>
    <d v="1899-12-30T00:00:00"/>
    <d v="1899-12-30T00:00:00"/>
    <n v="0"/>
    <n v="0"/>
    <m/>
    <m/>
    <m/>
  </r>
  <r>
    <s v="2023"/>
    <s v="SIR"/>
    <m/>
    <s v="Mayores contables - mensaje de ejecución"/>
    <s v="N/A"/>
    <s v="Ver Anexo A4"/>
    <m/>
    <s v="LOCAL"/>
    <s v="Otros - Presupuesto 2023"/>
    <x v="4"/>
    <s v="Ecuador"/>
    <x v="53"/>
    <x v="22"/>
    <x v="1"/>
    <s v="Finalizado"/>
    <m/>
    <s v="Q1"/>
    <m/>
    <s v="BAJA"/>
    <m/>
    <m/>
    <m/>
    <m/>
    <m/>
    <m/>
    <m/>
    <m/>
    <n v="0"/>
    <m/>
    <m/>
    <e v="#REF!"/>
    <m/>
    <m/>
    <d v="1899-12-30T00:00:00"/>
    <d v="2024-02-01T00:00:00"/>
    <m/>
    <d v="1899-12-30T00:00:00"/>
    <d v="1899-12-30T00:00:00"/>
    <n v="0"/>
    <n v="-45323"/>
    <s v="Proyecto 2023"/>
    <m/>
    <m/>
  </r>
  <r>
    <s v="2024"/>
    <s v="MXP LEGACY"/>
    <m/>
    <s v="Mejora de UX de pantalla de datos en toma de pedido (landing page)"/>
    <m/>
    <s v="Ver Anexo A2_x000a_Eliminar la pantallla de Datos de Delivery CONFIGURACION"/>
    <m/>
    <s v="LOCAL"/>
    <s v="Celula Operaciones Maxpoint 2024"/>
    <x v="4"/>
    <s v="Ecuador"/>
    <x v="46"/>
    <x v="22"/>
    <x v="0"/>
    <s v="No iniciado"/>
    <n v="3"/>
    <s v="Q2"/>
    <m/>
    <s v="BAJA"/>
    <n v="1"/>
    <n v="4"/>
    <n v="1"/>
    <n v="550"/>
    <m/>
    <n v="2760"/>
    <m/>
    <m/>
    <n v="2"/>
    <d v="2024-05-02T00:00:00"/>
    <d v="2024-05-28T00:00:00"/>
    <d v="2024-06-25T00:00:00"/>
    <d v="2024-06-03T00:00:00"/>
    <d v="2024-06-15T00:00:00"/>
    <d v="2024-07-24T00:00:00"/>
    <d v="2024-06-20T00:00:00"/>
    <d v="2024-06-28T00:00:00"/>
    <d v="2024-05-02T00:00:00"/>
    <d v="2024-06-28T00:00:00"/>
    <n v="1"/>
    <n v="8"/>
    <s v="Célula Operaciones"/>
    <m/>
    <m/>
  </r>
  <r>
    <s v="2024"/>
    <s v="MXP LEGACY"/>
    <m/>
    <s v="Nueva Versión Turnero v.3"/>
    <s v="MXP 2.0"/>
    <s v="Mejora de UX del Turnero para estandarización regional_x000a_Mejoras en turnero_x000a_Uso en modo vertical_x000a_Turnero en pantalla completa._x000a__x000a__x000a_"/>
    <m/>
    <s v="LOCAL"/>
    <s v="Celula Operaciones Maxpoint 2024"/>
    <x v="4"/>
    <s v="Ecuador"/>
    <x v="54"/>
    <x v="22"/>
    <x v="0"/>
    <s v="No iniciado"/>
    <m/>
    <s v="Q2"/>
    <m/>
    <s v="MEDIA"/>
    <m/>
    <n v="6"/>
    <n v="1"/>
    <n v="550"/>
    <m/>
    <n v="3860"/>
    <m/>
    <m/>
    <n v="3"/>
    <d v="2024-06-03T00:00:00"/>
    <d v="2024-07-15T00:00:00"/>
    <e v="#REF!"/>
    <d v="2024-07-16T00:00:00"/>
    <d v="2024-07-30T00:00:00"/>
    <m/>
    <d v="2024-07-31T00:00:00"/>
    <d v="2024-08-14T00:00:00"/>
    <d v="2024-06-03T00:00:00"/>
    <d v="2024-08-14T00:00:00"/>
    <n v="1.5"/>
    <n v="14"/>
    <m/>
    <m/>
    <m/>
  </r>
  <r>
    <s v="2024"/>
    <s v="MXP LEGACY"/>
    <m/>
    <s v="Mejora de UX para agilizar selección de menú en moódulo de toma de pedido"/>
    <s v="MXP 2.0"/>
    <s v="Ver Anexo A2"/>
    <m/>
    <s v="LOCAL"/>
    <s v="Celula Operaciones Maxpoint 2024"/>
    <x v="4"/>
    <s v="Ecuador"/>
    <x v="46"/>
    <x v="22"/>
    <x v="0"/>
    <s v="No iniciado"/>
    <n v="4"/>
    <s v="Q2"/>
    <m/>
    <s v="BAJA"/>
    <n v="1"/>
    <n v="3"/>
    <n v="2"/>
    <n v="550"/>
    <m/>
    <n v="3860"/>
    <m/>
    <m/>
    <n v="2"/>
    <d v="2024-05-02T00:00:00"/>
    <d v="2024-05-28T00:00:00"/>
    <d v="2024-10-03T00:00:00"/>
    <d v="2024-06-03T00:00:00"/>
    <d v="2024-06-15T00:00:00"/>
    <d v="2024-11-01T00:00:00"/>
    <d v="2024-06-20T00:00:00"/>
    <d v="2024-06-28T00:00:00"/>
    <d v="2024-05-02T00:00:00"/>
    <d v="2024-06-28T00:00:00"/>
    <n v="0.75"/>
    <n v="8"/>
    <s v="Célula Operaciones"/>
    <m/>
    <m/>
  </r>
  <r>
    <s v="2024"/>
    <s v="MXP LEGACY"/>
    <m/>
    <s v="Mejora de UX para el proceso de recuperación de pedidos kiosko/pickup"/>
    <s v="MXP 2.0"/>
    <s v="Ver Anexo A2_x000a_PICKUP / Pantalla mesas-&gt; boton pickup: Mejorar la experiencia del usuario. Actualmente se debe realizar muchos clicks "/>
    <m/>
    <s v="LOCAL"/>
    <s v="Celula Operaciones Maxpoint 2024"/>
    <x v="4"/>
    <s v="Ecuador"/>
    <x v="46"/>
    <x v="22"/>
    <x v="0"/>
    <s v="No iniciado"/>
    <m/>
    <s v="Q2"/>
    <m/>
    <s v="MEDIA"/>
    <n v="1"/>
    <n v="3"/>
    <n v="2"/>
    <n v="550"/>
    <m/>
    <n v="3860"/>
    <m/>
    <m/>
    <n v="3"/>
    <d v="2024-06-03T00:00:00"/>
    <d v="2024-06-24T00:00:00"/>
    <e v="#REF!"/>
    <d v="2024-06-25T00:00:00"/>
    <d v="2024-07-09T00:00:00"/>
    <d v="2895-12-06T00:00:00"/>
    <d v="2024-07-10T00:00:00"/>
    <d v="2024-07-24T00:00:00"/>
    <d v="2024-06-03T00:00:00"/>
    <d v="2024-07-24T00:00:00"/>
    <n v="0.75"/>
    <n v="14"/>
    <m/>
    <m/>
    <m/>
  </r>
  <r>
    <s v="2024"/>
    <s v="CANALES DIGITALES"/>
    <s v="APP"/>
    <s v="Notificación Cliente de llegada a destino"/>
    <s v="MXP LEGACY_x000a_TRADE"/>
    <s v="Aplica para KFC Ecuador, cuando el motorizado llegue a la casa del cliente"/>
    <s v="BAJA"/>
    <s v="LOCAL"/>
    <s v="Funcionalidades Locales"/>
    <x v="4"/>
    <s v="Ecuador"/>
    <x v="55"/>
    <x v="25"/>
    <x v="1"/>
    <s v="No iniciado"/>
    <m/>
    <s v="Q3"/>
    <s v="p59"/>
    <s v="ALTA"/>
    <m/>
    <n v="8"/>
    <n v="1"/>
    <n v="550"/>
    <m/>
    <n v="5040"/>
    <m/>
    <m/>
    <m/>
    <d v="2024-09-02T00:00:00"/>
    <d v="2024-09-23T00:00:00"/>
    <n v="21"/>
    <d v="2024-09-23T00:00:00"/>
    <d v="2024-09-30T00:00:00"/>
    <n v="364471"/>
    <d v="2024-09-30T00:00:00"/>
    <d v="2024-10-07T00:00:00"/>
    <d v="2024-09-01T00:00:00"/>
    <d v="2024-10-27T00:00:00"/>
    <n v="2"/>
    <n v="7"/>
    <m/>
    <m/>
    <m/>
  </r>
  <r>
    <s v="2024"/>
    <s v="MXP LEGACY"/>
    <m/>
    <s v="Notificación de estado cancelado de los pedidos de agregadores hacia maxpoint"/>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s v="LOCAL"/>
    <s v="Celula Operaciones Maxpoint 2024"/>
    <x v="4"/>
    <s v="Ecuador"/>
    <x v="52"/>
    <x v="22"/>
    <x v="0"/>
    <s v="No iniciado"/>
    <m/>
    <s v="Q3"/>
    <m/>
    <s v="BAJA"/>
    <n v="1"/>
    <n v="5"/>
    <n v="1"/>
    <n v="550"/>
    <m/>
    <n v="3310"/>
    <m/>
    <m/>
    <n v="5"/>
    <d v="2024-08-05T00:00:00"/>
    <d v="2024-09-09T00:00:00"/>
    <e v="#REF!"/>
    <d v="2024-09-10T00:00:00"/>
    <d v="2024-09-24T00:00:00"/>
    <d v="2897-08-13T00:00:00"/>
    <d v="2024-09-25T00:00:00"/>
    <d v="2024-10-09T00:00:00"/>
    <d v="2024-08-05T00:00:00"/>
    <d v="2024-10-09T00:00:00"/>
    <n v="1.25"/>
    <n v="14"/>
    <m/>
    <m/>
    <m/>
  </r>
  <r>
    <s v="2024"/>
    <s v="MXP LEGACY"/>
    <m/>
    <s v="Notificación de pedido listo hacia los agregadores"/>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s v="LOCAL"/>
    <s v="Celula Operaciones Maxpoint 2024"/>
    <x v="4"/>
    <s v="Ecuador"/>
    <x v="52"/>
    <x v="22"/>
    <x v="0"/>
    <s v="No iniciado"/>
    <m/>
    <s v="Q3"/>
    <m/>
    <s v="BAJA"/>
    <n v="1"/>
    <n v="4"/>
    <n v="2"/>
    <n v="550"/>
    <m/>
    <n v="4960"/>
    <m/>
    <m/>
    <n v="5"/>
    <d v="2024-08-19T00:00:00"/>
    <d v="2024-09-23T00:00:00"/>
    <e v="#REF!"/>
    <d v="2024-09-24T00:00:00"/>
    <d v="2024-10-08T00:00:00"/>
    <d v="2897-12-03T00:00:00"/>
    <d v="2024-10-09T00:00:00"/>
    <d v="2024-10-23T00:00:00"/>
    <d v="2024-08-19T00:00:00"/>
    <d v="2024-10-23T00:00:00"/>
    <d v="1899-12-31T00:00:00"/>
    <n v="14"/>
    <m/>
    <m/>
    <m/>
  </r>
  <r>
    <s v="2024"/>
    <s v="MXP LEGACY"/>
    <m/>
    <s v="Nuevo servicio de tarjetas v2.0"/>
    <s v="MXP 2.0"/>
    <s v="Nuevo servicio de tarjetas por api netcore"/>
    <m/>
    <s v="LOCAL"/>
    <s v="Servicio de tarjetas en netCore"/>
    <x v="4"/>
    <s v="Ecuador"/>
    <x v="18"/>
    <x v="22"/>
    <x v="0"/>
    <s v="No iniciado"/>
    <m/>
    <s v="Q2"/>
    <m/>
    <s v="ALTA"/>
    <n v="1"/>
    <n v="8"/>
    <n v="2"/>
    <n v="550"/>
    <m/>
    <n v="26980"/>
    <m/>
    <m/>
    <n v="2"/>
    <d v="2024-05-02T00:00:00"/>
    <d v="2024-06-28T00:00:00"/>
    <d v="1900-02-25T00:00:00"/>
    <d v="2024-07-01T00:00:00"/>
    <d v="2024-07-15T00:00:00"/>
    <d v="2896-01-23T00:00:00"/>
    <d v="2024-07-20T00:00:00"/>
    <d v="2024-07-28T00:00:00"/>
    <d v="2024-05-02T00:00:00"/>
    <d v="2024-07-28T00:00:00"/>
    <n v="2"/>
    <n v="8"/>
    <s v="Identificado Grupo de Soporte"/>
    <m/>
    <m/>
  </r>
  <r>
    <s v="2024"/>
    <s v="MXP LEGACY"/>
    <m/>
    <s v="Nuevo UX de pantalla de desmontado de cajero"/>
    <s v="MXP 2.0"/>
    <s v="Ver Anexo A2"/>
    <m/>
    <s v="LOCAL"/>
    <s v="Celula Operaciones Maxpoint 2024"/>
    <x v="4"/>
    <s v="Ecuador"/>
    <x v="46"/>
    <x v="22"/>
    <x v="0"/>
    <s v="Iniciado "/>
    <m/>
    <s v="Q2"/>
    <m/>
    <s v="MEDIA"/>
    <n v="1"/>
    <n v="5"/>
    <n v="2"/>
    <n v="550"/>
    <m/>
    <n v="6060"/>
    <m/>
    <m/>
    <n v="1"/>
    <d v="2024-04-01T00:00:00"/>
    <d v="2024-05-06T00:00:00"/>
    <e v="#REF!"/>
    <d v="2024-05-07T00:00:00"/>
    <d v="2024-05-21T00:00:00"/>
    <d v="2894-11-09T00:00:00"/>
    <d v="2024-05-22T00:00:00"/>
    <d v="2024-06-05T00:00:00"/>
    <d v="2024-04-01T00:00:00"/>
    <d v="2024-06-05T00:00:00"/>
    <n v="1.25"/>
    <n v="14"/>
    <s v="EL proyecto puedo continuar con el desarrollo si el presupuesto es aprobado antes del inicio de sprint 2 "/>
    <m/>
    <m/>
  </r>
  <r>
    <s v="2024"/>
    <s v="MXP LEGACY"/>
    <m/>
    <s v="Optimización de la velocidad de carga del menú luego de loguear al cajero"/>
    <s v="MXP 2.0"/>
    <s v="Ver Anexo A2_x000a_Al ingresar a max point tarda en cargar para el ingreso de claves"/>
    <m/>
    <s v="LOCAL"/>
    <s v="Celula Operaciones Maxpoint 2024"/>
    <x v="4"/>
    <s v="Ecuador"/>
    <x v="46"/>
    <x v="22"/>
    <x v="0"/>
    <s v="No iniciado"/>
    <n v="1"/>
    <s v="Q2"/>
    <m/>
    <s v="BAJA"/>
    <n v="1"/>
    <n v="3"/>
    <n v="1"/>
    <n v="550"/>
    <m/>
    <n v="2210"/>
    <m/>
    <m/>
    <n v="2"/>
    <d v="2024-05-02T00:00:00"/>
    <d v="2024-05-30T00:00:00"/>
    <d v="2024-05-31T00:00:00"/>
    <d v="2024-06-14T00:00:00"/>
    <d v="2024-06-15T00:00:00"/>
    <d v="2024-06-29T00:00:00"/>
    <d v="2024-06-18T00:00:00"/>
    <d v="2024-06-23T00:00:00"/>
    <d v="2024-05-02T00:00:00"/>
    <d v="2024-06-23T00:00:00"/>
    <n v="0.75"/>
    <n v="5"/>
    <s v="Célula Operaciones"/>
    <m/>
    <m/>
  </r>
  <r>
    <s v="2024"/>
    <s v="MXP LEGACY"/>
    <m/>
    <s v="Optimización en algoritmo de búsqueda de productos"/>
    <s v="MXP 2.0"/>
    <s v="Ver Anexo A2_x000a_No hay busqueda compleja de productos por nombres "/>
    <m/>
    <s v="LOCAL"/>
    <s v="Celula Operaciones Maxpoint 2024"/>
    <x v="4"/>
    <s v="Ecuador"/>
    <x v="46"/>
    <x v="22"/>
    <x v="0"/>
    <s v="No iniciado"/>
    <n v="4"/>
    <s v="Q2"/>
    <m/>
    <s v="BAJA"/>
    <n v="1"/>
    <n v="2"/>
    <n v="1"/>
    <n v="550"/>
    <m/>
    <n v="1660"/>
    <m/>
    <m/>
    <n v="3"/>
    <d v="2024-06-03T00:00:00"/>
    <d v="2024-06-15T00:00:00"/>
    <d v="2024-08-06T00:00:00"/>
    <d v="2024-06-20T00:00:00"/>
    <d v="2024-06-25T00:00:00"/>
    <d v="2024-09-04T00:00:00"/>
    <d v="2024-06-28T00:00:00"/>
    <d v="2024-07-03T00:00:00"/>
    <d v="2024-06-03T00:00:00"/>
    <d v="2024-07-03T00:00:00"/>
    <n v="0.5"/>
    <n v="5"/>
    <s v="Célula Operaciones"/>
    <m/>
    <m/>
  </r>
  <r>
    <s v="2024"/>
    <s v="CANALES DIGITALES"/>
    <s v="Tracking"/>
    <s v="Pantalla para rastreo de pedidos (Tracking) motorizados en CDC "/>
    <s v="MXP LEGACY_x000a_TRADE"/>
    <s v="Aplica para KFC Ecuador"/>
    <s v="BAJA"/>
    <s v="LOCAL"/>
    <s v="Funcionalidades Locales"/>
    <x v="4"/>
    <s v="Ecuador"/>
    <x v="55"/>
    <x v="25"/>
    <x v="1"/>
    <s v="No iniciado"/>
    <m/>
    <s v="Q3"/>
    <s v="p58"/>
    <s v="ALTA"/>
    <m/>
    <n v="8"/>
    <n v="1"/>
    <n v="550"/>
    <m/>
    <n v="5040"/>
    <m/>
    <m/>
    <m/>
    <d v="2024-08-12T00:00:00"/>
    <d v="2024-09-23T00:00:00"/>
    <n v="42"/>
    <d v="2024-09-23T00:00:00"/>
    <d v="2024-09-30T00:00:00"/>
    <n v="364471"/>
    <d v="2024-09-30T00:00:00"/>
    <d v="2024-10-07T00:00:00"/>
    <d v="2024-08-01T00:00:00"/>
    <d v="2024-09-26T00:00:00"/>
    <n v="2"/>
    <n v="7"/>
    <m/>
    <m/>
    <m/>
  </r>
  <r>
    <s v="2023"/>
    <s v="SIR"/>
    <m/>
    <s v="Pedidos Sugeridos con interface SAP"/>
    <s v="BI"/>
    <s v="Ver Anexo A4"/>
    <m/>
    <s v="LOCAL"/>
    <s v="Célula de Operaciones SIR 2023"/>
    <x v="4"/>
    <s v="Ecuador"/>
    <x v="47"/>
    <x v="22"/>
    <x v="1"/>
    <s v="En curso"/>
    <n v="8"/>
    <s v="Q2"/>
    <m/>
    <s v="ALTA"/>
    <m/>
    <n v="3"/>
    <n v="5"/>
    <n v="400"/>
    <m/>
    <n v="6640"/>
    <m/>
    <m/>
    <n v="1"/>
    <d v="2024-04-01T00:00:00"/>
    <d v="2024-05-08T00:00:00"/>
    <e v="#REF!"/>
    <d v="2024-05-15T00:00:00"/>
    <m/>
    <d v="2770-08-15T00:00:00"/>
    <d v="2024-05-22T00:00:00"/>
    <m/>
    <d v="2024-04-01T00:00:00"/>
    <d v="1899-12-30T00:00:00"/>
    <n v="0.75"/>
    <n v="-45434"/>
    <s v="Célula Operaciones"/>
    <m/>
    <m/>
  </r>
  <r>
    <s v="2024"/>
    <s v="SIR"/>
    <m/>
    <s v="Pedidos Sugeridos con interface SAP - Extensión BI"/>
    <m/>
    <s v="Ver Anexo A4"/>
    <m/>
    <s v="LOCAL"/>
    <s v="Célula de Operaciones SIR 2024"/>
    <x v="4"/>
    <s v="Ecuador"/>
    <x v="47"/>
    <x v="22"/>
    <x v="0"/>
    <s v="No iniciado"/>
    <n v="20"/>
    <s v="Q4"/>
    <m/>
    <s v="ALTA"/>
    <m/>
    <n v="8"/>
    <n v="1"/>
    <n v="400"/>
    <m/>
    <n v="3840"/>
    <m/>
    <m/>
    <m/>
    <m/>
    <m/>
    <e v="#REF!"/>
    <m/>
    <m/>
    <d v="1899-12-30T00:00:00"/>
    <m/>
    <m/>
    <d v="1899-12-30T00:00:00"/>
    <d v="1899-12-30T00:00:00"/>
    <n v="2"/>
    <n v="0"/>
    <m/>
    <m/>
    <m/>
  </r>
  <r>
    <s v="2024"/>
    <s v="MXP LEGACY"/>
    <m/>
    <s v="Permitir ingreso de cedulas de extranjeros"/>
    <s v="MXP 2.0"/>
    <s v="Ver Anexo A2_x000a_Al realizar facturas hay cedulas de extranjeros que no permite ingresar"/>
    <m/>
    <s v="LOCAL"/>
    <s v="Celula Operaciones Maxpoint 2024"/>
    <x v="4"/>
    <s v="Ecuador"/>
    <x v="46"/>
    <x v="22"/>
    <x v="0"/>
    <s v="No iniciado"/>
    <n v="3"/>
    <s v="Q2"/>
    <m/>
    <s v="BAJA"/>
    <n v="1"/>
    <n v="4"/>
    <n v="1"/>
    <n v="550"/>
    <m/>
    <n v="2760"/>
    <m/>
    <m/>
    <n v="2"/>
    <d v="2024-05-02T00:00:00"/>
    <d v="2024-05-27T00:00:00"/>
    <d v="2024-05-28T00:00:00"/>
    <d v="2024-06-11T00:00:00"/>
    <d v="2024-06-12T00:00:00"/>
    <d v="2024-06-26T00:00:00"/>
    <d v="2024-06-18T00:00:00"/>
    <d v="2024-06-23T00:00:00"/>
    <d v="2024-05-02T00:00:00"/>
    <d v="2024-06-23T00:00:00"/>
    <n v="1"/>
    <n v="5"/>
    <s v="Célula Operaciones"/>
    <m/>
    <m/>
  </r>
  <r>
    <s v="2024"/>
    <s v="SIR"/>
    <m/>
    <s v="Planificación de Recetas y subrecetas para degustación  y Lunch (productos, articulos y presupuesto total al mes)(Calculadora) (calendario)"/>
    <m/>
    <s v="Ver Anexo A4"/>
    <m/>
    <s v="LOCAL"/>
    <s v="Célula de Operaciones SIR 2024"/>
    <x v="4"/>
    <s v="Ecuador"/>
    <x v="47"/>
    <x v="22"/>
    <x v="0"/>
    <s v="No iniciado"/>
    <n v="23"/>
    <s v="Q4"/>
    <m/>
    <s v="ALTA"/>
    <m/>
    <n v="8"/>
    <n v="2"/>
    <n v="450"/>
    <m/>
    <n v="7840"/>
    <m/>
    <m/>
    <m/>
    <d v="2024-09-23T00:00:00"/>
    <d v="2024-11-08T00:00:00"/>
    <e v="#REF!"/>
    <d v="2024-11-12T00:00:00"/>
    <d v="2024-11-19T00:00:00"/>
    <d v="2898-12-23T00:00:00"/>
    <m/>
    <m/>
    <d v="2024-09-23T00:00:00"/>
    <d v="1899-12-30T00:00:00"/>
    <n v="2"/>
    <n v="0"/>
    <s v="Célula Operaciones"/>
    <m/>
    <m/>
  </r>
  <r>
    <s v="2024"/>
    <s v="SISTEMAS INTERNOS"/>
    <m/>
    <s v="Plataforma Etraining: Operaciones"/>
    <m/>
    <s v="Desarrollo interno de plataforma Elearning, actualmente se tiene un proveedor externo con un costo de 20 usd por local (presupuesto anual 86 k anual)"/>
    <m/>
    <s v="LOCAL"/>
    <s v="Elearning Varios Clientes"/>
    <x v="4"/>
    <s v="Ecuador"/>
    <x v="56"/>
    <x v="26"/>
    <x v="1"/>
    <s v="No iniciado"/>
    <s v="Q1"/>
    <s v="Q3"/>
    <m/>
    <s v="ALTA"/>
    <m/>
    <n v="30"/>
    <n v="3"/>
    <n v="750"/>
    <m/>
    <n v="70000"/>
    <n v="364"/>
    <m/>
    <m/>
    <d v="2024-03-14T00:00:00"/>
    <d v="2024-07-14T00:00:00"/>
    <e v="#REF!"/>
    <d v="2024-07-14T00:00:00"/>
    <d v="2024-08-14T00:00:00"/>
    <d v="2896-05-23T00:00:00"/>
    <d v="2024-08-14T00:00:00"/>
    <d v="2024-09-14T00:00:00"/>
    <d v="2024-03-14T00:00:00"/>
    <d v="2024-09-14T00:00:00"/>
    <n v="7.5"/>
    <n v="31"/>
    <m/>
    <s v="Con datos del costo actual a proveedor"/>
    <m/>
  </r>
  <r>
    <s v="2024"/>
    <s v="MXP LEGACY"/>
    <m/>
    <s v="Rediseño del algoritmo para clasificar el medio de venta de una transacción"/>
    <s v="MXP 2.0"/>
    <s v="- Actualmente se realiza ingreso mensual en la caja  (se registra en menú llamadas)_x000a_- Dolce Incontro: no dispones de botón de pago, se utiliza salón_x000a_ - Botones de Pago Inyección (Otros Agregadores Provincias): "/>
    <m/>
    <s v="LOCAL"/>
    <s v="Celula Operaciones Maxpoint 2024"/>
    <x v="4"/>
    <s v="Ecuador"/>
    <x v="52"/>
    <x v="22"/>
    <x v="0"/>
    <s v="No iniciado"/>
    <m/>
    <s v="Q3"/>
    <s v="Se necesita mayor contexto del cliente"/>
    <s v="BAJA"/>
    <n v="1"/>
    <n v="5"/>
    <n v="1"/>
    <n v="550"/>
    <m/>
    <n v="3310"/>
    <m/>
    <m/>
    <n v="4"/>
    <d v="2024-07-01T00:00:00"/>
    <d v="2024-08-05T00:00:00"/>
    <e v="#REF!"/>
    <d v="2024-08-06T00:00:00"/>
    <d v="2024-08-20T00:00:00"/>
    <d v="2896-11-06T00:00:00"/>
    <d v="2024-08-21T00:00:00"/>
    <d v="2024-09-04T00:00:00"/>
    <d v="2024-07-01T00:00:00"/>
    <d v="2024-09-04T00:00:00"/>
    <n v="1.25"/>
    <n v="14"/>
    <m/>
    <m/>
    <m/>
  </r>
  <r>
    <s v="2024"/>
    <s v="SIR"/>
    <m/>
    <s v="Rediseño Estructura de Recetas ( Optimización Plus por Canales)"/>
    <m/>
    <s v="Ver Anexo A4"/>
    <m/>
    <s v="LOCAL"/>
    <s v="Célula de Operaciones SIR 2024"/>
    <x v="4"/>
    <s v="Ecuador"/>
    <x v="47"/>
    <x v="22"/>
    <x v="0"/>
    <s v="No iniciado"/>
    <n v="11"/>
    <s v="Q3"/>
    <m/>
    <s v="ALTA"/>
    <m/>
    <n v="8"/>
    <n v="2"/>
    <n v="450"/>
    <m/>
    <n v="7840"/>
    <m/>
    <m/>
    <m/>
    <d v="2024-08-12T00:00:00"/>
    <d v="2024-10-04T00:00:00"/>
    <e v="#REF!"/>
    <d v="2014-10-08T00:00:00"/>
    <d v="2024-10-22T00:00:00"/>
    <d v="2828-03-21T00:00:00"/>
    <m/>
    <m/>
    <d v="2024-08-12T00:00:00"/>
    <d v="1899-12-30T00:00:00"/>
    <n v="2"/>
    <n v="0"/>
    <s v="Célula Operaciones"/>
    <m/>
    <m/>
  </r>
  <r>
    <s v="2024"/>
    <s v="SIR"/>
    <m/>
    <s v="Reporte de Stock V2 Cambio de alcance "/>
    <m/>
    <s v="Ver Anexo A4"/>
    <m/>
    <s v="LOCAL"/>
    <s v="Célula de Operaciones SIR 2024"/>
    <x v="4"/>
    <s v="Ecuador"/>
    <x v="47"/>
    <x v="22"/>
    <x v="0"/>
    <s v="No iniciado"/>
    <n v="24"/>
    <s v="Q2"/>
    <m/>
    <s v="MEDIA"/>
    <m/>
    <n v="4"/>
    <n v="2"/>
    <n v="400"/>
    <m/>
    <n v="3840"/>
    <m/>
    <m/>
    <n v="2"/>
    <d v="2024-04-29T00:00:00"/>
    <m/>
    <e v="#REF!"/>
    <m/>
    <m/>
    <d v="1899-12-30T00:00:00"/>
    <d v="2024-05-15T00:00:00"/>
    <m/>
    <d v="2024-04-29T00:00:00"/>
    <d v="1899-12-30T00:00:00"/>
    <n v="1"/>
    <n v="-45427"/>
    <m/>
    <m/>
    <m/>
  </r>
  <r>
    <s v="2024"/>
    <s v="CANALES DIGITALES"/>
    <s v="APP"/>
    <s v="SMS tracking pedido vía llamada"/>
    <s v="MXP LEGACY_x000a_TRADE"/>
    <s v="Aplica para KFC Ecuador"/>
    <s v="BAJA"/>
    <s v="LOCAL"/>
    <s v="Funcionalidades Locales"/>
    <x v="4"/>
    <s v="Ecuador"/>
    <x v="55"/>
    <x v="25"/>
    <x v="1"/>
    <s v="No iniciado"/>
    <m/>
    <s v="Q3"/>
    <s v="p57"/>
    <s v="ALTA"/>
    <m/>
    <n v="6"/>
    <n v="1"/>
    <n v="550"/>
    <m/>
    <n v="3940"/>
    <m/>
    <m/>
    <m/>
    <d v="2024-09-02T00:00:00"/>
    <d v="2024-09-16T00:00:00"/>
    <n v="14"/>
    <d v="2024-09-16T00:00:00"/>
    <d v="2024-09-23T00:00:00"/>
    <n v="364415"/>
    <d v="2024-09-23T00:00:00"/>
    <d v="2024-09-30T00:00:00"/>
    <d v="2024-09-01T00:00:00"/>
    <d v="2024-10-13T00:00:00"/>
    <n v="1.5"/>
    <n v="7"/>
    <m/>
    <m/>
    <m/>
  </r>
  <r>
    <s v="2024"/>
    <s v="SIR"/>
    <m/>
    <s v="Usos y Consumos con grupo de artículos cadena"/>
    <m/>
    <s v="Ver Anexo A4"/>
    <m/>
    <s v="LOCAL"/>
    <s v="Célula de Operaciones SIR 2024"/>
    <x v="4"/>
    <s v="Ecuador"/>
    <x v="57"/>
    <x v="22"/>
    <x v="0"/>
    <s v="No iniciado"/>
    <n v="24"/>
    <s v="Q4"/>
    <m/>
    <s v="ALTA"/>
    <m/>
    <n v="5"/>
    <n v="2"/>
    <n v="450"/>
    <m/>
    <n v="4500"/>
    <m/>
    <m/>
    <m/>
    <d v="2024-10-14T00:00:00"/>
    <d v="2024-11-23T00:00:00"/>
    <e v="#REF!"/>
    <d v="2024-11-26T00:00:00"/>
    <d v="2024-11-29T00:00:00"/>
    <d v="2899-04-10T00:00:00"/>
    <m/>
    <m/>
    <d v="2024-10-14T00:00:00"/>
    <d v="1899-12-30T00:00:00"/>
    <n v="1.25"/>
    <n v="0"/>
    <m/>
    <m/>
    <m/>
  </r>
  <r>
    <s v="2023"/>
    <s v="SIR"/>
    <m/>
    <s v="Usos y Consumos Resumido por Grupo de Articulos"/>
    <m/>
    <s v="Ver Anexo A4"/>
    <m/>
    <s v="LOCAL"/>
    <s v="Célula de Operaciones SIR 2023"/>
    <x v="4"/>
    <s v="Ecuador"/>
    <x v="47"/>
    <x v="22"/>
    <x v="1"/>
    <s v="Finalizado"/>
    <n v="7"/>
    <s v="Q1"/>
    <m/>
    <s v="BAJA"/>
    <m/>
    <n v="2"/>
    <n v="2"/>
    <n v="400"/>
    <m/>
    <n v="2240"/>
    <m/>
    <m/>
    <n v="0"/>
    <d v="2024-01-29T00:00:00"/>
    <d v="2024-02-09T00:00:00"/>
    <e v="#REF!"/>
    <d v="2024-03-05T00:00:00"/>
    <d v="2024-03-12T00:00:00"/>
    <d v="2893-06-16T00:00:00"/>
    <m/>
    <m/>
    <d v="2024-01-29T00:00:00"/>
    <d v="1899-12-30T00:00:00"/>
    <n v="0.5"/>
    <n v="0"/>
    <s v="Célula Operaciones"/>
    <m/>
    <m/>
  </r>
  <r>
    <s v="2024"/>
    <s v="SIR"/>
    <m/>
    <s v="V2. Calculo de proyecciones sugeridas de PyG"/>
    <m/>
    <s v="Ver Anexo A4"/>
    <m/>
    <s v="LOCAL"/>
    <s v="Célula de Operaciones SIR 2024"/>
    <x v="4"/>
    <s v="Ecuador"/>
    <x v="47"/>
    <x v="22"/>
    <x v="0"/>
    <s v="No iniciado"/>
    <n v="24"/>
    <s v="Q3"/>
    <m/>
    <s v="MEDIA"/>
    <m/>
    <n v="4"/>
    <n v="2"/>
    <n v="400"/>
    <m/>
    <n v="3840"/>
    <m/>
    <m/>
    <n v="4"/>
    <d v="2024-06-24T00:00:00"/>
    <m/>
    <d v="2024-04-30T00:00:00"/>
    <m/>
    <m/>
    <d v="1899-12-30T00:00:00"/>
    <d v="2024-07-25T00:00:00"/>
    <m/>
    <d v="2024-06-24T00:00:00"/>
    <d v="1899-12-30T00:00:00"/>
    <n v="1"/>
    <n v="-45498"/>
    <s v="Célula Operaciones"/>
    <m/>
    <m/>
  </r>
  <r>
    <s v="2023"/>
    <s v="SIR"/>
    <m/>
    <s v="VAR (Real + Proyeccion)"/>
    <s v="BI"/>
    <s v="Ver Anexo A4"/>
    <m/>
    <s v="LOCAL"/>
    <s v="Célula de Operaciones SIR 2023"/>
    <x v="4"/>
    <s v="Ecuador"/>
    <x v="47"/>
    <x v="22"/>
    <x v="1"/>
    <s v="No iniciado"/>
    <n v="3"/>
    <s v="Q2"/>
    <m/>
    <s v="MEDIA"/>
    <m/>
    <n v="2"/>
    <n v="4"/>
    <n v="400"/>
    <m/>
    <n v="3840"/>
    <m/>
    <m/>
    <n v="2"/>
    <d v="2024-05-13T00:00:00"/>
    <d v="2024-06-07T00:00:00"/>
    <e v="#REF!"/>
    <m/>
    <m/>
    <d v="1899-12-30T00:00:00"/>
    <d v="2024-06-13T00:00:00"/>
    <m/>
    <d v="2024-05-13T00:00:00"/>
    <d v="1899-12-30T00:00:00"/>
    <n v="0.5"/>
    <n v="-45456"/>
    <s v="Célula Operaciones"/>
    <m/>
    <m/>
  </r>
  <r>
    <s v="2023"/>
    <s v="SIR"/>
    <m/>
    <s v="Visualizar lo que planta tiene en stock y fecha de caducidad para tener datos reales"/>
    <s v="N/A"/>
    <s v="Ver Anexo A4"/>
    <m/>
    <s v="LOCAL"/>
    <s v="Célula de Operaciones SIR 2023"/>
    <x v="4"/>
    <s v="Ecuador"/>
    <x v="47"/>
    <x v="22"/>
    <x v="1"/>
    <s v="Finalizado"/>
    <n v="6"/>
    <s v="Q1"/>
    <m/>
    <s v="BAJA"/>
    <m/>
    <n v="2"/>
    <n v="2"/>
    <n v="400"/>
    <m/>
    <n v="2240"/>
    <m/>
    <m/>
    <n v="0"/>
    <d v="2023-12-03T00:00:00"/>
    <d v="2023-12-15T00:00:00"/>
    <e v="#REF!"/>
    <s v="-"/>
    <s v="-"/>
    <e v="#VALUE!"/>
    <m/>
    <m/>
    <d v="2023-12-03T00:00:00"/>
    <d v="1899-12-30T00:00:00"/>
    <n v="0.5"/>
    <n v="0"/>
    <s v="Célula Operaciones"/>
    <m/>
    <m/>
  </r>
  <r>
    <s v="2024"/>
    <s v="ERP"/>
    <m/>
    <s v="Atar Notas de crédito de empresas Relacionadas  - Cliente Proveedor en SAP"/>
    <m/>
    <s v="Compensacion Automatica de Facturas con Notas de credito Cliente, se ejecuta un bot en Clt y PROV, proceso semanal, 5 pax "/>
    <m/>
    <s v="LOCAL"/>
    <s v="Optimización Procesos Plantas"/>
    <x v="5"/>
    <s v="Ecuador"/>
    <x v="28"/>
    <x v="4"/>
    <x v="0"/>
    <s v="No iniciado"/>
    <s v="Q2"/>
    <s v="Q2"/>
    <m/>
    <s v="MEDIA"/>
    <n v="1"/>
    <n v="3"/>
    <n v="1"/>
    <n v="1100"/>
    <m/>
    <n v="3300"/>
    <m/>
    <m/>
    <m/>
    <d v="2024-02-26T00:00:00"/>
    <d v="2024-03-25T00:00:00"/>
    <n v="28"/>
    <d v="2024-03-25T00:00:00"/>
    <d v="2024-04-01T00:00:00"/>
    <n v="7"/>
    <m/>
    <m/>
    <d v="2024-02-26T00:00:00"/>
    <d v="1899-12-30T00:00:00"/>
    <n v="0.75"/>
    <n v="0"/>
    <m/>
    <m/>
    <m/>
  </r>
  <r>
    <s v="2024"/>
    <s v="ERP"/>
    <m/>
    <s v="Clasificación Automatizada de Facturas de Autoconsumo vs Descarga de Inventarios"/>
    <m/>
    <s v="Automatización para la clasificación y transferencia de Inventarios para pedidos de Servicios Internos_x000a_Se está asumiendo IVA de Autoconsumo si no se hace este movimiento le cuesta al año $3000"/>
    <m/>
    <s v="LOCAL"/>
    <s v="Traspaso de Sistemas Internos a SAP para analizar"/>
    <x v="5"/>
    <s v="Ecuador"/>
    <x v="28"/>
    <x v="6"/>
    <x v="2"/>
    <s v="No iniciado"/>
    <m/>
    <s v="Q4"/>
    <m/>
    <s v="ALTA"/>
    <n v="1"/>
    <n v="8"/>
    <n v="1"/>
    <n v="550"/>
    <m/>
    <n v="4400"/>
    <m/>
    <m/>
    <m/>
    <m/>
    <m/>
    <n v="0"/>
    <m/>
    <m/>
    <n v="0"/>
    <m/>
    <m/>
    <d v="1899-12-30T00:00:00"/>
    <d v="1899-12-30T00:00:00"/>
    <n v="2"/>
    <n v="0"/>
    <m/>
    <m/>
    <m/>
  </r>
  <r>
    <s v="2024"/>
    <s v="ERP"/>
    <m/>
    <s v="Ingresar las Facturas Relacionadas  Log de Errores Y Doc Preliminares -SAP"/>
    <m/>
    <s v="Corregir los motivos por los que se generan log de errores , gasto fabril, particion de lotes, cambio de precios."/>
    <m/>
    <s v="LOCAL"/>
    <s v="Optimización Procesos Plantas"/>
    <x v="5"/>
    <s v="Ecuador"/>
    <x v="6"/>
    <x v="4"/>
    <x v="0"/>
    <s v="No iniciado"/>
    <s v="Q2"/>
    <s v="Q2"/>
    <m/>
    <s v="MEDIA"/>
    <n v="1"/>
    <n v="3"/>
    <n v="1"/>
    <n v="1100"/>
    <m/>
    <n v="3300"/>
    <m/>
    <m/>
    <m/>
    <m/>
    <m/>
    <n v="0"/>
    <m/>
    <m/>
    <n v="0"/>
    <m/>
    <m/>
    <d v="1899-12-30T00:00:00"/>
    <d v="1899-12-30T00:00:00"/>
    <n v="0.75"/>
    <n v="0"/>
    <m/>
    <m/>
    <m/>
  </r>
  <r>
    <s v="2024"/>
    <s v="BI"/>
    <m/>
    <s v="Reporte de pedidos no despachados por no disponibilidad"/>
    <m/>
    <s v="Reporte para controlar aquellos despachos que no realizan por falta de productos (vinculo con proveedor y capacidad de la planta. (Costo de oportunidad) (Consultar con Juan Celi) - Total por área - vinculo con pedido de compras."/>
    <m/>
    <s v="LOCAL"/>
    <s v="Juan Celi"/>
    <x v="5"/>
    <s v="Ecuador"/>
    <x v="58"/>
    <x v="12"/>
    <x v="0"/>
    <s v="No iniciado"/>
    <m/>
    <m/>
    <m/>
    <m/>
    <n v="1"/>
    <n v="4"/>
    <n v="1"/>
    <n v="1100"/>
    <m/>
    <n v="4400"/>
    <m/>
    <m/>
    <m/>
    <m/>
    <m/>
    <n v="0"/>
    <m/>
    <m/>
    <n v="0"/>
    <m/>
    <m/>
    <d v="1899-12-30T00:00:00"/>
    <d v="1899-12-30T00:00:00"/>
    <n v="1"/>
    <n v="0"/>
    <m/>
    <m/>
    <m/>
  </r>
  <r>
    <s v="2024"/>
    <s v="ERP"/>
    <m/>
    <s v="Liberacion de Facturas Bloqueadas MRBR - FBL1H-SAP"/>
    <m/>
    <s v="Desbloqueo Automatico, INTERCOMPANY. Particion de lotes, al calcular gasto fabril da una diferencia de 1 o 2 ctvos. LA MIRO tiene una tolerancia de l5%, contabiliza pero da un bloque automático,LEs toca desbloquear todos los dias y tesoreira no puede ejeuctar los pagos"/>
    <m/>
    <s v="LOCAL"/>
    <s v="Optimización Procesos Plantas"/>
    <x v="5"/>
    <s v="Ecuador"/>
    <x v="28"/>
    <x v="4"/>
    <x v="0"/>
    <s v="No iniciado"/>
    <s v="Q2"/>
    <s v="Q2"/>
    <m/>
    <s v="MEDIA"/>
    <n v="1"/>
    <n v="2"/>
    <n v="1"/>
    <n v="1100"/>
    <m/>
    <n v="2200"/>
    <m/>
    <m/>
    <m/>
    <m/>
    <m/>
    <n v="0"/>
    <m/>
    <m/>
    <n v="0"/>
    <m/>
    <m/>
    <d v="1899-12-30T00:00:00"/>
    <d v="1899-12-30T00:00:00"/>
    <n v="0.5"/>
    <n v="0"/>
    <m/>
    <m/>
    <m/>
  </r>
  <r>
    <s v="2024"/>
    <s v="ERP"/>
    <m/>
    <s v="Nivel de Ocupación de camiones"/>
    <m/>
    <s v="Mediante este desarollo se optimizara el cubicaje del camión y"/>
    <m/>
    <s v="LOCAL"/>
    <s v="Control Ocupación Camiones"/>
    <x v="5"/>
    <s v="Ecuador"/>
    <x v="28"/>
    <x v="27"/>
    <x v="0"/>
    <s v="No iniciado"/>
    <s v="Q2"/>
    <s v="Q2"/>
    <m/>
    <s v="MEDIA"/>
    <n v="1"/>
    <n v="1"/>
    <n v="2"/>
    <n v="1100"/>
    <m/>
    <n v="2200"/>
    <m/>
    <m/>
    <m/>
    <d v="2024-02-07T00:00:00"/>
    <d v="2024-03-07T00:00:00"/>
    <n v="29"/>
    <d v="2024-03-07T00:00:00"/>
    <d v="2024-03-14T00:00:00"/>
    <n v="7"/>
    <d v="2024-03-14T00:00:00"/>
    <d v="2024-03-21T00:00:00"/>
    <d v="2024-02-07T00:00:00"/>
    <d v="2024-03-21T00:00:00"/>
    <n v="0.25"/>
    <n v="7"/>
    <m/>
    <m/>
    <m/>
  </r>
  <r>
    <s v="2024"/>
    <s v="SISTEMAS INTERNOS"/>
    <m/>
    <s v="Pedidos Planta: Control de Cupos por empleado"/>
    <m/>
    <s v="Redimencionamiento de requerimiento para control de cupos en Planta"/>
    <m/>
    <s v="LOCAL"/>
    <s v="Talento Humano Planta"/>
    <x v="5"/>
    <s v="Ecuador"/>
    <x v="28"/>
    <x v="6"/>
    <x v="0"/>
    <s v="No iniciado"/>
    <m/>
    <s v="Q3"/>
    <m/>
    <s v="MEDIA"/>
    <n v="1"/>
    <n v="5"/>
    <n v="1"/>
    <n v="550"/>
    <m/>
    <n v="2750"/>
    <m/>
    <m/>
    <m/>
    <d v="2024-07-01T00:00:00"/>
    <d v="2024-08-01T00:00:00"/>
    <n v="31"/>
    <d v="2024-08-01T00:00:00"/>
    <d v="2024-08-07T00:00:00"/>
    <n v="6"/>
    <d v="2024-08-07T00:00:00"/>
    <d v="2024-08-14T00:00:00"/>
    <d v="2024-07-01T00:00:00"/>
    <d v="2024-08-14T00:00:00"/>
    <n v="1.25"/>
    <n v="7"/>
    <m/>
    <m/>
    <m/>
  </r>
  <r>
    <s v="2024"/>
    <s v="ERP"/>
    <m/>
    <s v="Picking Lotes consolidados"/>
    <m/>
    <s v="Contar con sistema de despacho mediante consolidacion de lotes Packing"/>
    <m/>
    <s v="LOCAL"/>
    <s v="Optimización Procesos Plantas"/>
    <x v="5"/>
    <s v="Ecuador"/>
    <x v="28"/>
    <x v="28"/>
    <x v="0"/>
    <s v="No iniciado"/>
    <s v="Q2"/>
    <s v="Q3"/>
    <m/>
    <s v="MEDIA"/>
    <n v="1"/>
    <n v="3"/>
    <n v="2"/>
    <n v="1100"/>
    <m/>
    <n v="6600"/>
    <m/>
    <m/>
    <m/>
    <m/>
    <m/>
    <n v="0"/>
    <m/>
    <m/>
    <n v="0"/>
    <m/>
    <m/>
    <d v="1899-12-30T00:00:00"/>
    <d v="1899-12-30T00:00:00"/>
    <n v="0.75"/>
    <n v="0"/>
    <m/>
    <m/>
    <m/>
  </r>
  <r>
    <s v="2024"/>
    <s v="ERP"/>
    <m/>
    <s v="Planificación de la Producción (MPS)"/>
    <m/>
    <s v="Implementar la Planificación de Producción para Plantas (Master Production Schedule)"/>
    <m/>
    <s v="LOCAL"/>
    <s v="Implementacion Modelo MPS Plantas"/>
    <x v="5"/>
    <s v="Ecuador"/>
    <x v="28"/>
    <x v="29"/>
    <x v="0"/>
    <s v="No iniciado"/>
    <s v="Q3"/>
    <s v="Q3"/>
    <m/>
    <s v="MEDIA"/>
    <n v="1"/>
    <n v="6"/>
    <n v="1"/>
    <n v="1100"/>
    <m/>
    <n v="6600"/>
    <m/>
    <m/>
    <m/>
    <d v="2024-04-07T00:00:00"/>
    <d v="2024-05-28T00:00:00"/>
    <n v="51"/>
    <d v="2024-05-28T00:00:00"/>
    <d v="2024-05-28T00:00:00"/>
    <n v="0"/>
    <d v="2024-05-28T00:00:00"/>
    <d v="2024-06-28T00:00:00"/>
    <d v="2024-04-07T00:00:00"/>
    <d v="2024-06-28T00:00:00"/>
    <n v="1.5"/>
    <n v="31"/>
    <m/>
    <m/>
    <m/>
  </r>
  <r>
    <s v="2024"/>
    <s v="SISTEMAS INTERNOS"/>
    <m/>
    <s v="Plataforma Elearning: Planta"/>
    <m/>
    <s v="herramienta que permita entrenar al personal operativo para ejecución de procesos productivos. - Relación con solicitud de capacitación otras marcas (Español)"/>
    <m/>
    <s v="LOCAL"/>
    <s v="Elearning Varios Clientes"/>
    <x v="5"/>
    <s v="Ecuador"/>
    <x v="59"/>
    <x v="12"/>
    <x v="0"/>
    <s v="No iniciado"/>
    <m/>
    <s v="Q4"/>
    <m/>
    <s v="ALTA"/>
    <m/>
    <n v="8"/>
    <n v="1"/>
    <n v="1000"/>
    <m/>
    <n v="8640"/>
    <n v="4000"/>
    <m/>
    <m/>
    <d v="2024-08-14T00:00:00"/>
    <d v="2024-09-21T00:00:00"/>
    <e v="#REF!"/>
    <d v="2024-09-21T00:00:00"/>
    <d v="2024-10-07T00:00:00"/>
    <d v="2897-11-11T00:00:00"/>
    <d v="2024-10-07T00:00:00"/>
    <d v="2024-10-21T00:00:00"/>
    <d v="2024-08-14T00:00:00"/>
    <d v="2024-10-21T00:00:00"/>
    <n v="2"/>
    <n v="14"/>
    <m/>
    <m/>
    <m/>
  </r>
  <r>
    <s v="2024"/>
    <s v="ERP"/>
    <m/>
    <s v="Reabastecimiento"/>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s v="LOCAL"/>
    <s v="Optimización Procesos Plantas"/>
    <x v="5"/>
    <s v="Ecuador"/>
    <x v="28"/>
    <x v="28"/>
    <x v="0"/>
    <s v="No iniciado"/>
    <s v="Q2"/>
    <s v="Q2"/>
    <m/>
    <s v="MEDIA"/>
    <n v="1"/>
    <n v="3"/>
    <n v="1"/>
    <n v="1100"/>
    <m/>
    <n v="3300"/>
    <m/>
    <m/>
    <m/>
    <d v="2024-02-07T00:00:00"/>
    <d v="2024-03-07T00:00:00"/>
    <n v="29"/>
    <d v="2024-03-14T00:00:00"/>
    <d v="2024-03-14T00:00:00"/>
    <n v="0"/>
    <d v="2024-03-14T00:00:00"/>
    <d v="2024-03-21T00:00:00"/>
    <d v="2024-02-07T00:00:00"/>
    <d v="2024-03-21T00:00:00"/>
    <n v="0.75"/>
    <n v="7"/>
    <m/>
    <m/>
    <m/>
  </r>
  <r>
    <s v="2024"/>
    <s v="ERP"/>
    <m/>
    <s v="Registro de descuentos a transportistas ( Cuentas por Cobrar- Rastreo Satelital-Fumigacion)-SAP"/>
    <m/>
    <s v="Capacitacion Prorrateos - Automatizacion de descuentos, LA FAC QUEDA EN UNA CUENTA TRANSITORIA Y SE GENERAN LAS FACTURAS A CADA UNO DE LOS PROVEEDORES. lUEGO DESDE FIONA SE INTEGRE CON SAP Y GENERE ASIENTEO CONTABLE_x000a_uN DIA L MES 2 PAX NACIONAL"/>
    <m/>
    <s v="LOCAL"/>
    <s v="Optimización Procesos Plantas"/>
    <x v="5"/>
    <s v="Ecuador"/>
    <x v="28"/>
    <x v="4"/>
    <x v="2"/>
    <s v="No iniciado"/>
    <s v="Q2"/>
    <s v="Q2"/>
    <m/>
    <s v="MEDIA"/>
    <n v="1"/>
    <n v="4"/>
    <n v="1"/>
    <n v="1100"/>
    <m/>
    <n v="4400"/>
    <m/>
    <m/>
    <m/>
    <m/>
    <m/>
    <n v="0"/>
    <m/>
    <m/>
    <n v="0"/>
    <m/>
    <m/>
    <d v="1899-12-30T00:00:00"/>
    <d v="1899-12-30T00:00:00"/>
    <n v="1"/>
    <n v="0"/>
    <m/>
    <m/>
    <m/>
  </r>
  <r>
    <s v="2024"/>
    <s v="ERP"/>
    <m/>
    <s v="Revision / Cierre de Pedidos Abiertos VA05-SAP"/>
    <m/>
    <s v="Cierre Automatico de ordenes de venta no tratadas en 48 horas _x000a_Se crean pedidos y no se tratan toca obtener un reporte y eliminar los mismos_x000a_JOB automatico"/>
    <m/>
    <s v="LOCAL"/>
    <s v="Optimización Procesos Plantas"/>
    <x v="5"/>
    <s v="Ecuador"/>
    <x v="28"/>
    <x v="4"/>
    <x v="0"/>
    <s v="No iniciado"/>
    <s v="Q2"/>
    <s v="Q2"/>
    <m/>
    <s v="MEDIA"/>
    <n v="1"/>
    <n v="1"/>
    <n v="1"/>
    <n v="1100"/>
    <m/>
    <n v="1100"/>
    <m/>
    <m/>
    <m/>
    <m/>
    <m/>
    <n v="0"/>
    <m/>
    <m/>
    <n v="0"/>
    <m/>
    <m/>
    <d v="1899-12-30T00:00:00"/>
    <d v="1899-12-30T00:00:00"/>
    <d v="1899-12-30T06:00:00"/>
    <n v="0"/>
    <m/>
    <m/>
    <m/>
  </r>
  <r>
    <s v="2024"/>
    <s v="SISTEMAS INTERNOS"/>
    <m/>
    <s v="Sistema Aprobaciones OCs: Manejo de Items/Materiales creados en SAP"/>
    <m/>
    <s v="Creación de OCs a SAP de Materiales"/>
    <m/>
    <s v="LOCAL"/>
    <s v="Aprobación orden de compra - Planta"/>
    <x v="5"/>
    <s v="Ecuador"/>
    <x v="28"/>
    <x v="6"/>
    <x v="0"/>
    <s v="No iniciado"/>
    <m/>
    <s v="Q4"/>
    <m/>
    <s v="ALTA"/>
    <m/>
    <n v="7"/>
    <n v="1"/>
    <n v="550"/>
    <m/>
    <n v="5850"/>
    <m/>
    <m/>
    <m/>
    <m/>
    <m/>
    <e v="#REF!"/>
    <m/>
    <m/>
    <d v="1899-12-30T00:00:00"/>
    <m/>
    <m/>
    <d v="1899-12-30T00:00:00"/>
    <d v="1899-12-30T00:00:00"/>
    <n v="1.75"/>
    <n v="0"/>
    <m/>
    <m/>
    <m/>
  </r>
  <r>
    <s v="2024"/>
    <s v="ERP"/>
    <m/>
    <s v="Vaciado de materiales en Centro de Transito - SAP"/>
    <m/>
    <s v="Consumo sea totalmente Automatico, hay un job que corre en automático, todos los dias 1 pax, baja disponible e49,e41, e20, e51, zmmtansito trx._x000a_se quedan a dirio 1500 , y en zcosumo quedan 30. migo manual realizan cada responsable, en e20 pide lote y eso demora"/>
    <m/>
    <s v="LOCAL"/>
    <s v="Optimización Procesos Plantas"/>
    <x v="5"/>
    <s v="Ecuador"/>
    <x v="28"/>
    <x v="4"/>
    <x v="0"/>
    <s v="No iniciado"/>
    <s v="Q2"/>
    <s v="Q2"/>
    <m/>
    <s v="MEDIA"/>
    <n v="1"/>
    <n v="1"/>
    <n v="1"/>
    <n v="1100"/>
    <m/>
    <n v="1100"/>
    <m/>
    <m/>
    <m/>
    <m/>
    <m/>
    <n v="0"/>
    <m/>
    <m/>
    <n v="0"/>
    <m/>
    <m/>
    <d v="1899-12-30T00:00:00"/>
    <d v="1899-12-30T00:00:00"/>
    <n v="0.25"/>
    <n v="0"/>
    <m/>
    <m/>
    <m/>
  </r>
  <r>
    <s v="2024"/>
    <s v="BI"/>
    <m/>
    <s v="Base de datos de Curriculums para Reclutamiento"/>
    <m/>
    <s v="Revisar con Amarilis"/>
    <m/>
    <s v="LOCAL"/>
    <s v="Funcionalidades Locales"/>
    <x v="6"/>
    <s v="Venezuela"/>
    <x v="33"/>
    <x v="30"/>
    <x v="0"/>
    <s v="No iniciado"/>
    <m/>
    <s v="Q3"/>
    <m/>
    <s v="MEDIA"/>
    <n v="1"/>
    <m/>
    <m/>
    <m/>
    <m/>
    <n v="640"/>
    <m/>
    <m/>
    <m/>
    <m/>
    <m/>
    <e v="#REF!"/>
    <m/>
    <m/>
    <d v="1899-12-30T00:00:00"/>
    <m/>
    <m/>
    <d v="1899-12-30T00:00:00"/>
    <d v="1899-12-30T00:00:00"/>
    <n v="0"/>
    <n v="0"/>
    <m/>
    <m/>
    <m/>
  </r>
  <r>
    <s v="2024"/>
    <s v="MXP LEGACY"/>
    <m/>
    <s v="Arqueo de tiendas"/>
    <m/>
    <s v="reporte detallado que muestre los retiros y arqueos realizados por los locales, Billete, cantidad y valor "/>
    <m/>
    <s v="LOCAL"/>
    <s v="Funcionalidades Locales"/>
    <x v="6"/>
    <s v="Colombia"/>
    <x v="34"/>
    <x v="18"/>
    <x v="1"/>
    <s v="No iniciado"/>
    <m/>
    <s v="Q2"/>
    <m/>
    <s v="MEDIA"/>
    <n v="1"/>
    <n v="4"/>
    <n v="1"/>
    <n v="625"/>
    <m/>
    <n v="2500"/>
    <m/>
    <m/>
    <m/>
    <d v="2024-05-06T00:00:00"/>
    <d v="2024-05-17T00:00:00"/>
    <e v="#REF!"/>
    <d v="2024-05-20T00:00:00"/>
    <d v="2024-05-24T00:00:00"/>
    <d v="2895-02-11T00:00:00"/>
    <d v="2024-05-27T00:00:00"/>
    <d v="2024-05-31T00:00:00"/>
    <d v="2024-05-06T00:00:00"/>
    <d v="2024-05-31T00:00:00"/>
    <n v="1"/>
    <n v="4"/>
    <m/>
    <m/>
    <m/>
  </r>
  <r>
    <s v="2024"/>
    <s v="MXP LEGACY"/>
    <m/>
    <s v="Automatización de Drive through"/>
    <m/>
    <s v="Reconocer la placa del cliente para mediante api obtener datos del mismo y referencia de ultimos consumos realizados (permite modificar el speach comercial en la atención)"/>
    <m/>
    <s v="LOCAL"/>
    <s v="Funcionalidades Locales"/>
    <x v="6"/>
    <s v="Venezuela"/>
    <x v="60"/>
    <x v="17"/>
    <x v="1"/>
    <s v="No iniciado"/>
    <m/>
    <s v="Q3"/>
    <s v="Fidelización del cliente en MXP.  API de placas. División en 2 fases."/>
    <s v="ALTA"/>
    <n v="1"/>
    <n v="8"/>
    <n v="3"/>
    <n v="550"/>
    <m/>
    <n v="13200"/>
    <m/>
    <m/>
    <m/>
    <d v="2024-07-01T00:00:00"/>
    <d v="2024-08-23T00:00:00"/>
    <e v="#REF!"/>
    <d v="2024-08-26T00:00:00"/>
    <d v="2024-08-30T00:00:00"/>
    <n v="364244"/>
    <d v="2024-09-02T00:00:00"/>
    <d v="2024-09-04T00:00:00"/>
    <d v="2024-07-01T00:00:00"/>
    <d v="2024-09-04T00:00:00"/>
    <n v="2"/>
    <n v="2"/>
    <m/>
    <m/>
    <m/>
  </r>
  <r>
    <s v="2024"/>
    <s v="SISTEMAS INTERNOS"/>
    <m/>
    <s v="Cajas Chicas Administrativas: Control Fondos por Rendir Chile"/>
    <m/>
    <s v="Cambio de Logica de Cajas Chicas, Fondos por Rendir para justificar valores en lugar de pedir reposición de Cajas Chicas"/>
    <m/>
    <s v="LOCAL"/>
    <s v="Funcionalidades Locales"/>
    <x v="6"/>
    <s v="Chile"/>
    <x v="36"/>
    <x v="19"/>
    <x v="1"/>
    <s v="No iniciado"/>
    <s v="Q2"/>
    <s v="Q2"/>
    <m/>
    <s v="BAJA"/>
    <m/>
    <n v="2"/>
    <n v="1"/>
    <n v="550"/>
    <m/>
    <n v="1740"/>
    <m/>
    <m/>
    <m/>
    <s v="01/0/2024"/>
    <d v="2024-11-01T00:00:00"/>
    <e v="#REF!"/>
    <d v="2024-11-01T00:00:00"/>
    <d v="2024-12-01T00:00:00"/>
    <d v="2898-10-19T00:00:00"/>
    <d v="2024-12-01T00:00:00"/>
    <d v="2024-12-07T00:00:00"/>
    <s v="01/0/2024"/>
    <d v="2024-12-07T00:00:00"/>
    <n v="0.5"/>
    <n v="6"/>
    <m/>
    <m/>
    <m/>
  </r>
  <r>
    <s v="2024"/>
    <s v="MXP LEGACY"/>
    <m/>
    <s v="Desarrollo para cambio de pindpad por posnet"/>
    <m/>
    <s v="Vinculo con implementación de kioskos"/>
    <m/>
    <s v="LOCAL"/>
    <s v="Funcionalidades Locales"/>
    <x v="6"/>
    <s v="Argentina"/>
    <x v="41"/>
    <x v="20"/>
    <x v="1"/>
    <s v="No iniciado"/>
    <m/>
    <s v="Q2"/>
    <m/>
    <s v="MEDIA"/>
    <n v="1"/>
    <n v="8"/>
    <n v="1"/>
    <n v="550"/>
    <m/>
    <n v="4400"/>
    <m/>
    <m/>
    <m/>
    <d v="2024-04-01T00:00:00"/>
    <d v="2024-05-10T00:00:00"/>
    <e v="#REF!"/>
    <d v="2024-05-13T00:00:00"/>
    <d v="2024-05-17T00:00:00"/>
    <d v="2894-12-17T00:00:00"/>
    <d v="2024-05-20T00:00:00"/>
    <d v="2024-04-02T00:00:00"/>
    <d v="2024-04-01T00:00:00"/>
    <d v="2024-04-02T00:00:00"/>
    <n v="2"/>
    <n v="-48"/>
    <m/>
    <m/>
    <m/>
  </r>
  <r>
    <s v="2023"/>
    <s v="MXP LEGACY"/>
    <m/>
    <s v="Descuentos bancos por Bines counter"/>
    <m/>
    <s v="Descuentos de banco Falabella"/>
    <m/>
    <s v="REGIONAL"/>
    <s v="Funcionalidades Locales"/>
    <x v="6"/>
    <s v="Colombia"/>
    <x v="34"/>
    <x v="18"/>
    <x v="1"/>
    <s v="Finalizado"/>
    <m/>
    <s v="Q1"/>
    <m/>
    <s v="MEDIA"/>
    <n v="1"/>
    <n v="8"/>
    <n v="1"/>
    <n v="625"/>
    <m/>
    <n v="5000"/>
    <m/>
    <m/>
    <m/>
    <d v="2024-01-01T00:00:00"/>
    <d v="2024-02-09T00:00:00"/>
    <e v="#REF!"/>
    <d v="2024-02-12T00:00:00"/>
    <d v="2024-02-16T00:00:00"/>
    <d v="2892-12-19T00:00:00"/>
    <d v="2024-02-19T00:00:00"/>
    <m/>
    <d v="2024-01-01T00:00:00"/>
    <d v="1899-12-30T00:00:00"/>
    <n v="2"/>
    <n v="-45341"/>
    <m/>
    <m/>
    <m/>
  </r>
  <r>
    <s v="2024"/>
    <s v="MXP LEGACY"/>
    <m/>
    <s v="Descuentos bancos por Bines counter"/>
    <m/>
    <s v="Convenio con los bancos para dar descuentos al total de la factura. (Comunicación con el pinpad)"/>
    <m/>
    <s v="REGIONAL"/>
    <s v="Funcionalidades Locales"/>
    <x v="6"/>
    <s v="Chile"/>
    <x v="36"/>
    <x v="19"/>
    <x v="1"/>
    <s v="En curso"/>
    <m/>
    <s v="Q2"/>
    <s v="Dependencia documentación Hassar."/>
    <s v="ALTA"/>
    <n v="1"/>
    <n v="6"/>
    <n v="1"/>
    <n v="625"/>
    <m/>
    <n v="3750"/>
    <m/>
    <m/>
    <m/>
    <d v="2024-04-29T00:00:00"/>
    <d v="2024-05-31T00:00:00"/>
    <e v="#REF!"/>
    <d v="2024-06-03T00:00:00"/>
    <d v="2024-06-07T00:00:00"/>
    <d v="2895-06-03T00:00:00"/>
    <d v="2024-06-10T00:00:00"/>
    <d v="2024-04-16T00:00:00"/>
    <d v="2024-04-29T00:00:00"/>
    <d v="2024-04-16T00:00:00"/>
    <n v="1.5"/>
    <n v="-55"/>
    <m/>
    <m/>
    <m/>
  </r>
  <r>
    <s v="2024"/>
    <s v="SISTEMAS INTERNOS"/>
    <m/>
    <s v="DGEN: Cargas masivas de documentos tributarios a SAP (boletas de honorarios, facturas de arriendo y servicios básicos)"/>
    <m/>
    <s v="Contabilización de Documentos que no pasan por ACEPTA"/>
    <m/>
    <s v="LOCAL"/>
    <s v="Funcionalidades Locales"/>
    <x v="6"/>
    <s v="Chile"/>
    <x v="36"/>
    <x v="19"/>
    <x v="1"/>
    <s v="No iniciado"/>
    <s v="Q4"/>
    <s v="Q4"/>
    <m/>
    <s v="ALTA"/>
    <m/>
    <n v="12"/>
    <n v="2"/>
    <n v="550"/>
    <m/>
    <n v="13840"/>
    <m/>
    <m/>
    <m/>
    <d v="2024-09-01T00:00:00"/>
    <d v="2024-11-14T00:00:00"/>
    <e v="#REF!"/>
    <d v="2024-11-14T00:00:00"/>
    <d v="2024-11-21T00:00:00"/>
    <d v="2899-01-08T00:00:00"/>
    <d v="2024-11-21T00:00:00"/>
    <s v="01/12/12024"/>
    <d v="2024-09-01T00:00:00"/>
    <s v="01/12/12024"/>
    <n v="3"/>
    <e v="#VALUE!"/>
    <m/>
    <m/>
    <m/>
  </r>
  <r>
    <s v="2023"/>
    <s v="MXP LEGACY"/>
    <m/>
    <s v="Envío de Pedidos Pick Up V3"/>
    <m/>
    <s v="Envío de Pedidos Pick Up V3"/>
    <m/>
    <s v="REGIONAL"/>
    <s v="Funcionalidades Regionales"/>
    <x v="6"/>
    <s v="Colombia"/>
    <x v="34"/>
    <x v="18"/>
    <x v="1"/>
    <s v="Finalizado"/>
    <m/>
    <s v="Q1"/>
    <s v="pruebas con tarjetas de crédito"/>
    <s v="ALTA"/>
    <n v="1"/>
    <n v="12"/>
    <n v="1"/>
    <n v="625"/>
    <m/>
    <n v="7500"/>
    <m/>
    <m/>
    <m/>
    <d v="2023-12-17T00:00:00"/>
    <d v="2024-02-02T00:00:00"/>
    <e v="#REF!"/>
    <d v="2024-02-04T00:00:00"/>
    <d v="2024-02-09T00:00:00"/>
    <d v="2892-10-17T00:00:00"/>
    <d v="2024-02-11T00:00:00"/>
    <d v="2024-02-15T00:00:00"/>
    <d v="2023-12-17T00:00:00"/>
    <d v="2024-02-15T00:00:00"/>
    <n v="3"/>
    <n v="4"/>
    <m/>
    <m/>
    <m/>
  </r>
  <r>
    <s v="2024"/>
    <s v="MXP LEGACY"/>
    <m/>
    <s v="Facturas Tipo A (con datos)"/>
    <m/>
    <s v="Cambio de facturas Tipo A con datos"/>
    <m/>
    <s v="LOCAL"/>
    <s v="Funcionalidades Locales"/>
    <x v="6"/>
    <s v="Argentina"/>
    <x v="41"/>
    <x v="20"/>
    <x v="1"/>
    <s v="En curso"/>
    <m/>
    <s v="Q2"/>
    <m/>
    <s v="ALTA"/>
    <n v="1"/>
    <n v="8"/>
    <n v="2"/>
    <n v="550"/>
    <m/>
    <n v="9440"/>
    <m/>
    <m/>
    <m/>
    <d v="2024-04-01T00:00:00"/>
    <d v="2024-05-10T00:00:00"/>
    <e v="#REF!"/>
    <d v="2024-05-13T00:00:00"/>
    <d v="2024-05-17T00:00:00"/>
    <d v="2894-12-17T00:00:00"/>
    <d v="2024-05-20T00:00:00"/>
    <d v="2024-05-24T00:00:00"/>
    <d v="2024-04-01T00:00:00"/>
    <d v="2024-05-24T00:00:00"/>
    <n v="2"/>
    <n v="4"/>
    <m/>
    <m/>
    <m/>
  </r>
  <r>
    <s v="2023"/>
    <s v="MXP LEGACY"/>
    <m/>
    <s v="Flujo de Caja Chica Locales"/>
    <m/>
    <s v="Implementación de flujo de caja chica en curso, con vinculo a maxpoint y sir"/>
    <m/>
    <s v="LOCAL"/>
    <s v="Funcionalidades Locales"/>
    <x v="6"/>
    <s v="Colombia"/>
    <x v="34"/>
    <x v="18"/>
    <x v="1"/>
    <s v="No iniciado"/>
    <m/>
    <s v="Q2"/>
    <m/>
    <s v="ALTA"/>
    <n v="1"/>
    <n v="4"/>
    <n v="1"/>
    <n v="625"/>
    <m/>
    <n v="2500"/>
    <m/>
    <m/>
    <m/>
    <d v="2024-05-06T00:00:00"/>
    <d v="2024-05-17T00:00:00"/>
    <e v="#REF!"/>
    <d v="2024-05-20T00:00:00"/>
    <d v="2024-05-24T00:00:00"/>
    <d v="2895-02-11T00:00:00"/>
    <d v="2024-05-27T00:00:00"/>
    <d v="2024-05-31T00:00:00"/>
    <d v="2024-05-06T00:00:00"/>
    <d v="2024-05-31T00:00:00"/>
    <n v="1"/>
    <n v="4"/>
    <s v="PROYECTO MXP"/>
    <m/>
    <m/>
  </r>
  <r>
    <n v="2024"/>
    <s v="MXP LEGACY"/>
    <m/>
    <s v="Integración API CORE Formas PAGO en Kioskos"/>
    <s v="CANALES DIGITALES"/>
    <s v="Integración API CORE Formas PAGO en Kioskos"/>
    <m/>
    <s v="REGIONAL"/>
    <s v="Funcionalidades Locales"/>
    <x v="6"/>
    <s v="Chile"/>
    <x v="61"/>
    <x v="19"/>
    <x v="1"/>
    <s v="En curso"/>
    <m/>
    <s v="Q1"/>
    <s v="Gestión de ambientes de pruebas"/>
    <s v="ALTA"/>
    <n v="1"/>
    <n v="3"/>
    <n v="2"/>
    <n v="625"/>
    <m/>
    <n v="3750"/>
    <m/>
    <m/>
    <m/>
    <d v="2024-03-04T00:00:00"/>
    <d v="2024-03-15T00:00:00"/>
    <e v="#REF!"/>
    <d v="2024-03-18T00:00:00"/>
    <d v="2024-03-22T00:00:00"/>
    <d v="2893-09-25T00:00:00"/>
    <d v="2024-03-25T00:00:00"/>
    <d v="2024-03-29T00:00:00"/>
    <d v="2024-03-04T00:00:00"/>
    <d v="2024-03-29T00:00:00"/>
    <d v="1899-12-30T18:00:00"/>
    <n v="4"/>
    <m/>
    <m/>
    <m/>
  </r>
  <r>
    <n v="2024"/>
    <s v="MXP LEGACY"/>
    <m/>
    <s v="Integración de Credibanco"/>
    <m/>
    <s v="Nueva red de datafonos"/>
    <m/>
    <s v="LOCAL"/>
    <s v="Funcionalidades Locales"/>
    <x v="6"/>
    <s v="Colombia"/>
    <x v="34"/>
    <x v="18"/>
    <x v="1"/>
    <s v="En curso"/>
    <m/>
    <s v="Q1"/>
    <m/>
    <s v="ALTA"/>
    <n v="1"/>
    <n v="12"/>
    <n v="1"/>
    <n v="625"/>
    <m/>
    <n v="7500"/>
    <m/>
    <m/>
    <m/>
    <d v="2024-03-04T00:00:00"/>
    <d v="2024-03-22T00:00:00"/>
    <e v="#REF!"/>
    <d v="2024-03-25T00:00:00"/>
    <d v="2024-03-29T00:00:00"/>
    <d v="2893-11-20T00:00:00"/>
    <d v="2024-04-01T00:00:00"/>
    <d v="2024-04-05T00:00:00"/>
    <d v="2024-03-04T00:00:00"/>
    <d v="2024-04-05T00:00:00"/>
    <n v="3"/>
    <n v="4"/>
    <m/>
    <m/>
    <m/>
  </r>
  <r>
    <s v="2024"/>
    <s v="MXP LEGACY"/>
    <m/>
    <s v="Integracion Pinpad SITEF (Reemplazo de Megasoft)"/>
    <m/>
    <m/>
    <m/>
    <s v="LOCAL"/>
    <s v="Funcionalidades Locales"/>
    <x v="6"/>
    <s v="Venezuela"/>
    <x v="33"/>
    <x v="17"/>
    <x v="1"/>
    <s v="En curso"/>
    <m/>
    <s v="Q1"/>
    <m/>
    <s v="ALTA"/>
    <n v="1"/>
    <n v="8"/>
    <n v="1"/>
    <n v="550"/>
    <m/>
    <n v="4400"/>
    <m/>
    <m/>
    <m/>
    <d v="2024-02-11T00:00:00"/>
    <d v="2024-03-29T00:00:00"/>
    <e v="#REF!"/>
    <d v="2024-04-01T00:00:00"/>
    <d v="2024-04-05T00:00:00"/>
    <d v="2894-01-15T00:00:00"/>
    <d v="2024-04-08T00:00:00"/>
    <d v="2024-04-10T00:00:00"/>
    <d v="2024-02-11T00:00:00"/>
    <d v="2024-04-10T00:00:00"/>
    <n v="2"/>
    <n v="2"/>
    <m/>
    <m/>
    <m/>
  </r>
  <r>
    <s v="2024"/>
    <s v="SIR"/>
    <m/>
    <s v="Integración SIR con SAGE"/>
    <m/>
    <s v="Integración Ventas"/>
    <m/>
    <s v="LOCAL"/>
    <s v="España"/>
    <x v="6"/>
    <s v="España"/>
    <x v="62"/>
    <x v="31"/>
    <x v="1"/>
    <s v="No iniciado"/>
    <m/>
    <s v="Q3"/>
    <m/>
    <s v="ALTA"/>
    <m/>
    <n v="7"/>
    <n v="2"/>
    <n v="450"/>
    <m/>
    <n v="6940"/>
    <m/>
    <m/>
    <m/>
    <d v="2024-05-15T00:00:00"/>
    <d v="2024-07-10T00:00:00"/>
    <e v="#REF!"/>
    <d v="2024-07-10T00:00:00"/>
    <d v="2024-07-24T00:00:00"/>
    <d v="2896-04-04T00:00:00"/>
    <m/>
    <d v="2024-07-24T00:00:00"/>
    <d v="2024-05-15T00:00:00"/>
    <d v="2024-07-24T00:00:00"/>
    <n v="1.75"/>
    <n v="45497"/>
    <m/>
    <m/>
    <m/>
  </r>
  <r>
    <s v="2024"/>
    <s v="SIR"/>
    <m/>
    <s v="Interfaces ERP - Maxpoint - SIR"/>
    <s v="CONSULTAR ADRIAN"/>
    <s v="Consume información de SIR y actualiza en SAP (Validar con Operaciones). Justificación en base a ahorros en stocks de seguridad"/>
    <m/>
    <s v="LOCAL"/>
    <s v="Funcionalidades Locales"/>
    <x v="6"/>
    <s v="Argentina"/>
    <x v="63"/>
    <x v="20"/>
    <x v="1"/>
    <s v="No iniciado"/>
    <s v="Q2"/>
    <s v="Q3"/>
    <m/>
    <s v="MEDIA"/>
    <n v="1"/>
    <n v="4"/>
    <n v="3"/>
    <n v="600"/>
    <m/>
    <n v="7200"/>
    <m/>
    <m/>
    <m/>
    <m/>
    <m/>
    <n v="0"/>
    <m/>
    <m/>
    <n v="0"/>
    <m/>
    <m/>
    <m/>
    <m/>
    <n v="1"/>
    <n v="0"/>
    <m/>
    <m/>
    <m/>
  </r>
  <r>
    <s v="2024"/>
    <s v="ERP"/>
    <m/>
    <s v="Interfaz de activos fijos SAP-SIR"/>
    <m/>
    <s v="Contar con Integración de Activos Fijos SAP - SIR"/>
    <m/>
    <s v="LOCAL"/>
    <s v="Funcionalidades Locales"/>
    <x v="6"/>
    <s v="Chile"/>
    <x v="36"/>
    <x v="19"/>
    <x v="1"/>
    <s v="No iniciado"/>
    <s v="Q2"/>
    <s v="Q2"/>
    <m/>
    <s v="MEDIA"/>
    <n v="1"/>
    <n v="6"/>
    <n v="2"/>
    <n v="200"/>
    <m/>
    <n v="3040"/>
    <m/>
    <m/>
    <m/>
    <d v="2024-02-19T00:00:00"/>
    <d v="2024-03-31T00:00:00"/>
    <n v="41"/>
    <d v="2024-03-18T00:00:00"/>
    <d v="2024-03-25T00:00:00"/>
    <n v="7"/>
    <d v="2024-03-25T00:00:00"/>
    <d v="2024-04-01T00:00:00"/>
    <d v="2024-02-19T00:00:00"/>
    <d v="2024-04-01T00:00:00"/>
    <n v="1.5"/>
    <n v="7"/>
    <m/>
    <m/>
    <m/>
  </r>
  <r>
    <s v="2024"/>
    <s v="ERP"/>
    <m/>
    <s v="Interfaz de centralización de remuneraciones SAP-REX+ (nómina)"/>
    <m/>
    <s v="Contar con una integración entre el sistema de Nómina REX+ y SAP"/>
    <m/>
    <s v="LOCAL"/>
    <s v="Funcionalidades Locales"/>
    <x v="6"/>
    <s v="Chile"/>
    <x v="36"/>
    <x v="19"/>
    <x v="1"/>
    <s v="No iniciado"/>
    <s v="Q2"/>
    <s v="Q3"/>
    <m/>
    <s v="ALTA"/>
    <n v="0"/>
    <n v="6"/>
    <n v="3"/>
    <n v="1000"/>
    <m/>
    <n v="0"/>
    <m/>
    <m/>
    <m/>
    <d v="2024-04-07T00:00:00"/>
    <d v="2024-05-14T00:00:00"/>
    <n v="37"/>
    <d v="2024-05-14T00:00:00"/>
    <d v="2024-05-31T00:00:00"/>
    <n v="17"/>
    <d v="2024-05-31T00:00:00"/>
    <d v="2024-06-14T00:00:00"/>
    <d v="2024-04-07T00:00:00"/>
    <d v="2024-06-14T00:00:00"/>
    <n v="1.5"/>
    <n v="14"/>
    <m/>
    <m/>
    <m/>
  </r>
  <r>
    <s v="2024"/>
    <s v="SIR"/>
    <m/>
    <s v="Interfaz SAP-SIR: Mayores Contables y Usos y Consumos"/>
    <m/>
    <s v="Nuevo Requerimiento - Activación y adecuación"/>
    <m/>
    <s v="LOCAL"/>
    <s v="Funcionalidades Locales"/>
    <x v="6"/>
    <s v="Chile"/>
    <x v="36"/>
    <x v="19"/>
    <x v="1"/>
    <s v="No iniciado"/>
    <m/>
    <s v="Q2"/>
    <m/>
    <s v="MEDIA"/>
    <m/>
    <n v="3"/>
    <n v="1"/>
    <n v="400"/>
    <n v="2000"/>
    <n v="3840"/>
    <m/>
    <m/>
    <m/>
    <d v="2024-04-22T00:00:00"/>
    <d v="2024-05-17T00:00:00"/>
    <e v="#REF!"/>
    <d v="2024-05-21T00:00:00"/>
    <d v="2024-05-31T00:00:00"/>
    <d v="2895-02-25T00:00:00"/>
    <m/>
    <d v="2024-05-31T00:00:00"/>
    <d v="2024-04-22T00:00:00"/>
    <d v="2024-05-31T00:00:00"/>
    <n v="0.75"/>
    <n v="45443"/>
    <m/>
    <m/>
    <m/>
  </r>
  <r>
    <s v="2024"/>
    <s v="MXP LEGACY"/>
    <m/>
    <s v="KDS DragonTail Salon - Kiosko - Pickup"/>
    <m/>
    <m/>
    <m/>
    <s v="LOCAL"/>
    <s v="Funcionalidades Regionales"/>
    <x v="6"/>
    <s v="Venezuela"/>
    <x v="33"/>
    <x v="17"/>
    <x v="1"/>
    <s v="En curso"/>
    <m/>
    <s v="Q2"/>
    <s v="Realizar un piloto para adaptar a la operación al KDS"/>
    <s v="ALTA"/>
    <n v="1"/>
    <n v="8"/>
    <n v="1"/>
    <n v="550"/>
    <m/>
    <n v="4400"/>
    <m/>
    <m/>
    <m/>
    <d v="2024-05-06T00:00:00"/>
    <d v="2024-06-14T00:00:00"/>
    <e v="#REF!"/>
    <d v="2024-06-17T00:00:00"/>
    <d v="2024-06-21T00:00:00"/>
    <d v="2895-09-23T00:00:00"/>
    <d v="2024-06-24T00:00:00"/>
    <d v="2024-06-26T00:00:00"/>
    <d v="2024-05-06T00:00:00"/>
    <d v="2024-06-26T00:00:00"/>
    <n v="2"/>
    <n v="2"/>
    <m/>
    <m/>
    <m/>
  </r>
  <r>
    <s v="2024"/>
    <s v="SIR"/>
    <m/>
    <s v="Mantenimiento Argentina"/>
    <m/>
    <m/>
    <m/>
    <s v="LOCAL"/>
    <s v="Mantenimiento"/>
    <x v="6"/>
    <s v="Argentina"/>
    <x v="41"/>
    <x v="20"/>
    <x v="1"/>
    <s v="En curso"/>
    <m/>
    <s v="Q4"/>
    <m/>
    <s v="MEDIA"/>
    <m/>
    <n v="36"/>
    <n v="1"/>
    <n v="190"/>
    <m/>
    <n v="7480"/>
    <m/>
    <m/>
    <m/>
    <d v="2024-03-01T00:00:00"/>
    <d v="2025-01-31T00:00:00"/>
    <e v="#REF!"/>
    <d v="2024-03-01T00:00:00"/>
    <d v="2025-01-31T00:00:00"/>
    <d v="2894-04-09T00:00:00"/>
    <m/>
    <d v="2025-01-31T00:00:00"/>
    <d v="2024-03-01T00:00:00"/>
    <d v="2025-01-31T00:00:00"/>
    <n v="9"/>
    <n v="45688"/>
    <m/>
    <m/>
    <m/>
  </r>
  <r>
    <s v="2024"/>
    <s v="SIR"/>
    <m/>
    <s v="Mantenimiento Chile"/>
    <m/>
    <m/>
    <m/>
    <s v="LOCAL"/>
    <s v="Mantenimiento"/>
    <x v="6"/>
    <s v="Chile"/>
    <x v="36"/>
    <x v="19"/>
    <x v="1"/>
    <s v="En curso"/>
    <m/>
    <s v="Q2"/>
    <m/>
    <s v="MEDIA"/>
    <m/>
    <n v="44"/>
    <n v="1"/>
    <n v="275"/>
    <m/>
    <n v="12740"/>
    <m/>
    <m/>
    <m/>
    <d v="2024-03-01T00:00:00"/>
    <d v="2025-01-31T00:00:00"/>
    <e v="#REF!"/>
    <d v="2024-03-01T00:00:00"/>
    <d v="2025-01-31T00:00:00"/>
    <d v="2894-04-09T00:00:00"/>
    <m/>
    <d v="2025-01-31T00:00:00"/>
    <d v="2024-03-01T00:00:00"/>
    <d v="2025-01-31T00:00:00"/>
    <n v="11"/>
    <n v="45688"/>
    <m/>
    <m/>
    <m/>
  </r>
  <r>
    <s v="2024"/>
    <s v="SIR"/>
    <m/>
    <s v="Mantenimiento Colombia"/>
    <m/>
    <m/>
    <m/>
    <s v="LOCAL"/>
    <s v="Mantenimiento"/>
    <x v="6"/>
    <s v="Colombia"/>
    <x v="34"/>
    <x v="18"/>
    <x v="1"/>
    <s v="En curso"/>
    <m/>
    <s v="Q4"/>
    <m/>
    <s v="MEDIA"/>
    <m/>
    <n v="40"/>
    <n v="1"/>
    <n v="475"/>
    <m/>
    <n v="19640"/>
    <m/>
    <m/>
    <m/>
    <d v="2024-03-01T00:00:00"/>
    <d v="2025-01-31T00:00:00"/>
    <e v="#REF!"/>
    <d v="2024-03-01T00:00:00"/>
    <d v="2025-01-31T00:00:00"/>
    <d v="2894-04-09T00:00:00"/>
    <m/>
    <d v="2025-01-31T00:00:00"/>
    <d v="2024-03-01T00:00:00"/>
    <d v="2025-01-31T00:00:00"/>
    <n v="10"/>
    <n v="45688"/>
    <m/>
    <m/>
    <m/>
  </r>
  <r>
    <s v="2024"/>
    <s v="SIR"/>
    <m/>
    <s v="Mantenimiento España"/>
    <m/>
    <m/>
    <m/>
    <s v="LOCAL"/>
    <s v="Mantenimiento"/>
    <x v="6"/>
    <s v="España"/>
    <x v="62"/>
    <x v="31"/>
    <x v="1"/>
    <s v="En curso"/>
    <m/>
    <s v="Q4"/>
    <m/>
    <s v="MEDIA"/>
    <m/>
    <n v="40"/>
    <n v="1"/>
    <n v="375"/>
    <m/>
    <n v="15640"/>
    <m/>
    <m/>
    <m/>
    <d v="2024-03-01T00:00:00"/>
    <d v="2025-01-31T00:00:00"/>
    <e v="#REF!"/>
    <d v="2024-03-01T00:00:00"/>
    <d v="2025-01-31T00:00:00"/>
    <d v="2894-04-09T00:00:00"/>
    <m/>
    <d v="2025-01-31T00:00:00"/>
    <d v="2024-03-01T00:00:00"/>
    <d v="2025-01-31T00:00:00"/>
    <n v="10"/>
    <n v="45688"/>
    <m/>
    <m/>
    <m/>
  </r>
  <r>
    <s v="2024"/>
    <s v="SIR"/>
    <m/>
    <s v="Mantenimiento Venezuela"/>
    <m/>
    <m/>
    <m/>
    <s v="LOCAL"/>
    <s v="Mantenimiento"/>
    <x v="6"/>
    <s v="Venezuela"/>
    <x v="33"/>
    <x v="17"/>
    <x v="1"/>
    <s v="En curso"/>
    <m/>
    <s v="Q4"/>
    <m/>
    <s v="MEDIA"/>
    <m/>
    <n v="40"/>
    <n v="1"/>
    <n v="450"/>
    <m/>
    <n v="18640"/>
    <m/>
    <m/>
    <m/>
    <d v="2024-03-01T00:00:00"/>
    <d v="2025-01-31T00:00:00"/>
    <e v="#REF!"/>
    <d v="2024-03-01T00:00:00"/>
    <d v="2025-01-31T00:00:00"/>
    <d v="2894-04-09T00:00:00"/>
    <m/>
    <d v="2025-01-31T00:00:00"/>
    <d v="2024-03-01T00:00:00"/>
    <d v="2025-01-31T00:00:00"/>
    <n v="10"/>
    <n v="45688"/>
    <m/>
    <m/>
    <m/>
  </r>
  <r>
    <s v="2024"/>
    <s v="MXP LEGACY"/>
    <m/>
    <s v="Master Data de Clientes para MaxPoint y Kiosko"/>
    <m/>
    <s v="Base central de clientes para el uso en canales de MaxPoint y Kioskos."/>
    <m/>
    <s v="LOCAL"/>
    <s v="Funcionalidades Regionales"/>
    <x v="6"/>
    <s v="Venezuela"/>
    <x v="33"/>
    <x v="17"/>
    <x v="1"/>
    <s v="No iniciado"/>
    <m/>
    <s v="Q2"/>
    <s v="Validar con BigData para la integración de la master data de clientes."/>
    <s v="MEDIA"/>
    <n v="1"/>
    <n v="6"/>
    <n v="1"/>
    <n v="550"/>
    <m/>
    <n v="3300"/>
    <m/>
    <m/>
    <m/>
    <d v="2024-04-01T00:00:00"/>
    <d v="2024-04-26T00:00:00"/>
    <e v="#REF!"/>
    <d v="2024-04-29T00:00:00"/>
    <d v="2024-05-03T00:00:00"/>
    <d v="2894-08-27T00:00:00"/>
    <d v="2024-05-06T00:00:00"/>
    <d v="2024-05-08T00:00:00"/>
    <d v="2024-04-01T00:00:00"/>
    <d v="2024-05-08T00:00:00"/>
    <n v="1.5"/>
    <n v="2"/>
    <m/>
    <m/>
    <m/>
  </r>
  <r>
    <s v="2024"/>
    <s v="MXP LEGACY"/>
    <m/>
    <s v="Maxpoint Delivery WD"/>
    <m/>
    <s v="Terminar implementación y corrección de bug"/>
    <m/>
    <s v="LOCAL"/>
    <s v="Funcionalidades Locales"/>
    <x v="6"/>
    <s v="Chile"/>
    <x v="36"/>
    <x v="19"/>
    <x v="1"/>
    <s v="En curso"/>
    <m/>
    <s v="Q1"/>
    <s v="Dependencia estabilización en KFC"/>
    <s v="ALTA"/>
    <n v="1"/>
    <n v="1"/>
    <n v="2"/>
    <n v="625"/>
    <m/>
    <n v="1250"/>
    <m/>
    <m/>
    <m/>
    <d v="2024-03-18T00:00:00"/>
    <d v="2024-03-22T00:00:00"/>
    <e v="#REF!"/>
    <d v="2024-03-25T00:00:00"/>
    <d v="2024-03-29T00:00:00"/>
    <d v="2893-11-20T00:00:00"/>
    <d v="2024-04-01T00:00:00"/>
    <d v="2024-04-05T00:00:00"/>
    <d v="2024-03-18T00:00:00"/>
    <d v="2024-04-05T00:00:00"/>
    <n v="0.25"/>
    <n v="4"/>
    <m/>
    <m/>
    <m/>
  </r>
  <r>
    <s v="2024"/>
    <s v="SIR"/>
    <m/>
    <s v="MCL-1. Administración de Gavetas"/>
    <m/>
    <s v="Nuevo Requerimiento"/>
    <m/>
    <s v="LOCAL"/>
    <s v="Mantenimiento"/>
    <x v="6"/>
    <s v="Chile"/>
    <x v="36"/>
    <x v="19"/>
    <x v="1"/>
    <s v="No iniciado"/>
    <m/>
    <s v="Q3"/>
    <m/>
    <s v="MEDIA"/>
    <m/>
    <n v="2"/>
    <n v="2"/>
    <n v="400"/>
    <m/>
    <m/>
    <m/>
    <m/>
    <m/>
    <d v="2024-06-17T00:00:00"/>
    <d v="2024-06-28T00:00:00"/>
    <e v="#REF!"/>
    <d v="2024-07-02T00:00:00"/>
    <d v="2024-07-09T00:00:00"/>
    <d v="2896-01-24T00:00:00"/>
    <m/>
    <d v="2024-07-09T00:00:00"/>
    <d v="2024-06-17T00:00:00"/>
    <d v="2024-07-09T00:00:00"/>
    <n v="0.5"/>
    <n v="45482"/>
    <m/>
    <m/>
    <m/>
  </r>
  <r>
    <s v="2024"/>
    <s v="SIR"/>
    <m/>
    <s v="MCO-1. Activación Modulo Aceite quemado "/>
    <m/>
    <s v="Activación Modulo Aceite quemado"/>
    <m/>
    <s v="REGIONAL"/>
    <s v="Mantenimiento"/>
    <x v="6"/>
    <s v="Colombia"/>
    <x v="34"/>
    <x v="18"/>
    <x v="1"/>
    <s v="Finalizado"/>
    <n v="1"/>
    <s v="Q1"/>
    <m/>
    <s v="BAJA"/>
    <m/>
    <n v="1"/>
    <n v="1"/>
    <m/>
    <m/>
    <m/>
    <m/>
    <m/>
    <m/>
    <d v="2024-04-01T00:00:00"/>
    <m/>
    <e v="#REF!"/>
    <m/>
    <m/>
    <d v="1899-12-30T00:00:00"/>
    <m/>
    <d v="2024-04-11T00:00:00"/>
    <d v="2024-04-01T00:00:00"/>
    <d v="2024-04-11T00:00:00"/>
    <n v="0.25"/>
    <n v="45393"/>
    <m/>
    <m/>
    <m/>
  </r>
  <r>
    <s v="2024"/>
    <s v="SIR"/>
    <m/>
    <s v="MCO-2. Horarios Mayores Contables"/>
    <m/>
    <m/>
    <m/>
    <s v="REGIONAL "/>
    <s v="Mantenimiento"/>
    <x v="6"/>
    <s v="Colombia"/>
    <x v="34"/>
    <x v="18"/>
    <x v="1"/>
    <s v="En curso"/>
    <m/>
    <s v="Q2"/>
    <m/>
    <s v="BAJA"/>
    <m/>
    <m/>
    <m/>
    <m/>
    <m/>
    <m/>
    <m/>
    <m/>
    <m/>
    <d v="2024-03-11T00:00:00"/>
    <m/>
    <e v="#REF!"/>
    <m/>
    <d v="2024-03-22T00:00:00"/>
    <d v="2024-03-22T00:00:00"/>
    <m/>
    <d v="2024-03-22T00:00:00"/>
    <d v="2024-03-11T00:00:00"/>
    <d v="2024-03-22T00:00:00"/>
    <n v="0"/>
    <n v="45373"/>
    <m/>
    <m/>
    <m/>
  </r>
  <r>
    <s v="2024"/>
    <s v="SIR"/>
    <m/>
    <s v="MCO-4. Modificación Reporte Relación de Cajas"/>
    <m/>
    <m/>
    <m/>
    <s v="LOCAL"/>
    <m/>
    <x v="6"/>
    <s v="Colombia"/>
    <x v="34"/>
    <x v="32"/>
    <x v="3"/>
    <s v="Finalizado"/>
    <m/>
    <m/>
    <m/>
    <m/>
    <m/>
    <m/>
    <m/>
    <m/>
    <m/>
    <n v="640"/>
    <m/>
    <m/>
    <m/>
    <m/>
    <m/>
    <e v="#REF!"/>
    <m/>
    <m/>
    <d v="1899-12-30T00:00:00"/>
    <m/>
    <d v="2024-04-08T00:00:00"/>
    <m/>
    <m/>
    <d v="1899-12-30T00:00:00"/>
    <n v="45390"/>
    <m/>
    <m/>
    <m/>
  </r>
  <r>
    <s v="2024"/>
    <s v="SIR"/>
    <m/>
    <s v="MCO-5. Reporte de compras consolidado Artículo SAP regional"/>
    <m/>
    <m/>
    <m/>
    <s v="LOCAL"/>
    <m/>
    <x v="6"/>
    <s v="Colombia"/>
    <x v="34"/>
    <x v="32"/>
    <x v="3"/>
    <s v="En curso"/>
    <m/>
    <m/>
    <m/>
    <m/>
    <m/>
    <m/>
    <m/>
    <m/>
    <m/>
    <n v="640"/>
    <m/>
    <m/>
    <m/>
    <d v="2024-04-01T00:00:00"/>
    <m/>
    <e v="#REF!"/>
    <m/>
    <m/>
    <d v="1899-12-30T00:00:00"/>
    <m/>
    <m/>
    <m/>
    <m/>
    <d v="1899-12-30T00:00:00"/>
    <n v="0"/>
    <m/>
    <m/>
    <m/>
  </r>
  <r>
    <s v="2024"/>
    <s v="SIR"/>
    <m/>
    <s v="MCO-3. Compras Bloqueo de Proveedor INT"/>
    <m/>
    <s v="Bloqueo del proveedor Inversiones INT para el ingreso de compras"/>
    <m/>
    <s v="LOCAL"/>
    <s v="Mantenimiento"/>
    <x v="6"/>
    <s v="Colombia"/>
    <x v="34"/>
    <x v="18"/>
    <x v="1"/>
    <s v="No iniciado"/>
    <m/>
    <s v="Q1"/>
    <m/>
    <s v="BAJA"/>
    <m/>
    <m/>
    <m/>
    <m/>
    <m/>
    <m/>
    <m/>
    <m/>
    <m/>
    <d v="2024-05-01T00:00:00"/>
    <m/>
    <e v="#REF!"/>
    <m/>
    <m/>
    <d v="1899-12-30T00:00:00"/>
    <m/>
    <m/>
    <m/>
    <m/>
    <n v="0"/>
    <n v="0"/>
    <m/>
    <m/>
    <m/>
  </r>
  <r>
    <s v="2024"/>
    <s v="MXP LEGACY"/>
    <m/>
    <s v="Mejoras de integración del servicio de impresión MXP España"/>
    <m/>
    <s v="Configurable de canales de impresión, pre cuenta, factura, abono, Corte de X, desmontar cajero, fin de día y comandas."/>
    <m/>
    <s v="LOCAL"/>
    <m/>
    <x v="6"/>
    <s v="España"/>
    <x v="62"/>
    <x v="31"/>
    <x v="1"/>
    <s v="No iniciado"/>
    <m/>
    <s v="Q2"/>
    <m/>
    <s v="BAJA"/>
    <n v="1"/>
    <n v="1"/>
    <n v="3"/>
    <n v="625"/>
    <m/>
    <n v="1875"/>
    <m/>
    <m/>
    <m/>
    <d v="2025-04-06T00:00:00"/>
    <d v="2025-04-18T00:00:00"/>
    <e v="#REF!"/>
    <d v="2024-04-21T00:00:00"/>
    <d v="2024-04-26T00:00:00"/>
    <d v="2894-06-25T00:00:00"/>
    <d v="2024-04-28T00:00:00"/>
    <d v="2024-04-30T00:00:00"/>
    <d v="2025-04-06T00:00:00"/>
    <d v="2024-04-30T00:00:00"/>
    <n v="0.25"/>
    <n v="2"/>
    <m/>
    <m/>
    <m/>
  </r>
  <r>
    <s v="2024"/>
    <s v="MXP LEGACY"/>
    <m/>
    <s v="Mejoras MaxPoint Azure ( integración de países)"/>
    <m/>
    <s v="Corrección de bugs pantalla de estaciones, botones, preguntas sugeridas, descuentos, y pantalla de replica."/>
    <m/>
    <s v="LOCAL"/>
    <m/>
    <x v="6"/>
    <s v="España"/>
    <x v="62"/>
    <x v="31"/>
    <x v="1"/>
    <s v="No iniciado"/>
    <m/>
    <s v="Q3"/>
    <m/>
    <s v="BAJA"/>
    <n v="1"/>
    <n v="1"/>
    <n v="4"/>
    <n v="625"/>
    <m/>
    <n v="2500"/>
    <m/>
    <m/>
    <m/>
    <d v="2024-08-18T00:00:00"/>
    <d v="2024-09-13T00:00:00"/>
    <e v="#REF!"/>
    <d v="2024-09-16T00:00:00"/>
    <d v="2024-09-20T00:00:00"/>
    <d v="2897-09-20T00:00:00"/>
    <d v="2024-09-23T00:00:00"/>
    <d v="2024-09-25T00:00:00"/>
    <d v="2024-08-18T00:00:00"/>
    <d v="2024-09-25T00:00:00"/>
    <n v="0.25"/>
    <n v="2"/>
    <m/>
    <m/>
    <m/>
  </r>
  <r>
    <s v="2024"/>
    <s v="MXP LEGACY"/>
    <m/>
    <s v="Mejoras POS MaxPoint España"/>
    <m/>
    <s v="Lunch y mermas en MaxPoint / Nuevos reportes App MaxPoint"/>
    <m/>
    <s v="LOCAL"/>
    <m/>
    <x v="6"/>
    <s v="España"/>
    <x v="62"/>
    <x v="31"/>
    <x v="1"/>
    <s v="No iniciado"/>
    <m/>
    <s v="Q3"/>
    <m/>
    <s v="BAJA"/>
    <n v="1"/>
    <n v="1"/>
    <n v="6"/>
    <n v="625"/>
    <m/>
    <n v="3750"/>
    <m/>
    <m/>
    <m/>
    <d v="2024-07-01T00:00:00"/>
    <d v="2024-08-02T00:00:00"/>
    <e v="#REF!"/>
    <d v="2024-08-04T00:00:00"/>
    <d v="2024-08-09T00:00:00"/>
    <d v="2896-10-12T00:00:00"/>
    <d v="2024-08-11T00:00:00"/>
    <d v="2024-08-13T00:00:00"/>
    <d v="2024-07-01T00:00:00"/>
    <d v="2024-08-13T00:00:00"/>
    <n v="0.25"/>
    <n v="2"/>
    <m/>
    <m/>
    <m/>
  </r>
  <r>
    <s v="2024"/>
    <s v="SIR"/>
    <m/>
    <s v="MES-2. Carga Masiva de Costos Artículos"/>
    <m/>
    <m/>
    <m/>
    <s v="LOCAL"/>
    <m/>
    <x v="6"/>
    <s v="España"/>
    <x v="62"/>
    <x v="30"/>
    <x v="3"/>
    <s v="En curso"/>
    <m/>
    <m/>
    <m/>
    <m/>
    <m/>
    <m/>
    <m/>
    <m/>
    <m/>
    <n v="640"/>
    <m/>
    <m/>
    <m/>
    <d v="2024-04-01T00:00:00"/>
    <m/>
    <e v="#REF!"/>
    <m/>
    <m/>
    <d v="1899-12-30T00:00:00"/>
    <m/>
    <d v="2024-04-26T00:00:00"/>
    <d v="2024-05-07T00:00:00"/>
    <d v="2024-05-14T00:00:00"/>
    <n v="0"/>
    <n v="45408"/>
    <m/>
    <m/>
    <m/>
  </r>
  <r>
    <s v="2024"/>
    <s v="SIR"/>
    <m/>
    <s v="MES-3. Estilos en recetas"/>
    <m/>
    <m/>
    <m/>
    <s v="LOCAL"/>
    <m/>
    <x v="6"/>
    <s v="España"/>
    <x v="62"/>
    <x v="30"/>
    <x v="3"/>
    <s v="No iniciado"/>
    <m/>
    <m/>
    <m/>
    <m/>
    <m/>
    <m/>
    <m/>
    <m/>
    <m/>
    <n v="640"/>
    <m/>
    <m/>
    <m/>
    <d v="2024-05-27T00:00:00"/>
    <m/>
    <e v="#REF!"/>
    <m/>
    <m/>
    <d v="1899-12-30T00:00:00"/>
    <m/>
    <d v="2024-06-21T00:00:00"/>
    <m/>
    <m/>
    <n v="0"/>
    <n v="45464"/>
    <m/>
    <m/>
    <m/>
  </r>
  <r>
    <s v="2024"/>
    <s v="SIR"/>
    <m/>
    <s v="MES-1. Bloqueo de costos proveedor"/>
    <m/>
    <s v="Configuración por proveedor y cuidad para el bloqueo de costo en compras"/>
    <m/>
    <s v="LOCAL"/>
    <s v="Mantenimiento"/>
    <x v="6"/>
    <s v="España"/>
    <x v="62"/>
    <x v="31"/>
    <x v="1"/>
    <s v="No iniciado"/>
    <m/>
    <s v="Q2"/>
    <m/>
    <s v="BAJA"/>
    <m/>
    <n v="1"/>
    <n v="1"/>
    <m/>
    <m/>
    <m/>
    <m/>
    <m/>
    <m/>
    <d v="2024-05-15T00:00:00"/>
    <d v="2024-03-22T00:00:00"/>
    <m/>
    <d v="3024-03-26T00:00:00"/>
    <d v="2024-04-02T00:00:00"/>
    <d v="9893-11-28T00:00:00"/>
    <m/>
    <m/>
    <d v="2024-05-15T00:00:00"/>
    <d v="1899-12-30T00:00:00"/>
    <n v="0.25"/>
    <n v="0"/>
    <m/>
    <m/>
    <m/>
  </r>
  <r>
    <s v="2024"/>
    <s v="SIR"/>
    <m/>
    <s v="Migración de Aplicativo Integracion KFC a SIR Integration"/>
    <m/>
    <s v="Revisión de Zetas Fiscales, validación de Asientos Contables de Ventas de SIR"/>
    <m/>
    <s v="LOCAL"/>
    <s v="Funcionalidades Locales"/>
    <x v="6"/>
    <s v="Venezuela"/>
    <x v="33"/>
    <x v="17"/>
    <x v="1"/>
    <s v="No iniciado"/>
    <m/>
    <s v="Q2"/>
    <m/>
    <s v="ALTA"/>
    <m/>
    <n v="5"/>
    <n v="2"/>
    <n v="400"/>
    <m/>
    <n v="4640"/>
    <m/>
    <m/>
    <m/>
    <d v="2024-05-15T00:00:00"/>
    <d v="2024-07-10T00:00:00"/>
    <e v="#REF!"/>
    <d v="2024-07-10T00:00:00"/>
    <d v="2024-07-24T00:00:00"/>
    <d v="2896-04-04T00:00:00"/>
    <m/>
    <d v="2024-07-24T00:00:00"/>
    <d v="2024-05-15T00:00:00"/>
    <d v="2024-07-24T00:00:00"/>
    <n v="1.25"/>
    <n v="45497"/>
    <m/>
    <m/>
    <m/>
  </r>
  <r>
    <s v="2024"/>
    <s v="MXP LEGACY"/>
    <m/>
    <s v="Migración de Wendys al MaxPoint Legacy"/>
    <m/>
    <s v="Migración de Wendys al MaxPoint Legacy"/>
    <m/>
    <s v="LOCAL"/>
    <s v="Funcionalidades Locales"/>
    <x v="6"/>
    <s v="Argentina"/>
    <x v="41"/>
    <x v="20"/>
    <x v="1"/>
    <s v="No iniciado"/>
    <m/>
    <s v="Q2"/>
    <s v="Compra de nuevos POS"/>
    <s v="MEDIA"/>
    <n v="1"/>
    <n v="10"/>
    <n v="3"/>
    <n v="550"/>
    <m/>
    <n v="16500"/>
    <m/>
    <m/>
    <m/>
    <d v="2024-06-03T00:00:00"/>
    <d v="2024-06-28T00:00:00"/>
    <e v="#REF!"/>
    <d v="2024-07-01T00:00:00"/>
    <d v="2024-07-05T00:00:00"/>
    <d v="2896-01-13T00:00:00"/>
    <d v="2024-07-08T00:00:00"/>
    <d v="2024-07-12T00:00:00"/>
    <d v="2024-06-03T00:00:00"/>
    <d v="2024-07-12T00:00:00"/>
    <n v="2.5"/>
    <n v="4"/>
    <m/>
    <m/>
    <m/>
  </r>
  <r>
    <s v="2024"/>
    <s v="SIR"/>
    <m/>
    <s v="Migración del Sistema SIR a última versión"/>
    <m/>
    <s v="Vinculo con los compromisos de la matriz regional"/>
    <m/>
    <s v="REGIONAL"/>
    <s v="Funcionalidades Locales"/>
    <x v="6"/>
    <s v="Argentina"/>
    <x v="41"/>
    <x v="20"/>
    <x v="1"/>
    <s v="En curso"/>
    <m/>
    <s v="Q1"/>
    <m/>
    <s v="ALTA"/>
    <m/>
    <n v="8"/>
    <n v="1"/>
    <n v="450"/>
    <m/>
    <n v="2500"/>
    <m/>
    <m/>
    <m/>
    <d v="2023-09-01T00:00:00"/>
    <d v="2024-03-26T00:00:00"/>
    <e v="#REF!"/>
    <m/>
    <m/>
    <d v="1899-12-30T00:00:00"/>
    <m/>
    <m/>
    <d v="2023-09-01T00:00:00"/>
    <d v="1899-12-30T00:00:00"/>
    <n v="2"/>
    <n v="0"/>
    <s v="El proyecto se inciio el año pasado, por decisión del cliente se retoman pruebas este año"/>
    <m/>
    <m/>
  </r>
  <r>
    <s v="2024"/>
    <s v="MXP LEGACY"/>
    <m/>
    <s v="Multimoneda en Maxpoint"/>
    <m/>
    <s v="Pantalla de cobro para facilitar el cobro en varias monedas (Actualmente la conversión se realiza de manera manual por fuera del sistema) - Efectivo - Trazabilidad de retiros por cada moneda."/>
    <m/>
    <s v="LOCAL"/>
    <s v="Funcionalidades Locales"/>
    <x v="6"/>
    <s v="Venezuela"/>
    <x v="33"/>
    <x v="17"/>
    <x v="1"/>
    <s v="En curso"/>
    <m/>
    <s v="Q1"/>
    <m/>
    <s v="ALTA"/>
    <n v="1"/>
    <n v="4"/>
    <n v="3"/>
    <n v="550"/>
    <m/>
    <n v="6600"/>
    <m/>
    <m/>
    <m/>
    <d v="2024-03-04T00:00:00"/>
    <d v="2024-03-22T00:00:00"/>
    <e v="#REF!"/>
    <d v="2024-03-25T00:00:00"/>
    <d v="2024-03-29T00:00:00"/>
    <n v="363012"/>
    <d v="2024-04-01T00:00:00"/>
    <d v="2024-04-03T00:00:00"/>
    <d v="2024-03-04T00:00:00"/>
    <d v="2024-04-03T00:00:00"/>
    <n v="1"/>
    <n v="2"/>
    <m/>
    <m/>
    <m/>
  </r>
  <r>
    <s v="2024"/>
    <s v="SIR"/>
    <m/>
    <s v="MVE-3. Corrección de Ajustes"/>
    <m/>
    <s v="Defecto"/>
    <m/>
    <s v="LOCAL"/>
    <s v="REGIONAL"/>
    <x v="6"/>
    <s v="Venezuela"/>
    <x v="33"/>
    <x v="30"/>
    <x v="3"/>
    <s v="En curso"/>
    <m/>
    <m/>
    <m/>
    <m/>
    <m/>
    <m/>
    <m/>
    <m/>
    <m/>
    <n v="640"/>
    <m/>
    <m/>
    <m/>
    <d v="2024-04-08T00:00:00"/>
    <m/>
    <e v="#REF!"/>
    <m/>
    <m/>
    <d v="1899-12-30T00:00:00"/>
    <m/>
    <d v="2024-04-17T00:00:00"/>
    <d v="2024-04-23T00:00:00"/>
    <d v="2024-04-30T00:00:00"/>
    <d v="1899-12-30T00:00:00"/>
    <n v="45399"/>
    <m/>
    <m/>
    <m/>
  </r>
  <r>
    <s v="2024"/>
    <s v="SIR"/>
    <m/>
    <s v="MVE-2. Modificación Reporte Relación de Caja"/>
    <m/>
    <s v="Añadir nueva forma de pago"/>
    <m/>
    <s v="LOCAL"/>
    <s v="REGIONAL"/>
    <x v="6"/>
    <s v="Venezuela"/>
    <x v="33"/>
    <x v="30"/>
    <x v="3"/>
    <s v="Finalizado"/>
    <m/>
    <m/>
    <m/>
    <m/>
    <m/>
    <m/>
    <m/>
    <m/>
    <m/>
    <n v="640"/>
    <m/>
    <m/>
    <m/>
    <s v="marzo"/>
    <m/>
    <e v="#REF!"/>
    <m/>
    <m/>
    <d v="1899-12-30T00:00:00"/>
    <m/>
    <s v="marzo"/>
    <s v="marzo"/>
    <s v="marzo"/>
    <d v="1899-12-30T00:00:00"/>
    <e v="#VALUE!"/>
    <m/>
    <m/>
    <m/>
  </r>
  <r>
    <s v="2024"/>
    <s v="SIR"/>
    <m/>
    <s v="MVE-1. Homologación Reporte Inventario"/>
    <m/>
    <s v="Homologar con Ecuador la columna de diferencia en el registro de inventario de SIR (revisar si va directo a soporte)"/>
    <m/>
    <s v="LOCAL"/>
    <s v="Mantenimiento"/>
    <x v="6"/>
    <s v="Venezuela"/>
    <x v="33"/>
    <x v="17"/>
    <x v="1"/>
    <s v="No iniciado"/>
    <m/>
    <s v="Q2"/>
    <m/>
    <s v="BAJA"/>
    <m/>
    <n v="2"/>
    <n v="1"/>
    <m/>
    <m/>
    <m/>
    <m/>
    <m/>
    <m/>
    <d v="2024-05-15T00:00:00"/>
    <d v="2024-07-10T00:00:00"/>
    <d v="2024-07-10T00:00:00"/>
    <d v="2024-07-10T00:00:00"/>
    <d v="2024-07-24T00:00:00"/>
    <d v="2896-04-04T00:00:00"/>
    <m/>
    <m/>
    <m/>
    <m/>
    <n v="0.5"/>
    <n v="0"/>
    <m/>
    <m/>
    <m/>
  </r>
  <r>
    <s v="2023"/>
    <s v="MXP LEGACY"/>
    <m/>
    <s v="Mxp - Impresión v2.1 NETCORE"/>
    <m/>
    <s v="Compromiso Matriz Regional  (Ecuador, Colombia, Chile y Argentina)"/>
    <m/>
    <s v="REGIONAL"/>
    <s v="Funcionalidades Regionales"/>
    <x v="6"/>
    <s v="Colombia"/>
    <x v="44"/>
    <x v="18"/>
    <x v="1"/>
    <s v="En curso"/>
    <m/>
    <s v="Q1"/>
    <m/>
    <s v="ALTA"/>
    <m/>
    <n v="8"/>
    <n v="1"/>
    <n v="625"/>
    <m/>
    <n v="5000"/>
    <m/>
    <m/>
    <m/>
    <d v="2024-03-04T00:00:00"/>
    <d v="2024-04-11T00:00:00"/>
    <e v="#REF!"/>
    <d v="2024-04-15T00:00:00"/>
    <d v="2024-04-19T00:00:00"/>
    <d v="2894-05-07T00:00:00"/>
    <d v="2024-04-22T00:00:00"/>
    <d v="2024-04-26T00:00:00"/>
    <d v="2024-03-04T00:00:00"/>
    <d v="2024-04-26T00:00:00"/>
    <n v="2"/>
    <n v="4"/>
    <s v="PROYECTO REGIONAL"/>
    <m/>
    <m/>
  </r>
  <r>
    <s v="2023"/>
    <s v="MXP LEGACY"/>
    <m/>
    <s v="Mxp - Impresión v2.1 NETCORE"/>
    <m/>
    <s v="Compromiso Matriz Regional  (Ecuador, Colombia, Chile y Argentina)"/>
    <m/>
    <s v="REGIONAL"/>
    <s v="Funcionalidades Regionales"/>
    <x v="6"/>
    <s v="Argentina"/>
    <x v="44"/>
    <x v="20"/>
    <x v="1"/>
    <s v="No iniciado"/>
    <m/>
    <s v="Q2"/>
    <m/>
    <s v="ALTA"/>
    <n v="1"/>
    <n v="12"/>
    <n v="1"/>
    <n v="550"/>
    <m/>
    <n v="6600"/>
    <m/>
    <m/>
    <m/>
    <d v="2024-03-04T00:00:00"/>
    <d v="2024-05-10T00:00:00"/>
    <e v="#REF!"/>
    <d v="2024-05-13T00:00:00"/>
    <d v="2024-05-17T00:00:00"/>
    <d v="2894-12-17T00:00:00"/>
    <d v="2024-05-20T00:00:00"/>
    <d v="2024-05-24T00:00:00"/>
    <d v="2024-03-04T00:00:00"/>
    <d v="2024-05-24T00:00:00"/>
    <n v="3"/>
    <n v="4"/>
    <s v="PROYECTO REGIONAL"/>
    <m/>
    <m/>
  </r>
  <r>
    <s v="2024"/>
    <s v="MXP LEGACY"/>
    <m/>
    <s v="Mxp - Impresión v2.1 NETCORE"/>
    <m/>
    <s v="de Boletas (Reducción) - Compromiso Matriz Regional  (Ecuador, Colombia, Chile y Argentina)"/>
    <m/>
    <s v="REGIONAL "/>
    <s v="Funcionalidades Locales"/>
    <x v="6"/>
    <s v="Chile"/>
    <x v="36"/>
    <x v="19"/>
    <x v="1"/>
    <s v="En curso"/>
    <m/>
    <s v="Q2"/>
    <s v="Dependencia de una impresora con el modelo, confirmar el inventario"/>
    <s v="ALTA"/>
    <n v="1"/>
    <n v="1"/>
    <n v="12"/>
    <n v="625"/>
    <m/>
    <n v="7500"/>
    <m/>
    <m/>
    <m/>
    <d v="2024-04-01T00:00:00"/>
    <d v="2024-05-31T00:00:00"/>
    <e v="#REF!"/>
    <d v="2024-06-03T00:00:00"/>
    <d v="2024-06-07T00:00:00"/>
    <d v="2895-06-03T00:00:00"/>
    <d v="2024-06-10T00:00:00"/>
    <d v="2024-06-21T00:00:00"/>
    <d v="2024-04-01T00:00:00"/>
    <d v="2024-06-21T00:00:00"/>
    <n v="0.25"/>
    <n v="11"/>
    <m/>
    <m/>
    <m/>
  </r>
  <r>
    <s v="2023"/>
    <s v="MXP LEGACY"/>
    <m/>
    <s v="Nueva Versión Turnero v.3"/>
    <m/>
    <s v="Mxp Delivery - Turneros v3.0 _x000a__x000a_Compromiso Matriz Regional  (Chile Argentina)"/>
    <m/>
    <s v="REGIONAL"/>
    <s v="Funcionalidades Regionales"/>
    <x v="6"/>
    <s v="Argentina"/>
    <x v="41"/>
    <x v="20"/>
    <x v="1"/>
    <s v="Finalizado"/>
    <m/>
    <s v="Q1"/>
    <s v="programadores en Angular"/>
    <s v="MEDIA"/>
    <n v="1"/>
    <n v="4"/>
    <n v="1"/>
    <n v="550"/>
    <m/>
    <n v="2200"/>
    <m/>
    <m/>
    <m/>
    <d v="2024-03-04T00:00:00"/>
    <d v="2024-03-15T00:00:00"/>
    <e v="#REF!"/>
    <d v="2024-03-18T00:00:00"/>
    <d v="2024-03-22T00:00:00"/>
    <d v="2893-09-25T00:00:00"/>
    <d v="2024-03-25T00:00:00"/>
    <d v="2024-03-29T00:00:00"/>
    <d v="2024-03-04T00:00:00"/>
    <d v="2024-03-29T00:00:00"/>
    <n v="1"/>
    <n v="4"/>
    <s v="PROYECTO REGIONAL"/>
    <m/>
    <m/>
  </r>
  <r>
    <s v="2023"/>
    <s v="MXP LEGACY"/>
    <m/>
    <s v="Mxp Delivery- Core Integraciones Ultimas Millas - Shipday"/>
    <m/>
    <s v="Mxp Delivery- Core Integraciones Ultimas Millas_x000a__x000a_Compromiso Matriz Regional  (Argentina"/>
    <m/>
    <s v="REGIONAL"/>
    <s v="Funcionalidades Regionales"/>
    <x v="6"/>
    <s v="Argentina"/>
    <x v="41"/>
    <x v="20"/>
    <x v="1"/>
    <s v="No iniciado"/>
    <m/>
    <s v="Q2"/>
    <m/>
    <s v="MEDIA"/>
    <n v="1"/>
    <n v="8"/>
    <n v="1"/>
    <n v="550"/>
    <m/>
    <n v="4400"/>
    <m/>
    <m/>
    <m/>
    <d v="2024-04-01T00:00:00"/>
    <d v="2024-05-10T00:00:00"/>
    <e v="#REF!"/>
    <d v="2024-05-13T00:00:00"/>
    <d v="2024-05-17T00:00:00"/>
    <d v="2894-12-17T00:00:00"/>
    <d v="2024-05-20T00:00:00"/>
    <d v="2024-05-24T00:00:00"/>
    <d v="2024-04-01T00:00:00"/>
    <d v="2024-05-24T00:00:00"/>
    <n v="2"/>
    <n v="4"/>
    <s v="PROYECTO REGIONAL"/>
    <m/>
    <m/>
  </r>
  <r>
    <s v="2024"/>
    <s v="MXP LEGACY"/>
    <m/>
    <s v="Nueva Versión Turnero v.3"/>
    <m/>
    <s v="Desarrollo de nueva versión de turnero para solucionar problemas en el counter (ligado con la implementación de KDS)"/>
    <m/>
    <s v="REGIONAL"/>
    <s v="Funcionalidades Regionales"/>
    <x v="6"/>
    <s v="Colombia"/>
    <x v="34"/>
    <x v="18"/>
    <x v="1"/>
    <s v="No iniciado"/>
    <m/>
    <s v="Q2"/>
    <m/>
    <s v="MEDIA"/>
    <n v="1"/>
    <n v="4"/>
    <n v="1"/>
    <n v="625"/>
    <m/>
    <n v="2500"/>
    <m/>
    <m/>
    <m/>
    <d v="2024-04-01T00:00:00"/>
    <d v="2024-04-12T00:00:00"/>
    <e v="#REF!"/>
    <d v="2024-04-15T00:00:00"/>
    <d v="2024-04-19T00:00:00"/>
    <d v="2894-05-07T00:00:00"/>
    <d v="2024-04-22T00:00:00"/>
    <d v="2024-04-26T00:00:00"/>
    <d v="2024-04-01T00:00:00"/>
    <d v="2024-04-26T00:00:00"/>
    <n v="1"/>
    <n v="4"/>
    <m/>
    <m/>
    <m/>
  </r>
  <r>
    <s v="2023"/>
    <s v="MXP LEGACY"/>
    <m/>
    <s v="Nueva Versión Turnero v.3"/>
    <m/>
    <s v="Compromiso Matriz Regional  (Chile Argentina)"/>
    <m/>
    <s v="REGIONAL"/>
    <s v="Funcionalidades Regionales"/>
    <x v="6"/>
    <s v="Chile"/>
    <x v="64"/>
    <x v="19"/>
    <x v="1"/>
    <s v="Finalizado"/>
    <m/>
    <s v="Q1"/>
    <s v="programadores en Angular"/>
    <s v="MEDIA"/>
    <n v="1"/>
    <n v="3"/>
    <n v="1"/>
    <n v="625"/>
    <m/>
    <n v="1875"/>
    <m/>
    <m/>
    <m/>
    <d v="2024-02-05T00:00:00"/>
    <d v="2024-02-23T00:00:00"/>
    <e v="#REF!"/>
    <d v="2024-02-26T00:00:00"/>
    <d v="2024-03-01T00:00:00"/>
    <d v="2893-04-10T00:00:00"/>
    <d v="2024-03-04T00:00:00"/>
    <d v="2024-03-08T00:00:00"/>
    <d v="2024-02-05T00:00:00"/>
    <d v="2024-03-08T00:00:00"/>
    <n v="0.75"/>
    <n v="4"/>
    <s v="PROYECTO REGIONAL"/>
    <m/>
    <m/>
  </r>
  <r>
    <s v="2024"/>
    <s v="MXP LEGACY"/>
    <m/>
    <s v="Nuevos procesos en el flujo de Facturación."/>
    <m/>
    <s v="El negocio requiere añadir a su flujo de facturación el incremento del secuencial de facturas simplificadas centralizado por empresa."/>
    <m/>
    <s v="LOCAL"/>
    <m/>
    <x v="6"/>
    <s v="España"/>
    <x v="62"/>
    <x v="31"/>
    <x v="1"/>
    <s v="No iniciado"/>
    <m/>
    <s v="Q1"/>
    <m/>
    <s v="ALTA"/>
    <n v="1"/>
    <n v="4"/>
    <n v="1"/>
    <n v="625"/>
    <m/>
    <n v="2500"/>
    <m/>
    <m/>
    <m/>
    <d v="2024-03-03T00:00:00"/>
    <d v="2024-03-15T00:00:00"/>
    <e v="#REF!"/>
    <d v="2024-03-18T00:00:00"/>
    <d v="2024-03-22T00:00:00"/>
    <d v="2893-09-25T00:00:00"/>
    <d v="2024-03-25T00:00:00"/>
    <d v="2024-03-29T00:00:00"/>
    <d v="2024-03-03T00:00:00"/>
    <d v="2024-03-29T00:00:00"/>
    <n v="1"/>
    <n v="4"/>
    <m/>
    <m/>
    <m/>
  </r>
  <r>
    <s v="2024"/>
    <s v="MXP LEGACY"/>
    <m/>
    <s v="Nuevos Reportes Maxpoint"/>
    <m/>
    <s v="Reportes a pedido de auditoría"/>
    <m/>
    <s v="LOCAL"/>
    <s v="Funcionalidades Locales"/>
    <x v="6"/>
    <s v="Colombia"/>
    <x v="34"/>
    <x v="18"/>
    <x v="1"/>
    <s v="No iniciado"/>
    <m/>
    <s v="Q2"/>
    <m/>
    <s v="BAJA"/>
    <n v="1"/>
    <n v="4"/>
    <n v="2"/>
    <n v="625"/>
    <m/>
    <n v="5000"/>
    <m/>
    <m/>
    <m/>
    <d v="2024-04-01T00:00:00"/>
    <d v="2024-04-12T00:00:00"/>
    <e v="#REF!"/>
    <d v="2024-04-15T00:00:00"/>
    <d v="2024-04-19T00:00:00"/>
    <d v="2894-05-07T00:00:00"/>
    <d v="2024-04-22T00:00:00"/>
    <d v="2024-04-26T00:00:00"/>
    <d v="2024-04-01T00:00:00"/>
    <d v="2024-04-26T00:00:00"/>
    <d v="1899-12-31T00:00:00"/>
    <n v="4"/>
    <m/>
    <m/>
    <m/>
  </r>
  <r>
    <s v="2024"/>
    <s v="SISTEMAS INTERNOS"/>
    <m/>
    <s v="Plataforma Elearning: Paises Chile"/>
    <m/>
    <s v="Nuevo Requerimiento - Levantar"/>
    <m/>
    <s v="LOCAL"/>
    <s v="Funcionalidades Locales"/>
    <x v="6"/>
    <s v="Chile"/>
    <x v="36"/>
    <x v="19"/>
    <x v="1"/>
    <s v="No iniciado"/>
    <s v="Q4"/>
    <s v="Q4"/>
    <s v="Proyecto Elearning"/>
    <s v="ALTA"/>
    <m/>
    <n v="8"/>
    <n v="2"/>
    <n v="550"/>
    <m/>
    <n v="8800"/>
    <n v="364"/>
    <m/>
    <m/>
    <d v="2024-05-20T00:00:00"/>
    <d v="2024-05-27T00:00:00"/>
    <e v="#REF!"/>
    <d v="2024-11-01T00:00:00"/>
    <d v="2024-11-30T00:00:00"/>
    <d v="2898-10-18T00:00:00"/>
    <d v="2024-11-30T00:00:00"/>
    <d v="2024-12-15T00:00:00"/>
    <d v="2024-05-20T00:00:00"/>
    <d v="2024-12-15T00:00:00"/>
    <n v="2"/>
    <n v="15"/>
    <m/>
    <m/>
    <m/>
  </r>
  <r>
    <s v="2024"/>
    <s v="MXP LEGACY"/>
    <m/>
    <s v="Propinas desde el pinpad"/>
    <m/>
    <s v="Nuevo Requerimiento (Ya levantado a Juan Daniel, documentación adjunta)"/>
    <m/>
    <s v="LOCAL"/>
    <s v="Funcionalidades Locales"/>
    <x v="6"/>
    <s v="Chile"/>
    <x v="36"/>
    <x v="19"/>
    <x v="1"/>
    <s v="En curso"/>
    <m/>
    <s v="Q1"/>
    <s v="Ambientes de desarrollo, y pinpad de test."/>
    <s v="MEDIA"/>
    <n v="1"/>
    <n v="3"/>
    <n v="1"/>
    <n v="625"/>
    <m/>
    <n v="1875"/>
    <m/>
    <m/>
    <m/>
    <d v="2024-03-04T00:00:00"/>
    <d v="2024-03-15T00:00:00"/>
    <e v="#REF!"/>
    <d v="2024-03-18T00:00:00"/>
    <d v="2024-03-22T00:00:00"/>
    <d v="2893-09-25T00:00:00"/>
    <d v="2024-03-25T00:00:00"/>
    <d v="2024-03-29T00:00:00"/>
    <d v="2024-03-04T00:00:00"/>
    <d v="2024-03-29T00:00:00"/>
    <n v="0.75"/>
    <n v="4"/>
    <m/>
    <m/>
    <m/>
  </r>
  <r>
    <s v="2023"/>
    <s v="MXP LEGACY"/>
    <m/>
    <s v="Recepciones de Pedidos V3 - Monitor  de transacciones (Tracking) de Pedidos"/>
    <m/>
    <s v="Herramienta para CDC que permite ver todos los pedidos de domicilio, incluye tranking y ubicación del motorizado. no supero el piloto por carga "/>
    <m/>
    <s v="LOCAL"/>
    <s v="Funcionalidades Regionales"/>
    <x v="6"/>
    <s v="Colombia"/>
    <x v="34"/>
    <x v="18"/>
    <x v="1"/>
    <s v="En curso"/>
    <m/>
    <s v="Q1"/>
    <m/>
    <s v="ALTA"/>
    <n v="1"/>
    <n v="4"/>
    <n v="2"/>
    <n v="625"/>
    <m/>
    <n v="5000"/>
    <m/>
    <m/>
    <m/>
    <d v="2023-12-17T00:00:00"/>
    <d v="2024-02-02T00:00:00"/>
    <e v="#REF!"/>
    <d v="2024-02-04T00:00:00"/>
    <d v="2024-02-09T00:00:00"/>
    <d v="2892-10-17T00:00:00"/>
    <d v="2024-02-11T00:00:00"/>
    <d v="2024-02-15T00:00:00"/>
    <d v="2023-12-17T00:00:00"/>
    <d v="2024-02-15T00:00:00"/>
    <n v="1"/>
    <n v="4"/>
    <m/>
    <m/>
    <m/>
  </r>
  <r>
    <s v="2024"/>
    <s v="MXP LEGACY"/>
    <m/>
    <s v="Retiros Motorizados Multimoneda"/>
    <m/>
    <s v="control de retiros solicitados con distintas formas de pago desde delivery."/>
    <m/>
    <s v="LOCAL"/>
    <s v="Funcionalidades Locales"/>
    <x v="6"/>
    <s v="Venezuela"/>
    <x v="33"/>
    <x v="17"/>
    <x v="1"/>
    <s v="No iniciado"/>
    <m/>
    <s v="Q2"/>
    <s v="Se ejecutaría si el retiro de motorizados regional no cumple con la operación multimoneda de Venezuela"/>
    <s v="MEDIA"/>
    <n v="1"/>
    <n v="4"/>
    <n v="2"/>
    <n v="550"/>
    <m/>
    <n v="4400"/>
    <m/>
    <m/>
    <m/>
    <m/>
    <m/>
    <e v="#REF!"/>
    <d v="2024-05-06T00:00:00"/>
    <d v="2024-05-24T00:00:00"/>
    <n v="363362"/>
    <d v="2024-05-27T00:00:00"/>
    <d v="2024-05-29T00:00:00"/>
    <d v="1899-12-30T00:00:00"/>
    <d v="2024-05-29T00:00:00"/>
    <d v="1899-12-31T00:00:00"/>
    <n v="2"/>
    <m/>
    <m/>
    <m/>
  </r>
  <r>
    <s v="2024"/>
    <s v="ERP"/>
    <m/>
    <s v="RollOut Chile - Logistica"/>
    <m/>
    <s v="Implementar SAP Logistica Chile"/>
    <m/>
    <s v="LOCAL"/>
    <s v="Funcionalidades Locales"/>
    <x v="6"/>
    <s v="Chile"/>
    <x v="65"/>
    <x v="19"/>
    <x v="0"/>
    <s v="No iniciado"/>
    <s v="Q4"/>
    <s v="Q4"/>
    <m/>
    <s v="ALTA"/>
    <n v="1"/>
    <m/>
    <m/>
    <m/>
    <m/>
    <n v="0"/>
    <m/>
    <m/>
    <m/>
    <d v="2024-09-07T00:00:00"/>
    <d v="2025-02-28T00:00:00"/>
    <n v="174"/>
    <d v="2025-03-01T00:00:00"/>
    <d v="2025-03-31T00:00:00"/>
    <n v="30"/>
    <d v="2025-03-01T00:00:00"/>
    <d v="2025-03-31T00:00:00"/>
    <d v="2024-09-07T00:00:00"/>
    <d v="2025-03-31T00:00:00"/>
    <n v="0"/>
    <n v="30"/>
    <m/>
    <m/>
    <m/>
  </r>
  <r>
    <s v="2024"/>
    <s v="ERP"/>
    <m/>
    <s v="RollOut Venezuela"/>
    <m/>
    <s v="Implementar SAP en Venezuela"/>
    <m/>
    <s v="LOCAL"/>
    <s v="Funcionalidades Locales"/>
    <x v="6"/>
    <s v="Venezuela"/>
    <x v="66"/>
    <x v="17"/>
    <x v="1"/>
    <s v="No iniciado"/>
    <s v="Q2"/>
    <s v="Q2"/>
    <m/>
    <s v="ALTA"/>
    <n v="1"/>
    <m/>
    <m/>
    <m/>
    <m/>
    <n v="0"/>
    <m/>
    <m/>
    <m/>
    <d v="2024-03-07T00:00:00"/>
    <d v="2024-06-28T00:00:00"/>
    <n v="113"/>
    <d v="2024-07-01T00:00:00"/>
    <d v="2024-07-31T00:00:00"/>
    <n v="30"/>
    <d v="2024-07-01T00:00:00"/>
    <d v="2024-07-31T00:00:00"/>
    <d v="2024-03-07T00:00:00"/>
    <d v="2024-07-31T00:00:00"/>
    <d v="1899-12-30T00:00:00"/>
    <n v="30"/>
    <m/>
    <m/>
    <m/>
  </r>
  <r>
    <s v="2024"/>
    <s v="ERP"/>
    <m/>
    <s v="SAP Disaster Recovery"/>
    <m/>
    <s v="CONTAR CON UN PLAN DE RECUPERACION ANTE DESASTERES Y PLAN DE CONTINUIDAD DE NEGOCIO "/>
    <m/>
    <s v="REGIONAL"/>
    <s v="Implementar DRP / BCP SAP Países"/>
    <x v="6"/>
    <s v="Chile"/>
    <x v="9"/>
    <x v="19"/>
    <x v="1"/>
    <s v="En curso"/>
    <s v="Q1"/>
    <s v="Q3"/>
    <m/>
    <s v="ALTA"/>
    <n v="0.05"/>
    <n v="12"/>
    <n v="10"/>
    <n v="1221"/>
    <m/>
    <n v="7326"/>
    <n v="6769.4000000000005"/>
    <m/>
    <m/>
    <d v="2024-02-21T00:00:00"/>
    <d v="2024-05-21T00:00:00"/>
    <n v="90"/>
    <d v="2024-03-21T00:00:00"/>
    <d v="2024-03-28T00:00:00"/>
    <n v="7"/>
    <d v="2024-03-21T00:00:00"/>
    <d v="2024-03-28T00:00:00"/>
    <d v="2024-02-21T00:00:00"/>
    <d v="2024-03-28T00:00:00"/>
    <n v="3"/>
    <n v="7"/>
    <s v="PROYECTO REGIONAL"/>
    <m/>
    <m/>
  </r>
  <r>
    <s v="2024"/>
    <s v="ERP"/>
    <m/>
    <s v="SAP Disaster Recovery"/>
    <m/>
    <s v="CONTAR CON UN PLAN DE RECUPERACION ANTE DESASTERES Y PLAN DE CONTINUIDAD DE NEGOCIO "/>
    <m/>
    <s v="REGIONAL"/>
    <s v="Implementar DRP / BCP SAP Países"/>
    <x v="6"/>
    <s v="Colombia"/>
    <x v="9"/>
    <x v="18"/>
    <x v="1"/>
    <s v="En curso"/>
    <s v="Q1"/>
    <s v="Q3"/>
    <m/>
    <s v="ALTA"/>
    <n v="0.15"/>
    <n v="12"/>
    <n v="10"/>
    <n v="1221"/>
    <m/>
    <n v="21978"/>
    <n v="20308.2"/>
    <m/>
    <m/>
    <d v="2024-02-21T00:00:00"/>
    <d v="2024-05-21T00:00:00"/>
    <n v="90"/>
    <d v="2024-03-21T00:00:00"/>
    <d v="2024-03-28T00:00:00"/>
    <n v="7"/>
    <d v="2024-03-21T00:00:00"/>
    <d v="2024-03-28T00:00:00"/>
    <d v="2024-02-21T00:00:00"/>
    <d v="2024-03-28T00:00:00"/>
    <n v="3"/>
    <n v="7"/>
    <s v="PROYECTO REGIONAL"/>
    <m/>
    <m/>
  </r>
  <r>
    <s v="2024"/>
    <s v="SISTEMAS INTERNOS"/>
    <m/>
    <s v="Sistema Aprobaciones OCs: Fase 1 "/>
    <m/>
    <s v="Nuevo Requerimiento"/>
    <m/>
    <s v="LOCAL"/>
    <s v="Funcionalidades Locales"/>
    <x v="6"/>
    <s v="Chile"/>
    <x v="36"/>
    <x v="19"/>
    <x v="1"/>
    <s v="En curso"/>
    <s v="Q1"/>
    <s v="Q1"/>
    <s v="N/A"/>
    <s v="BAJA"/>
    <m/>
    <n v="10"/>
    <n v="1"/>
    <n v="550"/>
    <m/>
    <n v="5500"/>
    <m/>
    <m/>
    <m/>
    <d v="2024-01-14T00:00:00"/>
    <d v="2024-03-14T00:00:00"/>
    <e v="#REF!"/>
    <d v="2024-03-14T00:00:00"/>
    <d v="2024-03-28T00:00:00"/>
    <d v="2893-09-03T00:00:00"/>
    <d v="2024-03-28T00:00:00"/>
    <d v="2024-04-07T00:00:00"/>
    <d v="2024-01-14T00:00:00"/>
    <d v="2024-04-07T00:00:00"/>
    <n v="2.5"/>
    <n v="10"/>
    <m/>
    <m/>
    <m/>
  </r>
  <r>
    <s v="2024"/>
    <s v="SISTEMAS INTERNOS"/>
    <m/>
    <s v="Sistema de Conciliaciones: Depósitos (SIR-Bancos Chile)"/>
    <m/>
    <s v="Conciliacion de depositos de Tiendas vs lo Reflejado en Bancos"/>
    <m/>
    <s v="LOCAL"/>
    <s v="Funcionalidades Locales"/>
    <x v="6"/>
    <s v="Chile"/>
    <x v="36"/>
    <x v="19"/>
    <x v="1"/>
    <s v="No iniciado"/>
    <s v="Q2"/>
    <s v="Q2"/>
    <s v="N/A"/>
    <s v="MEDIA"/>
    <m/>
    <n v="12"/>
    <n v="1"/>
    <n v="550"/>
    <m/>
    <n v="7240"/>
    <m/>
    <m/>
    <m/>
    <d v="2024-07-01T00:00:00"/>
    <d v="2024-08-31T00:00:00"/>
    <e v="#REF!"/>
    <d v="2024-08-31T00:00:00"/>
    <d v="2024-09-07T00:00:00"/>
    <d v="2897-05-18T00:00:00"/>
    <d v="2024-09-07T00:00:00"/>
    <d v="2024-09-14T00:00:00"/>
    <d v="2024-07-01T00:00:00"/>
    <d v="2024-09-14T00:00:00"/>
    <n v="3"/>
    <n v="7"/>
    <m/>
    <m/>
    <m/>
  </r>
  <r>
    <s v="2024"/>
    <s v="SISTEMAS INTERNOS"/>
    <m/>
    <s v="Sistema de Conciliaciones: Facturas Electronica vs Venta"/>
    <m/>
    <s v="Consumo al Servicio de ACEPTA para Sacar las Facturas y hacer la comparación contra la data de Venta de MXP o BI Se necesita apoyo de ERP para incluir Bots y jalar la data de ACEPTA"/>
    <m/>
    <s v="LOCAL"/>
    <s v="Funcionalidades Locales"/>
    <x v="6"/>
    <s v="Chile"/>
    <x v="36"/>
    <x v="19"/>
    <x v="1"/>
    <s v="No iniciado"/>
    <s v="Q4"/>
    <s v="Q3"/>
    <s v="Sistema de Conciliaciones"/>
    <s v="MEDIA"/>
    <m/>
    <n v="12"/>
    <n v="1"/>
    <n v="550"/>
    <m/>
    <n v="7240"/>
    <m/>
    <m/>
    <m/>
    <d v="2024-08-01T00:00:00"/>
    <d v="2024-10-14T00:00:00"/>
    <d v="2024-10-14T00:00:00"/>
    <d v="2024-10-21T00:00:00"/>
    <d v="2024-10-21T00:00:00"/>
    <d v="2024-11-01T00:00:00"/>
    <d v="2024-10-21T00:00:00"/>
    <d v="2024-11-01T00:00:00"/>
    <d v="2024-08-01T00:00:00"/>
    <d v="2024-11-01T00:00:00"/>
    <n v="3"/>
    <n v="11"/>
    <m/>
    <m/>
    <m/>
  </r>
  <r>
    <s v="2024"/>
    <s v="SISTEMAS INTERNOS"/>
    <m/>
    <s v="Sistema de Conciliaciones: Switch Transaccional vs Venta"/>
    <m/>
    <s v="Transbank es el banco de Tarjetas: Hassar Intermediario de Switch Transaccional de Chile contra SIR y BI"/>
    <m/>
    <s v="LOCAL"/>
    <s v="Funcionalidades Locales"/>
    <x v="6"/>
    <s v="Chile"/>
    <x v="36"/>
    <x v="19"/>
    <x v="1"/>
    <s v="No iniciado"/>
    <s v="Q3"/>
    <s v="Q3"/>
    <s v="Sistema de Conciliaciones"/>
    <s v="ALTA"/>
    <m/>
    <n v="12"/>
    <n v="1"/>
    <n v="550"/>
    <m/>
    <n v="7240"/>
    <m/>
    <m/>
    <m/>
    <d v="2024-08-01T00:00:00"/>
    <d v="2024-10-14T00:00:00"/>
    <e v="#REF!"/>
    <d v="2024-10-14T00:00:00"/>
    <d v="2024-10-21T00:00:00"/>
    <d v="2898-05-05T00:00:00"/>
    <d v="2024-10-21T00:00:00"/>
    <d v="2024-11-01T00:00:00"/>
    <d v="2024-08-01T00:00:00"/>
    <d v="2024-11-01T00:00:00"/>
    <n v="3"/>
    <n v="11"/>
    <m/>
    <m/>
    <m/>
  </r>
  <r>
    <s v="2024"/>
    <s v="MXP LEGACY"/>
    <m/>
    <s v="Topes en Descuentos"/>
    <m/>
    <s v="Validación para el descuentos por colaborador, se valida con el serviciowebsir. (validar el total por mes)"/>
    <m/>
    <s v="LOCAL"/>
    <s v="Funcionalidades Regionales"/>
    <x v="6"/>
    <s v="Chile"/>
    <x v="36"/>
    <x v="19"/>
    <x v="1"/>
    <s v="No iniciado"/>
    <m/>
    <s v="Q3"/>
    <s v="Dependencia campo en SIR de validación, enpoints consulta y actualización._x000a_Confirmar anulación?"/>
    <s v="MEDIA"/>
    <n v="1"/>
    <n v="3"/>
    <n v="1"/>
    <n v="625"/>
    <m/>
    <n v="1875"/>
    <m/>
    <m/>
    <m/>
    <d v="2024-07-01T00:00:00"/>
    <d v="2024-07-12T00:00:00"/>
    <e v="#REF!"/>
    <d v="2024-07-15T00:00:00"/>
    <d v="2024-07-19T00:00:00"/>
    <d v="2896-05-04T00:00:00"/>
    <d v="2024-07-22T00:00:00"/>
    <d v="2024-07-26T00:00:00"/>
    <d v="2024-07-01T00:00:00"/>
    <d v="2024-07-26T00:00:00"/>
    <n v="0.75"/>
    <n v="4"/>
    <m/>
    <m/>
    <m/>
  </r>
  <r>
    <s v="2024"/>
    <s v="MXP LEGACY"/>
    <m/>
    <s v="Venta IRSA"/>
    <m/>
    <s v="Venta IRSA"/>
    <m/>
    <s v="LOCAL"/>
    <s v="Funcionalidades Locales"/>
    <x v="6"/>
    <s v="Argentina"/>
    <x v="41"/>
    <x v="20"/>
    <x v="1"/>
    <s v="En curso"/>
    <m/>
    <s v="Q1"/>
    <m/>
    <s v="MEDIA"/>
    <n v="1"/>
    <n v="5"/>
    <n v="1"/>
    <n v="550"/>
    <m/>
    <n v="2750"/>
    <m/>
    <m/>
    <m/>
    <d v="2024-03-04T00:00:00"/>
    <d v="2024-05-10T00:00:00"/>
    <e v="#REF!"/>
    <d v="2024-05-13T00:00:00"/>
    <d v="2024-05-17T00:00:00"/>
    <d v="2894-12-17T00:00:00"/>
    <d v="2024-05-20T00:00:00"/>
    <d v="2024-05-24T00:00:00"/>
    <d v="2024-03-04T00:00:00"/>
    <d v="2024-05-24T00:00:00"/>
    <d v="1899-12-31T06:00:00"/>
    <n v="4"/>
    <m/>
    <m/>
    <m/>
  </r>
  <r>
    <s v="2024"/>
    <s v="MXP LEGACY"/>
    <m/>
    <s v="Ventas de Producto por formas de pago"/>
    <m/>
    <s v="Nuevo Requerimiento (Ya levantado a Juan Daniel, documentación adjunta)_x000a_"/>
    <m/>
    <s v="LOCAL"/>
    <s v="Funcionalidades Regionales"/>
    <x v="6"/>
    <s v="Chile"/>
    <x v="36"/>
    <x v="19"/>
    <x v="1"/>
    <s v="No iniciado"/>
    <m/>
    <s v="Q2"/>
    <s v="Ambiente de pruebas de EDENRED."/>
    <s v="MEDIA"/>
    <n v="1"/>
    <n v="3"/>
    <n v="1"/>
    <n v="625"/>
    <m/>
    <n v="1875"/>
    <m/>
    <m/>
    <m/>
    <d v="2024-06-03T00:00:00"/>
    <d v="2024-06-14T00:00:00"/>
    <e v="#REF!"/>
    <d v="2024-06-17T00:00:00"/>
    <d v="2024-06-21T00:00:00"/>
    <d v="2895-09-23T00:00:00"/>
    <d v="2024-06-24T00:00:00"/>
    <d v="2024-06-28T00:00:00"/>
    <d v="2024-06-03T00:00:00"/>
    <d v="2024-06-28T00:00:00"/>
    <n v="0.75"/>
    <n v="4"/>
    <m/>
    <m/>
    <m/>
  </r>
  <r>
    <s v="2024"/>
    <s v="CANALES DIGITALES"/>
    <s v="API Inyección v3"/>
    <s v="Integraciones Automáticas - Canales Propios"/>
    <s v="MXP LEGACY_x000a_TRADE"/>
    <s v="Compromiso Matriz Regional  (Argentina)_x000a_ -  Web DUNA _x000a_Cambios de Estado"/>
    <s v="MEDIA"/>
    <s v="REGIONAL"/>
    <s v="Funcionalidades Locales"/>
    <x v="7"/>
    <s v="Argentina"/>
    <x v="35"/>
    <x v="1"/>
    <x v="1"/>
    <s v="No iniciado"/>
    <m/>
    <s v="Q2"/>
    <m/>
    <s v="MEDIA"/>
    <n v="1"/>
    <n v="2"/>
    <n v="1"/>
    <n v="550"/>
    <m/>
    <n v="1740"/>
    <m/>
    <m/>
    <m/>
    <d v="2024-03-18T00:00:00"/>
    <d v="2024-03-18T00:00:00"/>
    <n v="0"/>
    <d v="2024-03-18T00:00:00"/>
    <d v="2024-03-25T00:00:00"/>
    <n v="362959"/>
    <d v="2024-03-25T00:00:00"/>
    <d v="2024-04-01T00:00:00"/>
    <d v="2024-05-01T00:00:00"/>
    <d v="2024-05-15T00:00:00"/>
    <n v="0.5"/>
    <n v="7"/>
    <s v="PROYECTO REGIONAL"/>
    <m/>
    <m/>
  </r>
  <r>
    <s v="2024"/>
    <s v="ERP"/>
    <m/>
    <s v="Generar  Orden de trabajo Directa a SAP desde SIR locales."/>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m/>
    <m/>
    <x v="2"/>
    <s v="Ecuador"/>
    <x v="11"/>
    <x v="8"/>
    <x v="0"/>
    <s v="No iniciado"/>
    <m/>
    <m/>
    <m/>
    <m/>
    <m/>
    <m/>
    <m/>
    <m/>
    <m/>
    <n v="640"/>
    <m/>
    <m/>
    <m/>
    <m/>
    <m/>
    <e v="#REF!"/>
    <m/>
    <m/>
    <d v="1899-12-30T00:00:00"/>
    <m/>
    <m/>
    <d v="1899-12-30T00:00:00"/>
    <d v="1899-12-30T00:00:00"/>
    <d v="1899-12-30T00:00:00"/>
    <n v="0"/>
    <s v="Vinculo con SIR"/>
    <m/>
    <m/>
  </r>
  <r>
    <s v="2024"/>
    <s v="SIR"/>
    <m/>
    <s v="Generar pedido automatico de Consumibles que se disponen en Planta "/>
    <m/>
    <s v="Actualmente  el pedido es de manera Manual y dependemos de una persona para que sean subidos a una orden de trabajo, de lo contrario no se despachan, y el objetivo es automatizar para despacho inmediato ."/>
    <m/>
    <m/>
    <m/>
    <x v="2"/>
    <s v="Ecuador"/>
    <x v="9"/>
    <x v="30"/>
    <x v="0"/>
    <s v="No iniciado"/>
    <m/>
    <m/>
    <m/>
    <m/>
    <m/>
    <m/>
    <m/>
    <m/>
    <m/>
    <n v="640"/>
    <m/>
    <m/>
    <m/>
    <m/>
    <m/>
    <e v="#REF!"/>
    <m/>
    <m/>
    <d v="1899-12-30T00:00:00"/>
    <m/>
    <m/>
    <d v="1899-12-30T00:00:00"/>
    <d v="1899-12-30T00:00:00"/>
    <d v="1899-12-30T00:00:00"/>
    <n v="0"/>
    <s v="Validar TV reunión con el equipo de datos maestros + Kimberly Ayala + Andrés Rigoli"/>
    <m/>
    <m/>
  </r>
  <r>
    <s v="2024"/>
    <s v="CANALES DIGITALES"/>
    <s v="Kioscos"/>
    <s v="QR Champions Kiosco Tarjetas de Crédito (Adicional)"/>
    <s v="MXP LEGACY_x000a_TRADE"/>
    <s v="Requerimiento adicional. Aprobado por marketing"/>
    <m/>
    <s v="LOCAL"/>
    <m/>
    <x v="2"/>
    <s v="Ecuador"/>
    <x v="9"/>
    <x v="33"/>
    <x v="1"/>
    <s v="En curso"/>
    <m/>
    <s v="Q2"/>
    <m/>
    <s v="BAJA"/>
    <n v="1"/>
    <n v="4"/>
    <n v="1"/>
    <n v="550"/>
    <m/>
    <n v="2840"/>
    <m/>
    <m/>
    <m/>
    <d v="2024-03-21T00:00:00"/>
    <m/>
    <e v="#REF!"/>
    <m/>
    <m/>
    <d v="1899-12-30T00:00:00"/>
    <m/>
    <d v="2024-04-12T00:00:00"/>
    <d v="2024-03-21T00:00:00"/>
    <d v="2024-04-18T00:00:00"/>
    <n v="1"/>
    <n v="45394"/>
    <s v="PROYECTO LOCAL"/>
    <m/>
    <m/>
  </r>
  <r>
    <m/>
    <m/>
    <m/>
    <m/>
    <m/>
    <m/>
    <m/>
    <m/>
    <m/>
    <x v="2"/>
    <m/>
    <x v="9"/>
    <x v="30"/>
    <x v="3"/>
    <m/>
    <m/>
    <m/>
    <m/>
    <m/>
    <m/>
    <m/>
    <m/>
    <m/>
    <m/>
    <n v="640"/>
    <m/>
    <m/>
    <m/>
    <m/>
    <m/>
    <e v="#REF!"/>
    <m/>
    <m/>
    <d v="1899-12-30T00:00:00"/>
    <m/>
    <m/>
    <d v="1899-12-30T00:00:00"/>
    <d v="1899-12-30T00:00:00"/>
    <n v="0"/>
    <n v="0"/>
    <m/>
    <m/>
    <m/>
  </r>
  <r>
    <m/>
    <m/>
    <m/>
    <m/>
    <m/>
    <m/>
    <m/>
    <m/>
    <m/>
    <x v="2"/>
    <m/>
    <x v="9"/>
    <x v="30"/>
    <x v="3"/>
    <m/>
    <m/>
    <m/>
    <m/>
    <m/>
    <m/>
    <m/>
    <m/>
    <m/>
    <m/>
    <n v="640"/>
    <m/>
    <m/>
    <m/>
    <m/>
    <m/>
    <e v="#REF!"/>
    <m/>
    <m/>
    <d v="1899-12-30T00:00:00"/>
    <m/>
    <m/>
    <d v="1899-12-30T00:00:00"/>
    <d v="1899-12-30T00:00:00"/>
    <n v="0"/>
    <n v="0"/>
    <m/>
    <m/>
    <m/>
  </r>
  <r>
    <m/>
    <m/>
    <m/>
    <m/>
    <m/>
    <m/>
    <m/>
    <m/>
    <m/>
    <x v="2"/>
    <m/>
    <x v="9"/>
    <x v="30"/>
    <x v="3"/>
    <m/>
    <m/>
    <m/>
    <m/>
    <m/>
    <m/>
    <m/>
    <m/>
    <m/>
    <m/>
    <n v="640"/>
    <m/>
    <m/>
    <m/>
    <m/>
    <m/>
    <e v="#REF!"/>
    <m/>
    <m/>
    <d v="1899-12-30T00:00:00"/>
    <m/>
    <m/>
    <d v="1899-12-30T00:00:00"/>
    <d v="1899-12-30T00:00:00"/>
    <n v="0"/>
    <n v="0"/>
    <m/>
    <m/>
    <m/>
  </r>
  <r>
    <n v="2024"/>
    <s v="SIR"/>
    <m/>
    <s v="Orden de mantenimiento añadir sociedad SAP"/>
    <m/>
    <s v="Solicitado por ERP "/>
    <m/>
    <m/>
    <m/>
    <x v="1"/>
    <m/>
    <x v="9"/>
    <x v="30"/>
    <x v="3"/>
    <m/>
    <m/>
    <m/>
    <m/>
    <m/>
    <m/>
    <m/>
    <m/>
    <m/>
    <m/>
    <n v="640"/>
    <m/>
    <m/>
    <n v="0"/>
    <m/>
    <m/>
    <e v="#REF!"/>
    <m/>
    <m/>
    <d v="1899-12-30T00:00:00"/>
    <m/>
    <d v="2024-04-09T00:00:00"/>
    <m/>
    <m/>
    <d v="1899-12-30T00:00:00"/>
    <n v="45391"/>
    <m/>
    <m/>
    <m/>
  </r>
  <r>
    <n v="2024"/>
    <s v="SIR"/>
    <m/>
    <s v="Servidor Capacitación"/>
    <m/>
    <m/>
    <m/>
    <m/>
    <m/>
    <x v="1"/>
    <m/>
    <x v="9"/>
    <x v="30"/>
    <x v="3"/>
    <m/>
    <m/>
    <m/>
    <m/>
    <m/>
    <m/>
    <m/>
    <m/>
    <m/>
    <m/>
    <n v="640"/>
    <m/>
    <m/>
    <n v="1"/>
    <m/>
    <m/>
    <e v="#REF!"/>
    <m/>
    <m/>
    <d v="1899-12-30T00:00:00"/>
    <m/>
    <d v="2024-04-12T00:00:00"/>
    <m/>
    <m/>
    <d v="1899-12-30T00:00:00"/>
    <n v="45394"/>
    <m/>
    <m/>
    <m/>
  </r>
  <r>
    <n v="2024"/>
    <s v="SIR"/>
    <m/>
    <s v="Pruebas aplicaciones web migración FortiWeb"/>
    <m/>
    <m/>
    <m/>
    <m/>
    <m/>
    <x v="1"/>
    <m/>
    <x v="9"/>
    <x v="30"/>
    <x v="3"/>
    <m/>
    <m/>
    <m/>
    <m/>
    <m/>
    <m/>
    <m/>
    <m/>
    <m/>
    <m/>
    <n v="640"/>
    <m/>
    <m/>
    <n v="1"/>
    <m/>
    <m/>
    <e v="#REF!"/>
    <m/>
    <m/>
    <d v="1899-12-30T00:00:00"/>
    <m/>
    <d v="2024-04-19T00:00:00"/>
    <m/>
    <m/>
    <d v="1899-12-30T00:00:00"/>
    <n v="45401"/>
    <m/>
    <m/>
    <m/>
  </r>
  <r>
    <n v="2024"/>
    <s v="SIR"/>
    <m/>
    <s v="API Créditos Sin Cupon - Nómina"/>
    <m/>
    <m/>
    <m/>
    <m/>
    <m/>
    <x v="1"/>
    <m/>
    <x v="9"/>
    <x v="30"/>
    <x v="3"/>
    <m/>
    <m/>
    <m/>
    <m/>
    <m/>
    <m/>
    <m/>
    <m/>
    <m/>
    <m/>
    <n v="640"/>
    <m/>
    <m/>
    <n v="1"/>
    <m/>
    <m/>
    <e v="#REF!"/>
    <m/>
    <m/>
    <d v="1899-12-30T00:00:00"/>
    <m/>
    <d v="2024-04-19T00:00:00"/>
    <m/>
    <m/>
    <d v="1899-12-30T00:00:00"/>
    <n v="45401"/>
    <m/>
    <m/>
    <m/>
  </r>
  <r>
    <n v="2024"/>
    <s v="SIR"/>
    <m/>
    <s v="Error en el reporte de usos y consumos, signo negativo"/>
    <m/>
    <m/>
    <m/>
    <m/>
    <m/>
    <x v="1"/>
    <m/>
    <x v="9"/>
    <x v="30"/>
    <x v="3"/>
    <m/>
    <m/>
    <m/>
    <m/>
    <m/>
    <m/>
    <m/>
    <m/>
    <m/>
    <m/>
    <n v="640"/>
    <m/>
    <m/>
    <n v="1"/>
    <m/>
    <m/>
    <e v="#REF!"/>
    <m/>
    <m/>
    <d v="1899-12-30T00:00:00"/>
    <m/>
    <d v="2024-04-19T00:00:00"/>
    <m/>
    <m/>
    <d v="1899-12-30T00:00:00"/>
    <n v="45401"/>
    <m/>
    <m/>
    <m/>
  </r>
  <r>
    <n v="2024"/>
    <s v="SIR"/>
    <m/>
    <s v="Exportación Activos Fijos"/>
    <m/>
    <m/>
    <m/>
    <m/>
    <m/>
    <x v="1"/>
    <m/>
    <x v="9"/>
    <x v="30"/>
    <x v="3"/>
    <m/>
    <m/>
    <m/>
    <m/>
    <m/>
    <m/>
    <m/>
    <m/>
    <m/>
    <m/>
    <n v="640"/>
    <m/>
    <m/>
    <n v="1"/>
    <m/>
    <m/>
    <e v="#REF!"/>
    <m/>
    <m/>
    <d v="1899-12-30T00:00:00"/>
    <m/>
    <d v="2024-04-19T00:00:00"/>
    <m/>
    <m/>
    <d v="1899-12-30T00:00:00"/>
    <n v="45401"/>
    <m/>
    <m/>
    <m/>
  </r>
  <r>
    <m/>
    <m/>
    <m/>
    <m/>
    <m/>
    <m/>
    <m/>
    <m/>
    <m/>
    <x v="2"/>
    <m/>
    <x v="9"/>
    <x v="30"/>
    <x v="3"/>
    <m/>
    <m/>
    <m/>
    <m/>
    <m/>
    <m/>
    <m/>
    <m/>
    <m/>
    <m/>
    <m/>
    <m/>
    <m/>
    <m/>
    <m/>
    <m/>
    <m/>
    <m/>
    <m/>
    <m/>
    <m/>
    <m/>
    <m/>
    <m/>
    <m/>
    <m/>
    <m/>
    <m/>
    <m/>
  </r>
  <r>
    <m/>
    <m/>
    <m/>
    <m/>
    <m/>
    <m/>
    <m/>
    <m/>
    <m/>
    <x v="2"/>
    <m/>
    <x v="9"/>
    <x v="30"/>
    <x v="3"/>
    <m/>
    <m/>
    <m/>
    <m/>
    <m/>
    <m/>
    <m/>
    <m/>
    <m/>
    <m/>
    <m/>
    <m/>
    <m/>
    <m/>
    <m/>
    <m/>
    <m/>
    <m/>
    <m/>
    <m/>
    <m/>
    <m/>
    <m/>
    <m/>
    <m/>
    <m/>
    <m/>
    <m/>
    <m/>
  </r>
  <r>
    <m/>
    <m/>
    <m/>
    <m/>
    <m/>
    <m/>
    <m/>
    <m/>
    <m/>
    <x v="2"/>
    <m/>
    <x v="9"/>
    <x v="30"/>
    <x v="3"/>
    <m/>
    <m/>
    <m/>
    <m/>
    <m/>
    <m/>
    <m/>
    <m/>
    <m/>
    <m/>
    <m/>
    <m/>
    <m/>
    <m/>
    <m/>
    <m/>
    <m/>
    <m/>
    <m/>
    <m/>
    <m/>
    <m/>
    <m/>
    <m/>
    <m/>
    <m/>
    <m/>
    <m/>
    <m/>
  </r>
  <r>
    <m/>
    <m/>
    <m/>
    <m/>
    <m/>
    <m/>
    <m/>
    <m/>
    <m/>
    <x v="2"/>
    <m/>
    <x v="9"/>
    <x v="30"/>
    <x v="3"/>
    <m/>
    <m/>
    <m/>
    <m/>
    <m/>
    <m/>
    <m/>
    <m/>
    <m/>
    <m/>
    <n v="5040"/>
    <m/>
    <m/>
    <m/>
    <m/>
    <m/>
    <m/>
    <m/>
    <m/>
    <m/>
    <m/>
    <m/>
    <m/>
    <m/>
    <m/>
    <m/>
    <m/>
    <m/>
    <m/>
  </r>
  <r>
    <m/>
    <m/>
    <m/>
    <m/>
    <m/>
    <m/>
    <m/>
    <m/>
    <m/>
    <x v="2"/>
    <m/>
    <x v="9"/>
    <x v="30"/>
    <x v="3"/>
    <m/>
    <m/>
    <m/>
    <m/>
    <m/>
    <m/>
    <m/>
    <m/>
    <m/>
    <m/>
    <n v="4400"/>
    <m/>
    <m/>
    <m/>
    <m/>
    <m/>
    <m/>
    <m/>
    <m/>
    <m/>
    <m/>
    <m/>
    <m/>
    <m/>
    <m/>
    <m/>
    <m/>
    <m/>
    <m/>
  </r>
  <r>
    <m/>
    <m/>
    <m/>
    <m/>
    <m/>
    <m/>
    <m/>
    <m/>
    <m/>
    <x v="2"/>
    <m/>
    <x v="9"/>
    <x v="30"/>
    <x v="3"/>
    <m/>
    <m/>
    <m/>
    <m/>
    <m/>
    <m/>
    <m/>
    <m/>
    <m/>
    <m/>
    <n v="880"/>
    <m/>
    <m/>
    <m/>
    <m/>
    <m/>
    <m/>
    <m/>
    <m/>
    <m/>
    <m/>
    <m/>
    <m/>
    <m/>
    <m/>
    <m/>
    <m/>
    <m/>
    <m/>
  </r>
  <r>
    <m/>
    <m/>
    <m/>
    <m/>
    <m/>
    <m/>
    <m/>
    <m/>
    <m/>
    <x v="2"/>
    <m/>
    <x v="9"/>
    <x v="30"/>
    <x v="3"/>
    <m/>
    <m/>
    <m/>
    <m/>
    <m/>
    <m/>
    <m/>
    <m/>
    <m/>
    <m/>
    <m/>
    <m/>
    <m/>
    <m/>
    <m/>
    <m/>
    <m/>
    <m/>
    <m/>
    <m/>
    <m/>
    <m/>
    <m/>
    <m/>
    <m/>
    <m/>
    <m/>
    <m/>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51">
  <r>
    <s v="2024"/>
    <x v="0"/>
    <m/>
    <s v="Agrupar tarjetas a una sola forma de pago "/>
    <s v="MXP LEGACY"/>
    <s v="Agrupar en una sola forma de pago por tarjeta_x000a_- Interfaz de venta_x000a_- Interfaz de sir y guardar información"/>
    <m/>
    <s v="LOCAL"/>
    <s v="Mejoras Auditoría"/>
    <s v="CAR"/>
    <m/>
    <m/>
    <s v="Ecuador"/>
    <s v="Vladimir Morillo"/>
    <s v="vladimir.morillo@kfc.com.ec"/>
    <x v="0"/>
    <s v="IDENTIFICADO"/>
    <s v="No iniciado"/>
    <s v="Q1"/>
    <s v="Q2"/>
    <s v="Ejecución del proyecto de conciliador de tarjetas que está a cargo de Canales Digitales"/>
    <s v="ALTA"/>
    <m/>
    <n v="3"/>
    <n v="2"/>
    <n v="550"/>
    <m/>
    <n v="3300"/>
    <m/>
    <m/>
    <x v="0"/>
    <d v="2024-05-27T00:00:00"/>
    <m/>
    <e v="#REF!"/>
    <m/>
    <m/>
    <d v="1899-12-30T00:00:00"/>
    <d v="2024-06-25T00:00:00"/>
    <d v="2024-06-25T00:00:00"/>
    <d v="2024-05-27T00:00:00"/>
    <d v="2024-06-25T00:00:00"/>
    <n v="0.75"/>
    <n v="0"/>
    <m/>
    <m/>
    <m/>
    <m/>
  </r>
  <r>
    <s v="2024"/>
    <x v="1"/>
    <s v="Fidelización"/>
    <s v="Añadir Campos Fidelización JV"/>
    <s v="MXP LEGACY_x000a_MXP 2.0"/>
    <s v="Añadir campos al envio de fidelizacion. Añadir un campo adicional dentro del request de fidelización sobre MaxPoint"/>
    <s v="MEDIA"/>
    <s v="LOCAL"/>
    <s v="Funcionalidades Locales"/>
    <s v="CAR"/>
    <m/>
    <m/>
    <s v="Ecuador"/>
    <s v="Daniel Barreno"/>
    <s v="daniel.barreno@kfc.com.ec"/>
    <x v="1"/>
    <s v="APROBADO"/>
    <s v="No iniciado"/>
    <m/>
    <s v="Q3"/>
    <m/>
    <s v="BAJA"/>
    <m/>
    <n v="3"/>
    <n v="2"/>
    <n v="550"/>
    <m/>
    <n v="3300"/>
    <m/>
    <m/>
    <x v="0"/>
    <d v="2024-03-04T00:00:00"/>
    <d v="2024-03-11T00:00:00"/>
    <n v="7"/>
    <d v="2024-03-11T00:00:00"/>
    <d v="2024-03-18T00:00:00"/>
    <n v="362903"/>
    <d v="2024-03-18T00:00:00"/>
    <d v="2024-03-25T00:00:00"/>
    <d v="2024-06-17T00:00:00"/>
    <d v="2024-07-08T00:00:00"/>
    <n v="0.75"/>
    <n v="7"/>
    <m/>
    <m/>
    <m/>
    <m/>
  </r>
  <r>
    <s v="2024"/>
    <x v="1"/>
    <s v="Cupones"/>
    <s v="Establecer órden de cupones (Soporte Cupones)"/>
    <s v="MXP LEGACY_x000a_TRADE"/>
    <s v="´- Cupones antiguos deberían poder moverse en prioridad al igual que los nuevos creados a partir de la ultima versión del desarrollo._x000a_ - Soporte, actualmente lo está revisando Diego Vinueza._x000a_- Parametrización de caducidad en cupones con detalle de tiempo de un minuto (actualmente 10 minutos)_x000a_- Revisar si es posible cambio de icono de app desde desarrollo"/>
    <s v="ALTA"/>
    <s v="LOCAL"/>
    <s v="Proyectos TD 2024"/>
    <s v="CAR"/>
    <s v="Orden de los Cupones"/>
    <s v="Ordenamiento de Cupones (Ecuador)_x000a_Caducidad de Cupones (Ecuador)"/>
    <s v="Ecuador"/>
    <s v="Andres Canelos / Ma. Paula Tapia"/>
    <s v="andres.canelos@kfc.com.ec; mpaula.tapia@kfc.com.ec"/>
    <x v="2"/>
    <s v="APROBADO"/>
    <s v="No iniciado"/>
    <n v="0"/>
    <s v="Q2"/>
    <m/>
    <s v="MEDIA"/>
    <m/>
    <n v="6"/>
    <n v="1"/>
    <n v="550"/>
    <m/>
    <n v="3940"/>
    <m/>
    <m/>
    <x v="1"/>
    <d v="2024-03-11T00:00:00"/>
    <d v="2024-03-11T00:00:00"/>
    <n v="0"/>
    <d v="2024-03-11T00:00:00"/>
    <d v="2024-03-18T00:00:00"/>
    <n v="362903"/>
    <d v="2024-03-18T00:00:00"/>
    <d v="2024-03-25T00:00:00"/>
    <d v="2024-04-01T00:00:00"/>
    <d v="2024-05-13T00:00:00"/>
    <n v="1.5"/>
    <n v="7"/>
    <s v="Funcionalidad Lista"/>
    <m/>
    <s v="x"/>
    <s v="No se realizó en el sprint 1 debido a que no se tenía refinada la HU, se debe priorizar en el sprint 2. Se debe iniciar el requerimiento a mas tardar el 13/05/2024"/>
  </r>
  <r>
    <s v="2024"/>
    <x v="1"/>
    <s v="Funcionalidades en Appedir"/>
    <s v="Fidelización en local Appedir / Pickup"/>
    <s v="MXP LEGACY_x000a_MXP 2.0_x000a_TRADE"/>
    <s v="Con la app se debe poder escanear un QR que va a estar en cada local, con el fin de acumular puntos así como poder redimir, se actualiza en ese mismo momento cuando se haga las dos acciones. _x000a_Trade debe enviar a MXP un llamado de que un cliente esta en el local, y cuando se factura el pedido se envia la información a Trade para que en el front se muestre los puntos obtenidos._x000a_Inlcuye descuentos_x000a_"/>
    <s v="ALTA"/>
    <s v="LOCAL"/>
    <s v="Proyectos TD 2024"/>
    <s v="CAR"/>
    <s v="1. Implementación Pide y Recoge con Appedir_x000a_2. Fidelización en local Appedir"/>
    <s v="Validar si las 3 HU de la feature  Fidelización en local Appedir"/>
    <s v="Ecuador"/>
    <s v="Daniel Barreno"/>
    <s v="daniel.barreno@kfc.com.ec"/>
    <x v="1"/>
    <s v="APROBADO"/>
    <s v="No iniciado"/>
    <e v="#N/A"/>
    <s v="Q2"/>
    <s v="p62"/>
    <s v="MEDIA"/>
    <m/>
    <n v="10"/>
    <n v="2"/>
    <n v="550"/>
    <m/>
    <n v="11640"/>
    <m/>
    <m/>
    <x v="1"/>
    <d v="2024-02-26T00:00:00"/>
    <d v="2024-03-11T00:00:00"/>
    <d v="1900-01-13T00:00:00"/>
    <d v="2024-03-11T00:00:00"/>
    <d v="2024-03-18T00:00:00"/>
    <d v="2893-08-03T00:00:00"/>
    <d v="2024-03-18T00:00:00"/>
    <d v="2024-03-25T00:00:00"/>
    <d v="2024-05-08T00:00:00"/>
    <d v="2024-07-17T00:00:00"/>
    <n v="2.5"/>
    <n v="7"/>
    <s v="ECOMERCE"/>
    <m/>
    <s v="x"/>
    <s v="No se realizó en el sprint 1 debido a que no se tenía refinada la HU, se debe priorizar en el sprint 2. _x000a_Validar cual de los dos features inicia en el sprint 2._x000a_En mayo se espera tener fidelización de Local. Se requiere tener arreglado los QR. No tener un escaner para que funcione."/>
  </r>
  <r>
    <s v="2024"/>
    <x v="2"/>
    <m/>
    <s v="APP Gestiona: Indicadores de sostenibilidad - dashboard y registro decentralizado V4"/>
    <m/>
    <s v="Toma de indicadores de diversas fuentas (Reportes manuales y automáticos) de consumo de energía, gestión de desechos, reciclaje de aceite, consumo de paper, reciclaje."/>
    <m/>
    <s v="LOCAL"/>
    <m/>
    <s v="CAR"/>
    <m/>
    <m/>
    <s v="Ecuador"/>
    <s v="Javier Cruz"/>
    <m/>
    <x v="3"/>
    <s v="SUSPENDIDO"/>
    <s v="No iniciado"/>
    <m/>
    <s v="Q4"/>
    <m/>
    <s v="MEDIA"/>
    <m/>
    <n v="8"/>
    <n v="1"/>
    <n v="550"/>
    <m/>
    <n v="5040"/>
    <m/>
    <m/>
    <x v="2"/>
    <m/>
    <m/>
    <e v="#REF!"/>
    <m/>
    <m/>
    <d v="1899-12-30T00:00:00"/>
    <m/>
    <m/>
    <d v="1899-12-30T00:00:00"/>
    <d v="1899-12-30T00:00:00"/>
    <n v="2"/>
    <n v="0"/>
    <m/>
    <m/>
    <m/>
    <m/>
  </r>
  <r>
    <s v="2024"/>
    <x v="2"/>
    <m/>
    <s v="APP Gestiona: Mejoras en Reporteria y administración de Fomularios"/>
    <m/>
    <s v="aprobado - revisar el presupuesto ajustado - revisar alcance levantado por Mario. Actualmente quieren revisar una herramienta que se está utilizando en gus para utilizar en otras marcas. _x000a__x000a_Adicional incluye registro de observaciones  limpieza en planta. tiene vinculo con BI para dashboard de seguimiento"/>
    <m/>
    <s v="LOCAL"/>
    <s v="Mejoras App Gestiona"/>
    <s v="CAR"/>
    <m/>
    <m/>
    <s v="Ecuador"/>
    <s v="Javier Cruz / Veronica Ramos"/>
    <m/>
    <x v="3"/>
    <s v="IDENTIFICADO"/>
    <s v="No iniciado"/>
    <s v="Q2"/>
    <s v="Q2"/>
    <s v="N/A"/>
    <s v="MEDIA"/>
    <m/>
    <n v="10"/>
    <n v="2"/>
    <n v="420"/>
    <m/>
    <n v="8400"/>
    <m/>
    <m/>
    <x v="2"/>
    <d v="2024-04-01T00:00:00"/>
    <d v="2024-06-15T00:00:00"/>
    <e v="#REF!"/>
    <d v="2024-06-15T00:00:00"/>
    <d v="2024-06-30T00:00:00"/>
    <d v="2895-09-18T00:00:00"/>
    <d v="2024-06-30T00:00:00"/>
    <d v="2023-07-07T00:00:00"/>
    <d v="2024-04-01T00:00:00"/>
    <d v="2023-07-07T00:00:00"/>
    <n v="2.5"/>
    <n v="-359"/>
    <m/>
    <s v="VERO RAMOS"/>
    <m/>
    <m/>
  </r>
  <r>
    <s v="2024"/>
    <x v="2"/>
    <m/>
    <s v="APP Somos repotenciar (Objetivo engagement)-&gt; administrar en DSI"/>
    <m/>
    <s v="Pendiente de Levantamiento, nuevos features y posible Rework de la aplicación de Trade"/>
    <m/>
    <s v="LOCAL"/>
    <s v="Mejoras App Somos"/>
    <s v="CAR"/>
    <m/>
    <m/>
    <s v="Ecuador"/>
    <s v="Javier Cruz"/>
    <m/>
    <x v="3"/>
    <s v="SUSPENDIDO"/>
    <s v="No iniciado"/>
    <s v="Q3"/>
    <s v="Q4"/>
    <s v="N/A"/>
    <s v="ALTA"/>
    <m/>
    <n v="12"/>
    <n v="2"/>
    <n v="550"/>
    <m/>
    <n v="13840"/>
    <m/>
    <m/>
    <x v="2"/>
    <d v="2024-08-01T00:00:00"/>
    <d v="2024-10-01T00:00:00"/>
    <e v="#REF!"/>
    <d v="2024-10-01T00:00:00"/>
    <d v="2024-10-07T00:00:00"/>
    <d v="2898-01-20T00:00:00"/>
    <d v="2023-10-14T00:00:00"/>
    <d v="2023-10-21T00:00:00"/>
    <d v="2024-08-01T00:00:00"/>
    <d v="2023-10-21T00:00:00"/>
    <n v="3"/>
    <n v="7"/>
    <m/>
    <s v="Validar con Javier Cruz costos de mantemiento actual / Daniel Barreno "/>
    <m/>
    <m/>
  </r>
  <r>
    <s v="2024"/>
    <x v="1"/>
    <s v="Appedir"/>
    <s v="Appedir Pedidos multiples Multimarca"/>
    <s v="MXP LEGACY_x000a_TRADE"/>
    <s v="Si hay en un mismo centro comercial 2, 3 o 4 marcas del grupo a traves de la Appedir se pueda hacer compras multiples. "/>
    <s v="BAJA"/>
    <s v="LOCAL"/>
    <s v="Proyectos TD 2024"/>
    <s v="CAR"/>
    <m/>
    <m/>
    <s v="Ecuador"/>
    <s v="Daniel Barreno"/>
    <s v="daniel.barreno@kfc.com.ec"/>
    <x v="1"/>
    <s v="APROBADO"/>
    <s v="No iniciado"/>
    <s v="Q4"/>
    <s v="Q4"/>
    <s v="p71"/>
    <s v="ALTA"/>
    <m/>
    <n v="10"/>
    <n v="2"/>
    <n v="550"/>
    <m/>
    <n v="11640"/>
    <m/>
    <m/>
    <x v="3"/>
    <d v="2024-10-07T00:00:00"/>
    <d v="2024-11-18T00:00:00"/>
    <n v="42"/>
    <d v="2024-11-18T00:00:00"/>
    <d v="2024-12-02T00:00:00"/>
    <n v="364926"/>
    <d v="2024-12-02T00:00:00"/>
    <d v="2024-12-16T00:00:00"/>
    <d v="2024-10-01T00:00:00"/>
    <d v="2024-12-10T00:00:00"/>
    <n v="2.5"/>
    <n v="14"/>
    <s v="ECOMERCE"/>
    <m/>
    <s v="x"/>
    <m/>
  </r>
  <r>
    <s v="2024"/>
    <x v="1"/>
    <s v="Appedir"/>
    <s v="Appedir y KFC cambios de Estado"/>
    <s v="MXP LEGACY_x000a_TRADE"/>
    <s v="Al finalizar una orden empiezan a llegar los cambios de estado seguidos, y no en el momento adecuado cuando el pedido esta en proceso. Revisar solución con DragonTail"/>
    <s v="MEDIA"/>
    <s v="LOCAL"/>
    <s v="Proyectos TD 2024"/>
    <s v="CAR"/>
    <m/>
    <m/>
    <s v="Ecuador"/>
    <s v="Daniel Barreno"/>
    <s v="daniel.barreno@kfc.com.ec"/>
    <x v="1"/>
    <s v="APROBADO"/>
    <s v="No iniciado"/>
    <s v="Q1"/>
    <s v="Q2"/>
    <s v="p28"/>
    <s v="MEDIA"/>
    <m/>
    <n v="5"/>
    <n v="1"/>
    <n v="550"/>
    <m/>
    <n v="3390"/>
    <m/>
    <m/>
    <x v="4"/>
    <d v="2024-05-13T00:00:00"/>
    <d v="2024-06-03T00:00:00"/>
    <n v="21"/>
    <d v="2024-06-03T00:00:00"/>
    <d v="2024-06-10T00:00:00"/>
    <n v="363575"/>
    <d v="2024-06-10T00:00:00"/>
    <d v="2024-06-17T00:00:00"/>
    <d v="2024-07-01T00:00:00"/>
    <d v="2024-08-05T00:00:00"/>
    <n v="1.25"/>
    <n v="7"/>
    <s v="ECOMERCE"/>
    <m/>
    <s v="x"/>
    <s v="TD Confirmar con si este requerimiento se debe implementar?_x000a_Se sugiere iniciar en julio"/>
  </r>
  <r>
    <s v="2024"/>
    <x v="0"/>
    <m/>
    <s v="Automatización de cajas chicas - tipos de cuenta y diarios de venta"/>
    <m/>
    <s v="en SIR con inclusión de listado de conceptos para:_x000a_CCH locales,_x000a_CCH administrativas"/>
    <m/>
    <s v="LOCAL"/>
    <s v="Mejoras Contabilidad"/>
    <s v="CAR"/>
    <m/>
    <m/>
    <s v="Ecuador"/>
    <s v="Diego Díaz"/>
    <s v="diego.diaz@kfc.com.ec"/>
    <x v="4"/>
    <s v="IDENTIFICADO"/>
    <s v="No iniciado"/>
    <s v="MEDIA"/>
    <s v="Q3"/>
    <m/>
    <s v="BAJA"/>
    <m/>
    <n v="2"/>
    <n v="2"/>
    <n v="400"/>
    <m/>
    <n v="2240"/>
    <m/>
    <m/>
    <x v="2"/>
    <d v="2024-06-17T00:00:00"/>
    <d v="2024-06-28T00:00:00"/>
    <e v="#REF!"/>
    <d v="2024-07-02T00:00:00"/>
    <d v="2024-09-09T00:00:00"/>
    <d v="2896-03-26T00:00:00"/>
    <m/>
    <m/>
    <d v="2024-06-17T00:00:00"/>
    <d v="1899-12-30T00:00:00"/>
    <n v="0.5"/>
    <n v="0"/>
    <m/>
    <m/>
    <m/>
    <m/>
  </r>
  <r>
    <s v="2024"/>
    <x v="3"/>
    <m/>
    <s v="Automatizar el registro de las ventas de campaña solidaria"/>
    <s v="MXP 2.0"/>
    <s v="Automatizar las campañas solidarias en MAX POINT Y SIR que realiza EL GRUPO KFC "/>
    <m/>
    <s v="LOCAL"/>
    <s v="Mejoras Maxpoint Auditoría 2024"/>
    <s v="CAR"/>
    <m/>
    <m/>
    <s v="Ecuador"/>
    <s v="Vladimir Morillo"/>
    <s v="vladimir.morillo@kfc.com.ec"/>
    <x v="0"/>
    <s v="IDENTIFICADO"/>
    <s v="No iniciado"/>
    <n v="2"/>
    <s v="Q2"/>
    <s v="Se debe también hacer un cambio en SIR"/>
    <s v="BAJA"/>
    <n v="1"/>
    <n v="3"/>
    <n v="1"/>
    <n v="550"/>
    <m/>
    <n v="2230"/>
    <m/>
    <m/>
    <x v="1"/>
    <d v="2024-04-29T00:00:00"/>
    <d v="2024-05-21T00:00:00"/>
    <d v="1900-01-21T00:00:00"/>
    <d v="2024-05-22T00:00:00"/>
    <d v="2024-06-05T00:00:00"/>
    <d v="2895-03-09T00:00:00"/>
    <d v="2024-06-06T00:00:00"/>
    <d v="2024-06-20T00:00:00"/>
    <d v="2024-04-29T00:00:00"/>
    <d v="2024-06-20T00:00:00"/>
    <n v="0.75"/>
    <n v="14"/>
    <m/>
    <m/>
    <m/>
    <m/>
  </r>
  <r>
    <s v="2023"/>
    <x v="4"/>
    <m/>
    <s v="B2B Materiales"/>
    <m/>
    <s v="Nuevo módulo - Flujo de materiales en B2B"/>
    <m/>
    <s v="LOCAL"/>
    <s v="Mejoras B2B - Finanzas"/>
    <s v="CAR"/>
    <m/>
    <m/>
    <s v="Ecuador"/>
    <s v="Juan Carlos Benalcázar"/>
    <m/>
    <x v="5"/>
    <s v="APROBADO"/>
    <s v="En curso"/>
    <s v="Q2"/>
    <s v="Q2"/>
    <m/>
    <s v="MEDIA"/>
    <n v="1"/>
    <m/>
    <m/>
    <m/>
    <m/>
    <n v="0"/>
    <m/>
    <m/>
    <x v="2"/>
    <d v="2024-02-21T00:00:00"/>
    <d v="2024-04-21T00:00:00"/>
    <n v="60"/>
    <d v="2024-04-21T00:00:00"/>
    <d v="2024-05-07T00:00:00"/>
    <n v="16"/>
    <d v="2024-05-07T00:00:00"/>
    <d v="2024-05-14T00:00:00"/>
    <d v="2024-02-21T00:00:00"/>
    <d v="2024-05-14T00:00:00"/>
    <n v="0"/>
    <n v="7"/>
    <m/>
    <m/>
    <m/>
    <s v="Re planificar"/>
  </r>
  <r>
    <s v="2024"/>
    <x v="2"/>
    <m/>
    <s v="Cajas Chicas Admin: Conciliacion de Facturas"/>
    <m/>
    <s v="Nuevo desarrollo que permite empatar gastos de Facturas declaradas vs documentos que llegan a Carga Masiva"/>
    <m/>
    <s v="LOCAL"/>
    <s v="Administración Caja Chica"/>
    <s v="CAR"/>
    <m/>
    <m/>
    <s v="Ecuador"/>
    <s v="Diego Díaz / Vladimir Morillo"/>
    <m/>
    <x v="4"/>
    <s v="IDENTIFICADO"/>
    <s v="No iniciado"/>
    <m/>
    <s v="Q2"/>
    <m/>
    <s v="MEDIA"/>
    <m/>
    <n v="6"/>
    <n v="1"/>
    <n v="550"/>
    <m/>
    <n v="3900"/>
    <m/>
    <m/>
    <x v="2"/>
    <m/>
    <m/>
    <e v="#REF!"/>
    <m/>
    <m/>
    <d v="1899-12-30T00:00:00"/>
    <m/>
    <m/>
    <d v="1899-12-30T00:00:00"/>
    <d v="1899-12-30T00:00:00"/>
    <n v="1.5"/>
    <n v="0"/>
    <m/>
    <m/>
    <m/>
    <m/>
  </r>
  <r>
    <s v="2024"/>
    <x v="3"/>
    <m/>
    <s v="Cambio de datos de clientes de transacciones de días anteriores"/>
    <s v="MXP 2.0"/>
    <s v="Genera molestia en clientes por reportar a oficina el cambio y proceso operativo de varias personas en oficinas"/>
    <m/>
    <s v="LOCAL"/>
    <s v="Notas de Crédito"/>
    <s v="CAR"/>
    <m/>
    <m/>
    <s v="Ecuador"/>
    <s v="Vladimir Morillo_x000a_Diego Díaz "/>
    <s v="vladimir.morillo@kfc.com.ec,diego.diaz@kfc.com.ec "/>
    <x v="6"/>
    <s v="IDENTIFICADO"/>
    <s v="No iniciado"/>
    <n v="2"/>
    <s v="Q2"/>
    <s v="Definición del proceso por parte de Contabilidad y Auditoría"/>
    <s v="BAJA"/>
    <n v="1"/>
    <n v="4"/>
    <n v="1"/>
    <n v="550"/>
    <m/>
    <n v="2780"/>
    <m/>
    <m/>
    <x v="1"/>
    <d v="2024-04-29T00:00:00"/>
    <d v="2024-04-29T00:00:00"/>
    <d v="1899-12-30T00:00:00"/>
    <d v="2024-04-30T00:00:00"/>
    <d v="2024-05-14T00:00:00"/>
    <d v="2894-09-14T00:00:00"/>
    <d v="2024-05-15T00:00:00"/>
    <d v="2024-05-29T00:00:00"/>
    <d v="2024-04-29T00:00:00"/>
    <d v="2024-05-29T00:00:00"/>
    <n v="1"/>
    <n v="14"/>
    <s v="Vinculo con pedido que se contrapone de auditoría"/>
    <m/>
    <m/>
    <m/>
  </r>
  <r>
    <s v="2023"/>
    <x v="0"/>
    <m/>
    <s v="Campaña sonrisa - nueva forma de pago"/>
    <s v="N/A"/>
    <s v="Ver Anexo A4"/>
    <m/>
    <s v="LOCAL"/>
    <s v="Otros - Presupuesto 2023"/>
    <s v="CAR"/>
    <m/>
    <m/>
    <s v="Ecuador"/>
    <s v="Vladimir Morillo"/>
    <s v="vladimir.morillo@kfc.com.ec"/>
    <x v="0"/>
    <s v="APROBADO"/>
    <s v="No iniciado"/>
    <m/>
    <s v="Q2"/>
    <m/>
    <s v="BAJA"/>
    <m/>
    <n v="2"/>
    <n v="2"/>
    <n v="400"/>
    <m/>
    <m/>
    <m/>
    <m/>
    <x v="1"/>
    <d v="2024-04-29T00:00:00"/>
    <d v="2024-05-17T00:00:00"/>
    <e v="#REF!"/>
    <d v="2024-05-21T00:00:00"/>
    <d v="2024-05-27T00:00:00"/>
    <d v="2895-02-21T00:00:00"/>
    <d v="2024-05-28T00:00:00"/>
    <m/>
    <d v="2024-04-29T00:00:00"/>
    <d v="1899-12-30T00:00:00"/>
    <n v="0.5"/>
    <n v="-45440"/>
    <s v="Célula Operaciones"/>
    <m/>
    <m/>
    <m/>
  </r>
  <r>
    <s v="2024"/>
    <x v="1"/>
    <s v="Cheetah  KFC Fidelización"/>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s v="CAR"/>
    <m/>
    <m/>
    <s v="Ecuador"/>
    <s v="Daniel Barreno"/>
    <s v="daniel.barreno@kfc.com.ec"/>
    <x v="1"/>
    <s v="APROBADO"/>
    <s v="No iniciado"/>
    <s v="Q1"/>
    <s v="Q3"/>
    <m/>
    <m/>
    <m/>
    <n v="2"/>
    <n v="1"/>
    <n v="550"/>
    <m/>
    <n v="1260"/>
    <m/>
    <d v="2024-05-13T00:00:00"/>
    <x v="0"/>
    <d v="2024-06-10T00:00:00"/>
    <d v="2024-07-01T00:00:00"/>
    <d v="2024-08-12T00:00:00"/>
    <n v="1.5"/>
    <n v="7"/>
    <e v="#REF!"/>
    <d v="2024-06-10T00:00:00"/>
    <d v="2024-06-17T00:00:00"/>
    <d v="2024-06-17T00:00:00"/>
    <d v="2024-07-01T00:00:00"/>
    <d v="1899-12-30T12:00:00"/>
    <n v="7"/>
    <m/>
    <m/>
    <m/>
    <m/>
  </r>
  <r>
    <s v="2024"/>
    <x v="1"/>
    <s v="MXP LEGACY_x000a_MXP 2.0_x000a_TRADE"/>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s v="CAR"/>
    <m/>
    <m/>
    <s v="Colombia"/>
    <s v="Daniel Barreno"/>
    <s v="daniel.barreno@kfc.com.ec"/>
    <x v="1"/>
    <s v="APROBADO"/>
    <s v="No iniciado"/>
    <s v="Q1"/>
    <s v="Q3"/>
    <m/>
    <m/>
    <m/>
    <n v="1"/>
    <n v="1"/>
    <n v="550"/>
    <m/>
    <n v="670"/>
    <m/>
    <d v="2024-05-13T00:00:00"/>
    <x v="4"/>
    <d v="2024-06-10T00:00:00"/>
    <d v="2024-07-01T00:00:00"/>
    <d v="2024-08-12T00:00:00"/>
    <n v="1.5"/>
    <n v="7"/>
    <e v="#REF!"/>
    <d v="2024-06-10T00:00:00"/>
    <d v="2024-06-17T00:00:00"/>
    <d v="2024-07-01T00:00:00"/>
    <d v="2024-07-08T00:00:00"/>
    <d v="1899-12-30T06:00:00"/>
    <n v="7"/>
    <m/>
    <m/>
    <m/>
    <m/>
  </r>
  <r>
    <s v="2024"/>
    <x v="1"/>
    <s v="MXP LEGACY_x000a_MXP 2.0_x000a_TRADE"/>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s v="CAR"/>
    <m/>
    <m/>
    <s v="Chile"/>
    <s v="Daniel Barreno"/>
    <s v="daniel.barreno@kfc.com.ec"/>
    <x v="1"/>
    <s v="APROBADO"/>
    <s v="No iniciado"/>
    <s v="Q1"/>
    <s v="Q3"/>
    <m/>
    <m/>
    <m/>
    <n v="1"/>
    <n v="1"/>
    <n v="550"/>
    <m/>
    <n v="670"/>
    <m/>
    <d v="2024-05-13T00:00:00"/>
    <x v="4"/>
    <d v="2024-06-10T00:00:00"/>
    <d v="2024-07-01T00:00:00"/>
    <d v="2024-08-12T00:00:00"/>
    <n v="1.5"/>
    <n v="7"/>
    <e v="#REF!"/>
    <d v="2024-06-10T00:00:00"/>
    <d v="2024-06-17T00:00:00"/>
    <d v="2024-07-09T00:00:00"/>
    <d v="2024-07-16T00:00:00"/>
    <d v="1899-12-30T06:00:00"/>
    <n v="7"/>
    <m/>
    <m/>
    <m/>
    <m/>
  </r>
  <r>
    <s v="2024"/>
    <x v="1"/>
    <m/>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s v="CAR"/>
    <m/>
    <m/>
    <s v="Venezuela"/>
    <s v="Daniel Barreno"/>
    <s v="daniel.barreno@kfc.com.ec"/>
    <x v="1"/>
    <s v="APROBADO"/>
    <s v="No iniciado"/>
    <s v="Q1"/>
    <s v="Q3"/>
    <m/>
    <m/>
    <m/>
    <n v="1"/>
    <n v="1"/>
    <n v="550"/>
    <m/>
    <n v="670"/>
    <m/>
    <d v="2024-05-13T00:00:00"/>
    <x v="4"/>
    <d v="2024-06-10T00:00:00"/>
    <d v="2024-07-01T00:00:00"/>
    <d v="2024-08-12T00:00:00"/>
    <n v="1.5"/>
    <n v="7"/>
    <e v="#REF!"/>
    <d v="2024-06-10T00:00:00"/>
    <d v="2024-06-17T00:00:00"/>
    <d v="2024-07-17T00:00:00"/>
    <d v="2024-07-24T00:00:00"/>
    <d v="1899-12-30T06:00:00"/>
    <n v="7"/>
    <m/>
    <m/>
    <m/>
    <m/>
  </r>
  <r>
    <s v="2024"/>
    <x v="1"/>
    <s v="Fidelización"/>
    <s v="Cheetah  KFC Fidelización"/>
    <s v="MXP LEGACY_x000a_MXP 2.0_x000a_TRADE"/>
    <s v="cheetah  KFC Fidelización (Lealtad Simple, puntos y tiers) + (cupones avanzandos) _x000a_Recepción de órdenes con descuentos y lealtad ***_x000a_Validar si BIG DATA se pega a CHEETAH. El POS va a tener afectación."/>
    <s v="ALTA"/>
    <s v="REGIONAL"/>
    <s v="Proyectos TD 2024"/>
    <s v="CAR"/>
    <m/>
    <m/>
    <s v="Argentina"/>
    <s v="Daniel Barreno"/>
    <s v="daniel.barreno@kfc.com.ec"/>
    <x v="1"/>
    <s v="APROBADO"/>
    <s v="No iniciado"/>
    <s v="Q1"/>
    <s v="Q3"/>
    <s v="p29"/>
    <s v="MEDIA"/>
    <m/>
    <n v="1"/>
    <n v="1"/>
    <n v="550"/>
    <m/>
    <n v="670"/>
    <m/>
    <m/>
    <x v="4"/>
    <d v="2024-05-13T00:00:00"/>
    <d v="2024-05-27T00:00:00"/>
    <n v="14"/>
    <d v="2024-05-27T00:00:00"/>
    <d v="2024-06-10T00:00:00"/>
    <n v="363526"/>
    <d v="2024-06-10T00:00:00"/>
    <d v="2024-06-17T00:00:00"/>
    <d v="2024-07-24T00:00:00"/>
    <d v="2024-07-31T00:00:00"/>
    <n v="0.25"/>
    <n v="7"/>
    <s v="ECOMERCE"/>
    <m/>
    <s v="x"/>
    <m/>
  </r>
  <r>
    <s v="2024"/>
    <x v="1"/>
    <s v="Conciliaciones Tarjetas"/>
    <s v="Conciliador de Tarjetas de Crédito  Delivery  que incluya información depurada de ventas del swt "/>
    <s v="MXP LEGACY_x000a_MXP 2.0_x000a_TRADE"/>
    <s v="Max Point enviar transacciones POS a conciliador"/>
    <s v="ALTA"/>
    <s v="LOCAL"/>
    <s v="Proyectos TD 2024"/>
    <s v="CAR"/>
    <m/>
    <m/>
    <s v="Ecuador"/>
    <s v="Diego Díaz"/>
    <m/>
    <x v="6"/>
    <s v="APROBADO"/>
    <s v="No iniciado"/>
    <m/>
    <s v="Q2"/>
    <m/>
    <s v="MEDIA"/>
    <m/>
    <n v="8"/>
    <n v="1"/>
    <n v="550"/>
    <m/>
    <n v="5040"/>
    <m/>
    <m/>
    <x v="4"/>
    <d v="2024-03-18T00:00:00"/>
    <d v="2024-03-18T00:00:00"/>
    <n v="0"/>
    <d v="2024-03-18T00:00:00"/>
    <d v="2024-04-01T00:00:00"/>
    <n v="362966"/>
    <d v="2024-04-01T00:00:00"/>
    <d v="2024-04-15T00:00:00"/>
    <d v="2024-07-01T00:00:00"/>
    <d v="2024-08-26T00:00:00"/>
    <n v="2"/>
    <n v="14"/>
    <m/>
    <m/>
    <s v="x"/>
    <m/>
  </r>
  <r>
    <s v="2024"/>
    <x v="4"/>
    <m/>
    <s v="Confirmación de pago a proveedores en SAP"/>
    <m/>
    <s v="Confirmación por correo de pago efectuado a proveedores- B2B"/>
    <m/>
    <s v="LOCAL"/>
    <s v="Mejoras B2B - Tesorería"/>
    <s v="CAR"/>
    <m/>
    <m/>
    <s v="Ecuador"/>
    <s v="Amparo Aleman"/>
    <m/>
    <x v="7"/>
    <s v="IDENTIFICADO"/>
    <s v="No iniciado"/>
    <s v="Q2"/>
    <s v="Q2"/>
    <m/>
    <s v="MEDIA"/>
    <n v="1"/>
    <n v="2"/>
    <n v="1"/>
    <n v="1100"/>
    <m/>
    <n v="2200"/>
    <m/>
    <m/>
    <x v="2"/>
    <d v="2024-04-07T00:00:00"/>
    <d v="2024-05-07T00:00:00"/>
    <n v="30"/>
    <d v="2024-04-28T00:00:00"/>
    <d v="2024-05-07T00:00:00"/>
    <n v="9"/>
    <d v="2024-05-07T00:00:00"/>
    <d v="2024-05-14T00:00:00"/>
    <d v="2024-04-07T00:00:00"/>
    <d v="2024-05-14T00:00:00"/>
    <n v="0.5"/>
    <n v="7"/>
    <m/>
    <m/>
    <m/>
    <m/>
  </r>
  <r>
    <s v="2024"/>
    <x v="1"/>
    <s v="Cupones"/>
    <s v="Consola  Administración QR Digitales (Cupones Promocionales) "/>
    <s v="MXP LEGACY_x000a_TRADE"/>
    <s v="Sustitución de cupones manuales"/>
    <s v="MEDIA"/>
    <s v="LOCAL"/>
    <s v="Funcionalidades Locales"/>
    <s v="CAR"/>
    <m/>
    <m/>
    <s v="Ecuador"/>
    <s v="Andres Canelos / Ma. Paula Tapia"/>
    <s v="andres.canelos@kfc.com.ec; mpaula.tapia@kfc.com.ec"/>
    <x v="2"/>
    <s v="APROBADO"/>
    <s v="No iniciado"/>
    <n v="3"/>
    <s v="Q3"/>
    <s v="p56"/>
    <s v="MEDIA"/>
    <m/>
    <n v="10"/>
    <n v="1"/>
    <n v="550"/>
    <m/>
    <n v="6140"/>
    <m/>
    <m/>
    <x v="4"/>
    <d v="2024-07-22T00:00:00"/>
    <d v="2024-09-16T00:00:00"/>
    <n v="56"/>
    <d v="2024-09-16T00:00:00"/>
    <d v="2024-09-23T00:00:00"/>
    <n v="364415"/>
    <d v="2024-09-23T00:00:00"/>
    <d v="2024-09-30T00:00:00"/>
    <d v="2024-07-01T00:00:00"/>
    <d v="2024-09-09T00:00:00"/>
    <n v="2.5"/>
    <n v="7"/>
    <s v="Consultar si los cupones Digitales de Colombia se adaptan a esta solicitud."/>
    <m/>
    <s v="x"/>
    <m/>
  </r>
  <r>
    <s v="2024"/>
    <x v="0"/>
    <m/>
    <s v="Contabilizar las ordentes de trabajo por activo q ingresan y ponerlas como reprocesos - cambio de alcance"/>
    <m/>
    <s v="El reproceso se da porque el tecnico va mas de dos veces a realizar un mismo trabajo en el mismo equipo, generando gastos inecesarios o paros prolongados de el equipo."/>
    <m/>
    <s v="LOCAL"/>
    <s v="Mantenimiento Restaurantes"/>
    <s v="CAR"/>
    <m/>
    <m/>
    <s v="Ecuador"/>
    <s v="Miguel Lincango"/>
    <s v="miguel.lincango@kfc.com.ec"/>
    <x v="8"/>
    <s v="IDENTIFICADO"/>
    <s v="Finalizado"/>
    <m/>
    <s v="Q1"/>
    <m/>
    <s v="BAJA"/>
    <m/>
    <n v="2"/>
    <n v="2"/>
    <n v="400"/>
    <m/>
    <n v="2240"/>
    <m/>
    <m/>
    <x v="5"/>
    <d v="2024-03-11T00:00:00"/>
    <d v="2024-03-23T00:00:00"/>
    <e v="#REF!"/>
    <d v="2024-03-26T00:00:00"/>
    <d v="2024-04-02T00:00:00"/>
    <d v="2893-12-01T00:00:00"/>
    <m/>
    <m/>
    <d v="2024-03-11T00:00:00"/>
    <d v="1899-12-30T00:00:00"/>
    <n v="0.5"/>
    <n v="0"/>
    <m/>
    <m/>
    <m/>
    <m/>
  </r>
  <r>
    <s v="2024"/>
    <x v="3"/>
    <m/>
    <s v="Control de cambio de Claves  de Usuarios Maxpoint"/>
    <s v="MXP 2.0"/>
    <s v="MAX POINT, debería solicitar automáticamente en un periodo CAMBIO DE CLAVES DE USUARIOS"/>
    <m/>
    <s v="LOCAL"/>
    <s v="Mejoras Maxpoint Auditoría 2024"/>
    <s v="CAR"/>
    <m/>
    <m/>
    <s v="Ecuador"/>
    <s v="Vladimir Morillo"/>
    <s v="vladimir.morillo@kfc.com.ec"/>
    <x v="0"/>
    <s v="IDENTIFICADO"/>
    <s v="No iniciado"/>
    <n v="3"/>
    <s v="Q3"/>
    <m/>
    <s v="BAJA"/>
    <n v="1"/>
    <n v="1"/>
    <n v="4"/>
    <n v="550"/>
    <m/>
    <n v="2780"/>
    <m/>
    <m/>
    <x v="6"/>
    <d v="2024-06-03T00:00:00"/>
    <d v="2024-06-24T00:00:00"/>
    <d v="1900-01-20T00:00:00"/>
    <d v="2024-06-25T00:00:00"/>
    <d v="2024-07-09T00:00:00"/>
    <d v="2895-12-06T00:00:00"/>
    <d v="2024-07-10T00:00:00"/>
    <d v="2024-07-24T00:00:00"/>
    <d v="2024-06-03T00:00:00"/>
    <d v="2024-07-24T00:00:00"/>
    <n v="0.25"/>
    <n v="14"/>
    <m/>
    <m/>
    <m/>
    <m/>
  </r>
  <r>
    <s v="2024"/>
    <x v="0"/>
    <m/>
    <s v="Control de modificación de inventarios en SIR"/>
    <m/>
    <s v="Una vez cerrados el inventario Diario, no permita ingresar ningún movimiento de días anteriores . "/>
    <m/>
    <s v="LOCAL"/>
    <s v="Mejoras Auditoría"/>
    <s v="CAR"/>
    <m/>
    <m/>
    <s v="Ecuador"/>
    <s v="Vladimir Morillo"/>
    <s v="vladimir.morillo@kfc.com.ec"/>
    <x v="0"/>
    <s v="APROBADO"/>
    <s v="Iniciado "/>
    <n v="1"/>
    <s v="Q2"/>
    <m/>
    <s v="ALTA"/>
    <m/>
    <n v="4"/>
    <n v="2"/>
    <n v="400"/>
    <m/>
    <n v="3840"/>
    <m/>
    <m/>
    <x v="7"/>
    <d v="2024-04-01T00:00:00"/>
    <m/>
    <e v="#REF!"/>
    <m/>
    <m/>
    <d v="1899-12-30T00:00:00"/>
    <d v="2024-06-25T00:00:00"/>
    <d v="2024-06-25T00:00:00"/>
    <d v="2024-04-01T00:00:00"/>
    <d v="2024-06-25T00:00:00"/>
    <n v="1"/>
    <n v="0"/>
    <m/>
    <m/>
    <m/>
    <m/>
  </r>
  <r>
    <s v="2024"/>
    <x v="4"/>
    <m/>
    <s v="Cotejamiento de Listado de Suministros de Servicios Básicos vs Debitos Bancarios"/>
    <m/>
    <m/>
    <m/>
    <s v="LOCAL"/>
    <m/>
    <s v="CAR"/>
    <m/>
    <m/>
    <s v="Ecuador"/>
    <s v="Diego Díaz"/>
    <m/>
    <x v="6"/>
    <s v="SUSPENDIDO"/>
    <s v="No iniciado"/>
    <m/>
    <m/>
    <m/>
    <m/>
    <m/>
    <m/>
    <m/>
    <m/>
    <m/>
    <n v="6400"/>
    <m/>
    <m/>
    <x v="2"/>
    <m/>
    <m/>
    <e v="#REF!"/>
    <m/>
    <m/>
    <d v="1899-12-30T00:00:00"/>
    <m/>
    <d v="2024-05-15T00:00:00"/>
    <d v="1899-12-30T00:00:00"/>
    <d v="2024-05-15T00:00:00"/>
    <n v="0"/>
    <n v="45427"/>
    <m/>
    <m/>
    <m/>
    <m/>
  </r>
  <r>
    <s v="2024"/>
    <x v="0"/>
    <m/>
    <s v="Creación de módulo de Administración de devoluciones "/>
    <m/>
    <s v="Asentar devoluciones de manera masiva no local por local"/>
    <m/>
    <s v="LOCAL"/>
    <s v="Mejoras Contabilidad"/>
    <s v="CAR"/>
    <m/>
    <m/>
    <s v="Ecuador"/>
    <s v="Diego Díaz / Vladimir Morillo"/>
    <s v="diego.diaz@kfc.com.ec, vladimir.morillo@kfc.com.ec"/>
    <x v="4"/>
    <s v="IDENTIFICADO"/>
    <s v="No iniciado"/>
    <s v="ALTA"/>
    <s v="Q2"/>
    <m/>
    <s v="MEDIA"/>
    <m/>
    <n v="4"/>
    <n v="2"/>
    <n v="450"/>
    <m/>
    <n v="4240"/>
    <m/>
    <m/>
    <x v="0"/>
    <d v="2024-05-27T00:00:00"/>
    <m/>
    <e v="#REF!"/>
    <m/>
    <m/>
    <d v="1899-12-30T00:00:00"/>
    <d v="2024-06-25T00:00:00"/>
    <d v="2024-06-25T00:00:00"/>
    <d v="2024-05-27T00:00:00"/>
    <d v="2024-06-25T00:00:00"/>
    <n v="1"/>
    <n v="0"/>
    <m/>
    <m/>
    <m/>
    <m/>
  </r>
  <r>
    <s v="2024"/>
    <x v="0"/>
    <m/>
    <s v="Creación de pantalla de correos ordenes de mantenimiento"/>
    <m/>
    <m/>
    <m/>
    <s v="LOCAL"/>
    <s v="Mantenimiento Restaurantes"/>
    <s v="CAR"/>
    <m/>
    <m/>
    <s v="Ecuador"/>
    <s v="Carolina Pantoja"/>
    <s v="carolina.pantoja@kfc.com.ec"/>
    <x v="8"/>
    <s v="SUSPENDIDO"/>
    <s v="No iniciado"/>
    <m/>
    <s v="Q2"/>
    <m/>
    <s v="BAJA"/>
    <m/>
    <n v="2"/>
    <n v="2"/>
    <n v="400"/>
    <m/>
    <n v="2240"/>
    <m/>
    <m/>
    <x v="2"/>
    <d v="2024-05-27T00:00:00"/>
    <d v="2025-06-07T00:00:00"/>
    <e v="#REF!"/>
    <d v="2024-06-18T00:00:00"/>
    <d v="2024-06-25T00:00:00"/>
    <d v="2895-10-04T00:00:00"/>
    <m/>
    <d v="2024-05-09T00:00:00"/>
    <d v="2024-05-27T00:00:00"/>
    <d v="2024-05-09T00:00:00"/>
    <n v="0.5"/>
    <n v="45421"/>
    <m/>
    <m/>
    <m/>
    <m/>
  </r>
  <r>
    <s v="2024"/>
    <x v="4"/>
    <m/>
    <s v="Creación Empresa: DEVISO"/>
    <m/>
    <s v="Migración a SAP en Deviso"/>
    <m/>
    <s v="LOCAL"/>
    <s v="Creación Sociedad Financiera DEVISO"/>
    <s v="CAR"/>
    <m/>
    <m/>
    <s v="Ecuador"/>
    <s v="Ana Cordova"/>
    <m/>
    <x v="9"/>
    <s v="APROBADO"/>
    <s v="En curso"/>
    <s v="Q1"/>
    <s v="Q1"/>
    <m/>
    <s v="BAJA"/>
    <n v="1"/>
    <n v="4"/>
    <m/>
    <m/>
    <m/>
    <n v="0"/>
    <m/>
    <m/>
    <x v="2"/>
    <d v="2024-02-07T00:00:00"/>
    <d v="2024-02-21T00:00:00"/>
    <n v="14"/>
    <d v="2024-02-21T00:00:00"/>
    <d v="2024-02-28T00:00:00"/>
    <n v="7"/>
    <d v="2024-03-07T00:00:00"/>
    <d v="2024-03-14T00:00:00"/>
    <d v="2024-02-07T00:00:00"/>
    <d v="2024-03-14T00:00:00"/>
    <n v="1"/>
    <n v="7"/>
    <m/>
    <m/>
    <m/>
    <m/>
  </r>
  <r>
    <s v="2024"/>
    <x v="4"/>
    <m/>
    <s v="Creación Empresas: FAMILY OFFICE"/>
    <m/>
    <s v="Creación de 72 empresas de Servicios en SAP"/>
    <m/>
    <s v="LOCAL"/>
    <s v="Creación Empresas: FAMILY OFFICE"/>
    <s v="CAR"/>
    <m/>
    <m/>
    <s v="Ecuador"/>
    <s v="Amparo Aleman"/>
    <m/>
    <x v="7"/>
    <s v="IDENTIFICADO"/>
    <s v="No iniciado"/>
    <s v="Q2"/>
    <s v="Q2"/>
    <m/>
    <s v="ALTA"/>
    <n v="1"/>
    <n v="1"/>
    <n v="1"/>
    <n v="19305"/>
    <n v="12600"/>
    <n v="31905"/>
    <n v="12600"/>
    <m/>
    <x v="2"/>
    <d v="2024-03-07T00:00:00"/>
    <d v="2024-06-07T00:00:00"/>
    <n v="92"/>
    <d v="2024-03-28T00:00:00"/>
    <d v="2024-06-28T00:00:00"/>
    <n v="92"/>
    <d v="2024-04-07T00:00:00"/>
    <d v="2024-06-28T00:00:00"/>
    <d v="2024-03-07T00:00:00"/>
    <d v="2024-06-28T00:00:00"/>
    <n v="0.25"/>
    <n v="82"/>
    <m/>
    <m/>
    <m/>
    <m/>
  </r>
  <r>
    <s v="2024"/>
    <x v="0"/>
    <m/>
    <s v="Cuadre de Fondo de Caja SIR"/>
    <m/>
    <s v="Cuadre del fondo de Caja chica, incorporado en el SIR."/>
    <m/>
    <s v="LOCAL"/>
    <s v="Mejoras Auditoría"/>
    <s v="CAR"/>
    <m/>
    <m/>
    <s v="Ecuador"/>
    <s v="Vladimir Morillo"/>
    <s v="vladimir.morillo@kfc.com.ec"/>
    <x v="0"/>
    <s v="IDENTIFICADO"/>
    <s v="No iniciado"/>
    <n v="5"/>
    <s v="Q4"/>
    <m/>
    <s v="MEDIA"/>
    <m/>
    <n v="4"/>
    <n v="2"/>
    <n v="450"/>
    <m/>
    <n v="4240"/>
    <m/>
    <m/>
    <x v="2"/>
    <d v="2024-09-02T00:00:00"/>
    <d v="2024-09-27T00:00:00"/>
    <e v="#REF!"/>
    <d v="2024-10-01T00:00:00"/>
    <d v="2024-10-01T00:00:00"/>
    <d v="2898-01-14T00:00:00"/>
    <m/>
    <m/>
    <d v="2024-09-02T00:00:00"/>
    <d v="1899-12-30T00:00:00"/>
    <n v="1"/>
    <n v="0"/>
    <s v="Sacrificable"/>
    <m/>
    <m/>
    <m/>
  </r>
  <r>
    <s v="2024"/>
    <x v="4"/>
    <m/>
    <s v="Cubierplast: Implementación de picking - Integracion Nueva Linea de Carton"/>
    <m/>
    <s v="- Implementación de picking en las áreas de producción_x000a_- Adquisición de nueva línea de negocios (papel)"/>
    <m/>
    <s v="LOCAL"/>
    <s v="Reingenieria de Procesos Planta Cubiertplast"/>
    <s v="CAR"/>
    <m/>
    <m/>
    <s v="Ecuador"/>
    <s v="Ana Cordova"/>
    <m/>
    <x v="9"/>
    <s v="IDENTIFICADO"/>
    <s v="No iniciado"/>
    <s v="Q1"/>
    <s v="Q2"/>
    <m/>
    <s v="BAJA"/>
    <n v="1"/>
    <m/>
    <m/>
    <m/>
    <n v="0"/>
    <n v="0"/>
    <m/>
    <m/>
    <x v="2"/>
    <d v="2024-02-07T00:00:00"/>
    <d v="2024-03-28T00:00:00"/>
    <n v="50"/>
    <d v="2024-03-21T00:00:00"/>
    <d v="2024-03-28T00:00:00"/>
    <n v="7"/>
    <d v="2024-03-28T00:00:00"/>
    <d v="2024-04-07T00:00:00"/>
    <d v="2024-02-07T00:00:00"/>
    <d v="2024-04-07T00:00:00"/>
    <n v="0"/>
    <n v="10"/>
    <m/>
    <m/>
    <m/>
    <m/>
  </r>
  <r>
    <s v="2024"/>
    <x v="1"/>
    <s v="Cupones"/>
    <s v="Cupones impresos fuera de la App"/>
    <s v="MXP LEGACY_x000a_TRADE"/>
    <s v="Cupones impresos fuera de la App"/>
    <s v="MEDIA"/>
    <s v="LOCAL"/>
    <s v="Funcionalidades Locales"/>
    <s v="CAR"/>
    <m/>
    <m/>
    <s v="Ecuador"/>
    <s v="Andres Canelos / Ma. Paula Tapia"/>
    <s v="andres.canelos@kfc.com.ec; mpaula.tapia@kfc.com.ec"/>
    <x v="2"/>
    <s v="APROBADO"/>
    <s v="No iniciado"/>
    <n v="5"/>
    <s v="Q2"/>
    <s v="p70"/>
    <s v="ALTA"/>
    <m/>
    <n v="12"/>
    <n v="1"/>
    <n v="550"/>
    <m/>
    <n v="7240"/>
    <m/>
    <m/>
    <x v="1"/>
    <d v="2024-10-07T00:00:00"/>
    <d v="2024-11-25T00:00:00"/>
    <d v="1900-02-17T00:00:00"/>
    <d v="2024-11-25T00:00:00"/>
    <d v="2024-12-09T00:00:00"/>
    <d v="2899-04-13T00:00:00"/>
    <d v="2024-12-09T00:00:00"/>
    <d v="2024-07-24T00:00:00"/>
    <d v="2024-05-01T00:00:00"/>
    <d v="2024-07-24T00:00:00"/>
    <d v="1900-01-02T00:00:00"/>
    <d v="1900-05-17T00:00:00"/>
    <m/>
    <m/>
    <s v="x"/>
    <s v="se debe negociar que este requerimiento no se priorice en sptint 2 sino mas bien se aterrice de mejor manera el requerimiento y se alineo dentro de las funcionalidad de . Se debe iniciar el requerimiento a mas tardar el 13/05/2024._x000a_Consola  Administración QR Digitales (Cupones Promocionales) "/>
  </r>
  <r>
    <s v="2024"/>
    <x v="1"/>
    <s v="APP"/>
    <s v="Igualar Funcionalidades APP Venezuela"/>
    <s v="MXP LEGACY_x000a_TRADE"/>
    <s v="Igualar funcionalidades de mxp y capacitaciones al equipo -venezuela (Cupones QR Local y Kiosko, Cupones de descuento, pick up, precios de fantasia, DriveThru, Upsell, Horarios por categoría, Cupones por Horario, orden de cupones y cupones digitales precargados)"/>
    <s v="ALTA"/>
    <s v="LOCAL"/>
    <s v="Proyectos TD 2024"/>
    <s v="CAR"/>
    <m/>
    <m/>
    <s v="Venezuela"/>
    <s v="Daniel Barreno"/>
    <s v="daniel.barreno@kfc.com.ec"/>
    <x v="1"/>
    <s v="APROBADO"/>
    <s v="En curso"/>
    <e v="#N/A"/>
    <s v="Q2"/>
    <s v="p25"/>
    <s v="MEDIA"/>
    <m/>
    <n v="6"/>
    <n v="1"/>
    <n v="550"/>
    <m/>
    <n v="3940"/>
    <m/>
    <m/>
    <x v="7"/>
    <d v="2024-03-04T00:00:00"/>
    <d v="2024-04-01T00:00:00"/>
    <n v="28"/>
    <d v="2024-04-01T00:00:00"/>
    <d v="2024-04-15T00:00:00"/>
    <n v="363078"/>
    <d v="2024-04-15T00:00:00"/>
    <d v="2024-04-29T00:00:00"/>
    <d v="2024-04-08T00:00:00"/>
    <d v="2024-05-20T00:00:00"/>
    <n v="1.5"/>
    <n v="14"/>
    <s v="ECOMERCE"/>
    <m/>
    <s v="x"/>
    <s v="Se tiene planificado el 50% de la totalidad de la funcionalidad para el sprint 1. _x000a_Se confirma que se realizó la capacitación de las configuraciones. Se encuentra en desarrollo las funcionalidades de MXP"/>
  </r>
  <r>
    <s v="2024"/>
    <x v="1"/>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s v="CAR"/>
    <m/>
    <m/>
    <s v="Chile"/>
    <s v="Daniel Barreno"/>
    <s v="daniel.barreno@kfc.com.ec"/>
    <x v="1"/>
    <s v="APROBADO"/>
    <s v="En curso"/>
    <e v="#N/A"/>
    <s v="Q2"/>
    <s v="P23"/>
    <s v="ALTA"/>
    <n v="1"/>
    <n v="8"/>
    <n v="1"/>
    <n v="550"/>
    <m/>
    <n v="5040"/>
    <m/>
    <m/>
    <x v="7"/>
    <d v="2024-02-19T00:00:00"/>
    <d v="2024-03-04T00:00:00"/>
    <n v="14"/>
    <d v="2024-03-04T00:00:00"/>
    <d v="2024-03-11T00:00:00"/>
    <n v="362847"/>
    <d v="2024-03-11T00:00:00"/>
    <d v="2024-03-18T00:00:00"/>
    <d v="2024-04-01T00:00:00"/>
    <d v="2024-05-27T00:00:00"/>
    <n v="2"/>
    <n v="7"/>
    <s v="PROYECTO REGIONAL"/>
    <m/>
    <s v="x"/>
    <s v="Se encuentra en base a la planificación. Hay un desfase de 3 días. Las pruebas de pickup se solicita que se inicie desde el 01/05."/>
  </r>
  <r>
    <s v="2024"/>
    <x v="1"/>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s v="CAR"/>
    <m/>
    <m/>
    <s v="Colombia"/>
    <s v="Daniel Barreno"/>
    <s v="daniel.barreno@kfc.com.ec"/>
    <x v="1"/>
    <s v="APROBADO"/>
    <s v="En curso"/>
    <e v="#N/A"/>
    <s v="Q2"/>
    <s v="P23"/>
    <s v="ALTA"/>
    <n v="1"/>
    <n v="8"/>
    <n v="1"/>
    <n v="550"/>
    <m/>
    <n v="5040"/>
    <m/>
    <m/>
    <x v="7"/>
    <d v="2024-02-12T00:00:00"/>
    <d v="2024-02-19T00:00:00"/>
    <n v="7"/>
    <d v="2024-02-19T00:00:00"/>
    <d v="2024-03-04T00:00:00"/>
    <n v="362742"/>
    <d v="2024-03-04T00:00:00"/>
    <d v="2024-03-18T00:00:00"/>
    <d v="2024-03-01T00:00:00"/>
    <d v="2024-04-26T00:00:00"/>
    <n v="2"/>
    <n v="14"/>
    <s v="PROYECTO REGIONAL"/>
    <m/>
    <s v="x"/>
    <s v="Se debe confirmar si se encuentra desplegado a nivel nacional ya que el piloto en una tienda salio satisfactorio"/>
  </r>
  <r>
    <s v="2024"/>
    <x v="1"/>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s v="CAR"/>
    <m/>
    <m/>
    <s v="Venezuela"/>
    <s v="Daniel Barreno"/>
    <s v="daniel.barreno@kfc.com.ec"/>
    <x v="1"/>
    <s v="APROBADO"/>
    <s v="En curso"/>
    <e v="#N/A"/>
    <s v="Q2"/>
    <s v="P23"/>
    <s v="ALTA"/>
    <n v="1"/>
    <n v="8"/>
    <n v="1"/>
    <n v="550"/>
    <m/>
    <n v="5040"/>
    <m/>
    <m/>
    <x v="7"/>
    <d v="2024-03-04T00:00:00"/>
    <d v="2024-03-18T00:00:00"/>
    <n v="14"/>
    <d v="2024-03-18T00:00:00"/>
    <d v="2024-03-25T00:00:00"/>
    <n v="362959"/>
    <d v="2024-03-25T00:00:00"/>
    <d v="2024-04-01T00:00:00"/>
    <d v="2024-03-20T00:00:00"/>
    <d v="2024-05-15T00:00:00"/>
    <n v="2"/>
    <n v="7"/>
    <s v="PROYECTO REGIONAL"/>
    <m/>
    <s v="x"/>
    <s v="Se tiene un desfase de 1 semana, esto debido a que QA detectó inconvenientes en la iimpresora fiscal en delivery. Se debe validar si se requiere pruebas adicionales. Por lo que las nuevas fechas de piloto se sugiere que sea 15/05 y despliegue nacional el 22/05. Confirmar si se puede deplegar delivery y pickup al mismo tiempo"/>
  </r>
  <r>
    <s v="2024"/>
    <x v="1"/>
    <s v="Kioscos"/>
    <s v="Datos dinamicos de facturación en Kioscos"/>
    <s v="MXP LEGACY_x000a_TRADE"/>
    <s v="Enviar en un EndPoint los datos que debe solicitar el kiosko segun el pais"/>
    <s v="BAJA"/>
    <s v="REGIONAL"/>
    <s v="Proyectos TD 2024"/>
    <s v="CAR"/>
    <m/>
    <m/>
    <s v="Venezuela"/>
    <s v="Daniel Barreno"/>
    <m/>
    <x v="1"/>
    <s v="APROBADO"/>
    <s v="No iniciado"/>
    <s v="Q4"/>
    <s v="Q4"/>
    <s v="p73"/>
    <s v="MEDIA"/>
    <n v="1"/>
    <n v="7"/>
    <n v="1"/>
    <n v="550"/>
    <m/>
    <n v="4490"/>
    <m/>
    <m/>
    <x v="8"/>
    <d v="2024-11-18T00:00:00"/>
    <d v="2024-12-02T00:00:00"/>
    <n v="14"/>
    <d v="2024-12-02T00:00:00"/>
    <d v="2024-12-09T00:00:00"/>
    <n v="365031"/>
    <d v="2024-12-09T00:00:00"/>
    <d v="2025-01-31T00:00:00"/>
    <d v="2024-11-01T00:00:00"/>
    <d v="2024-12-20T00:00:00"/>
    <n v="1.75"/>
    <n v="53"/>
    <s v="PROYECTO REGIONAL"/>
    <m/>
    <s v="x"/>
    <m/>
  </r>
  <r>
    <s v="2024"/>
    <x v="1"/>
    <s v="Kioscos"/>
    <s v="Datos dinamicos de facturación en Kioscos"/>
    <s v="MXP LEGACY_x000a_TRADE"/>
    <s v="Enviar en un EndPoint los datos que debe solicitar el kiosko segun el pais"/>
    <s v="BAJA"/>
    <s v="LOCAL"/>
    <s v="Proyectos TD 2024"/>
    <s v="CAR"/>
    <m/>
    <m/>
    <s v="Ecuador"/>
    <s v="Daniel Barreno"/>
    <m/>
    <x v="1"/>
    <s v="APROBADO"/>
    <s v="No iniciado"/>
    <s v="Q4"/>
    <s v="Q4"/>
    <s v="p73"/>
    <s v="MEDIA"/>
    <n v="1"/>
    <n v="7"/>
    <n v="1"/>
    <n v="550"/>
    <m/>
    <n v="4490"/>
    <m/>
    <m/>
    <x v="3"/>
    <d v="2024-10-14T00:00:00"/>
    <d v="2024-11-11T00:00:00"/>
    <d v="1900-01-27T00:00:00"/>
    <d v="2024-11-11T00:00:00"/>
    <d v="2024-11-18T00:00:00"/>
    <d v="2898-12-15T00:00:00"/>
    <d v="2024-11-18T00:00:00"/>
    <d v="2025-01-31T00:00:00"/>
    <d v="2024-10-01T00:00:00"/>
    <d v="2024-11-19T00:00:00"/>
    <d v="1899-12-31T18:00:00"/>
    <d v="1900-03-14T00:00:00"/>
    <s v="PROYECTO REGIONAL"/>
    <m/>
    <s v="x"/>
    <m/>
  </r>
  <r>
    <s v="2024"/>
    <x v="1"/>
    <s v="Kioscos"/>
    <s v="Datos dinamicos de facturación en Kioscos"/>
    <s v="MXP LEGACY_x000a_TRADE"/>
    <s v="Enviar en un EndPoint los datos que debe solicitar el kiosko segun el pais"/>
    <s v="BAJA"/>
    <s v="REGIONAL"/>
    <s v="Proyectos TD 2024"/>
    <s v="CAR"/>
    <m/>
    <m/>
    <s v="Argentina"/>
    <s v="Daniel Barreno"/>
    <m/>
    <x v="1"/>
    <s v="APROBADO"/>
    <s v="No iniciado"/>
    <s v="Q4"/>
    <s v="Q4"/>
    <s v="p73"/>
    <s v="MEDIA"/>
    <n v="1"/>
    <n v="7"/>
    <n v="1"/>
    <n v="550"/>
    <m/>
    <n v="4490"/>
    <m/>
    <m/>
    <x v="8"/>
    <d v="2024-11-18T00:00:00"/>
    <d v="2024-12-02T00:00:00"/>
    <n v="14"/>
    <d v="2024-12-02T00:00:00"/>
    <d v="2024-12-09T00:00:00"/>
    <n v="365031"/>
    <d v="2024-12-09T00:00:00"/>
    <d v="2024-07-09T00:00:00"/>
    <d v="2024-11-01T00:00:00"/>
    <d v="2024-12-20T00:00:00"/>
    <n v="1.75"/>
    <n v="-153"/>
    <s v="PROYECTO REGIONAL"/>
    <m/>
    <s v="x"/>
    <m/>
  </r>
  <r>
    <s v="2024"/>
    <x v="1"/>
    <s v="Kioscos"/>
    <s v="Datos dinamicos de facturación en Kioscos"/>
    <s v="MXP LEGACY_x000a_TRADE"/>
    <s v="Enviar en un EndPoint los datos que debe solicitar el kiosko segun el pais"/>
    <s v="BAJA"/>
    <s v="REGIONAL"/>
    <s v="Proyectos TD 2024"/>
    <s v="CAR"/>
    <m/>
    <m/>
    <s v="Chile"/>
    <s v="Daniel Barreno"/>
    <m/>
    <x v="1"/>
    <s v="APROBADO"/>
    <s v="No iniciado"/>
    <s v="Q4"/>
    <s v="Q4"/>
    <s v="p73"/>
    <s v="MEDIA"/>
    <n v="1"/>
    <n v="6"/>
    <n v="1"/>
    <n v="550"/>
    <m/>
    <n v="3940"/>
    <m/>
    <m/>
    <x v="8"/>
    <d v="2024-11-18T00:00:00"/>
    <d v="2024-12-02T00:00:00"/>
    <d v="1900-01-13T00:00:00"/>
    <d v="2024-12-02T00:00:00"/>
    <d v="2024-12-09T00:00:00"/>
    <d v="2899-06-01T00:00:00"/>
    <d v="2024-12-09T00:00:00"/>
    <d v="2024-02-05T00:00:00"/>
    <d v="2024-11-01T00:00:00"/>
    <d v="2024-12-13T00:00:00"/>
    <d v="1899-12-31T12:00:00"/>
    <n v="-308"/>
    <s v="PROYECTO REGIONAL"/>
    <m/>
    <s v="x"/>
    <m/>
  </r>
  <r>
    <s v="2024"/>
    <x v="1"/>
    <s v="Kioscos"/>
    <s v="Datos dinamicos de facturación en Kioscos"/>
    <s v="MXP LEGACY_x000a_TRADE"/>
    <s v="Enviar en un EndPoint los datos que debe solicitar el kiosko segun el pais"/>
    <s v="BAJA"/>
    <s v="REGIONAL"/>
    <s v="Proyectos TD 2024"/>
    <s v="CAR"/>
    <m/>
    <m/>
    <s v="Colombia"/>
    <s v="Daniel Barreno"/>
    <m/>
    <x v="1"/>
    <s v="APROBADO"/>
    <s v="No iniciado"/>
    <s v="Q4"/>
    <s v="Q4"/>
    <s v="p73"/>
    <s v="MEDIA"/>
    <n v="1"/>
    <n v="7"/>
    <n v="1"/>
    <n v="550"/>
    <m/>
    <n v="4490"/>
    <m/>
    <m/>
    <x v="8"/>
    <d v="2024-11-18T00:00:00"/>
    <d v="2024-12-02T00:00:00"/>
    <n v="14"/>
    <d v="2024-12-02T00:00:00"/>
    <d v="2024-12-09T00:00:00"/>
    <n v="365031"/>
    <d v="2024-12-09T00:00:00"/>
    <d v="2024-03-22T00:00:00"/>
    <d v="2024-11-01T00:00:00"/>
    <d v="2024-12-20T00:00:00"/>
    <n v="1.75"/>
    <n v="-262"/>
    <s v="PROYECTO REGIONAL"/>
    <m/>
    <s v="x"/>
    <m/>
  </r>
  <r>
    <s v="2024"/>
    <x v="1"/>
    <s v="Formas de Pago"/>
    <s v="DEUNA BANCO DEL PICHINCHA KFC"/>
    <s v="MXP LEGACY"/>
    <s v="Depende de ejecución de proyecto de integración multimarca (aprox marzo)"/>
    <s v="MEDIA"/>
    <s v="LOCAL"/>
    <s v="Proyectos TD 2024"/>
    <s v="CAR"/>
    <m/>
    <m/>
    <s v="Ecuador"/>
    <s v="Andres Canelos / Ma. Paula Tapia"/>
    <s v="andres.canelos@kfc.com.ec; mpaula.tapia@kfc.com.ec"/>
    <x v="2"/>
    <s v="APROBADO"/>
    <s v="No iniciado"/>
    <n v="1"/>
    <s v="Q2"/>
    <s v="Finalizacion DEUNA Multimarca"/>
    <s v="ALTA"/>
    <m/>
    <n v="3"/>
    <n v="1"/>
    <n v="550"/>
    <m/>
    <n v="1650"/>
    <m/>
    <m/>
    <x v="1"/>
    <d v="2024-03-25T00:00:00"/>
    <d v="2024-03-25T00:00:00"/>
    <n v="0"/>
    <d v="2024-03-25T00:00:00"/>
    <d v="2024-04-01T00:00:00"/>
    <n v="363015"/>
    <d v="2024-04-01T00:00:00"/>
    <d v="2024-04-08T00:00:00"/>
    <d v="2024-05-01T00:00:00"/>
    <d v="2024-05-22T00:00:00"/>
    <n v="0.75"/>
    <n v="7"/>
    <s v="Costo Undido (lo realizará Soporte App)"/>
    <m/>
    <m/>
    <d v="2024-05-13T00:00:00"/>
  </r>
  <r>
    <s v="2024"/>
    <x v="1"/>
    <s v="Formas de Pago"/>
    <s v="DEUNA BANCO DEL PICHINCHA Multimarca"/>
    <s v="MXP LEGACY"/>
    <s v="el proceso está programado para tener una duración de 31 días, durante los cuales estaremos trabajando en diferentes fases para asegurar un resultado exitoso._x000a__x000a_A continuación, te proporciono un resumen del calendario de actividades:_x000a__x000a_Inicio del Desarrollo: 08/01/2024_x000a_Duración del Desarrollo: 31 días_x000a_Pruebas en Producción: Semana del 19 de febrero_x000a__x000a_Durante este período, estaremos dedicados a asegurar la calidad y eficiencia del proyecto, y nos esforzaremos por cumplir con los plazos establecidos. Estaremos atentos a cualquier comentario o sugerencia que puedas tener a lo largo del proceso. "/>
    <s v="ALTA"/>
    <s v="LOCAL"/>
    <s v="Proyectos TD 2024"/>
    <s v="CAR"/>
    <m/>
    <m/>
    <s v="Ecuador"/>
    <s v="Doménica Bucheli"/>
    <m/>
    <x v="10"/>
    <s v="APROBADO"/>
    <s v="Finalizado"/>
    <m/>
    <s v="Q1"/>
    <s v="p16"/>
    <s v="ALTA"/>
    <m/>
    <n v="5"/>
    <n v="2"/>
    <n v="550"/>
    <m/>
    <n v="6140"/>
    <m/>
    <m/>
    <x v="9"/>
    <d v="2024-01-05T00:00:00"/>
    <d v="2024-02-26T00:00:00"/>
    <n v="52"/>
    <d v="2024-02-26T00:00:00"/>
    <d v="2024-03-01T00:00:00"/>
    <n v="362788"/>
    <d v="2024-03-01T00:00:00"/>
    <d v="2024-03-08T00:00:00"/>
    <d v="2024-01-05T00:00:00"/>
    <d v="2024-03-08T00:00:00"/>
    <n v="1.25"/>
    <n v="7"/>
    <m/>
    <m/>
    <m/>
    <m/>
  </r>
  <r>
    <s v="2024"/>
    <x v="5"/>
    <m/>
    <s v="WAF Fortinet"/>
    <m/>
    <s v="Verificar las URL modificadas producto de la migración de WAF Radware a WAF Fortinet -&gt; Salida a producción en Febrero"/>
    <m/>
    <s v="LOCAL"/>
    <m/>
    <s v="CAR"/>
    <m/>
    <m/>
    <s v="Ecuador"/>
    <m/>
    <m/>
    <x v="11"/>
    <s v="IDENTIFICADO"/>
    <s v="No iniciado"/>
    <s v="Q1"/>
    <s v="Q1"/>
    <m/>
    <m/>
    <n v="0"/>
    <n v="0"/>
    <n v="0"/>
    <n v="0"/>
    <m/>
    <n v="0"/>
    <m/>
    <m/>
    <x v="2"/>
    <d v="2024-02-14T00:00:00"/>
    <m/>
    <n v="-45336"/>
    <m/>
    <m/>
    <d v="1899-12-30T00:00:00"/>
    <m/>
    <d v="2024-05-27T00:00:00"/>
    <d v="2024-02-14T00:00:00"/>
    <d v="2024-05-27T00:00:00"/>
    <n v="0"/>
    <n v="45439"/>
    <s v="PROYECTO REGIONAL"/>
    <m/>
    <m/>
    <m/>
  </r>
  <r>
    <s v="2024"/>
    <x v="0"/>
    <m/>
    <s v="Digitacion de pedidos Mensajes, desarrollos por mail "/>
    <m/>
    <s v="Mediante SIR sean solicitados los pedidos  que se digitan en planta."/>
    <m/>
    <s v="LOCAL"/>
    <s v="Mejoras Contabilidad"/>
    <s v="CAR"/>
    <m/>
    <m/>
    <s v="Ecuador"/>
    <s v="Diego Díaz / Vladimir Morillo"/>
    <s v="diego.diaz@kfc.com.ec, vladimir.morillo@kfc.com.ec"/>
    <x v="4"/>
    <s v="IDENTIFICADO"/>
    <s v="No iniciado"/>
    <s v="MEDIA"/>
    <s v="Q3"/>
    <m/>
    <s v="ALTA"/>
    <m/>
    <n v="5"/>
    <n v="2"/>
    <n v="450"/>
    <m/>
    <n v="5140"/>
    <m/>
    <m/>
    <x v="2"/>
    <d v="2024-07-01T00:00:00"/>
    <d v="2024-08-02T00:00:00"/>
    <e v="#REF!"/>
    <d v="2024-08-06T00:00:00"/>
    <d v="2024-08-13T00:00:00"/>
    <d v="2896-10-30T00:00:00"/>
    <m/>
    <m/>
    <d v="2024-07-01T00:00:00"/>
    <d v="1899-12-30T00:00:00"/>
    <n v="1.25"/>
    <n v="0"/>
    <m/>
    <m/>
    <m/>
    <m/>
  </r>
  <r>
    <s v="2024"/>
    <x v="6"/>
    <m/>
    <s v="Obtención y Consolidación de reportes de compras. _x000a_Reporte de cierre de compras, KPIs de compras."/>
    <m/>
    <s v="El origen de la base depende del ERP utilizado en cada país, el mismo genera espera de 2 a 3 semanas. (VEN - CHILE - ARG)"/>
    <m/>
    <s v="LOCAL"/>
    <s v="Pendiente Juan Carlos B"/>
    <s v="CAR"/>
    <m/>
    <m/>
    <s v="Ecuador"/>
    <s v="Juan Carlos Benalcázar"/>
    <m/>
    <x v="5"/>
    <s v="IDENTIFICADO"/>
    <s v="No iniciado"/>
    <s v="Q2"/>
    <m/>
    <m/>
    <s v="ALTA"/>
    <n v="1"/>
    <m/>
    <m/>
    <m/>
    <m/>
    <m/>
    <m/>
    <m/>
    <x v="2"/>
    <m/>
    <m/>
    <n v="0"/>
    <m/>
    <m/>
    <n v="0"/>
    <m/>
    <m/>
    <d v="1899-12-30T00:00:00"/>
    <d v="1899-12-30T00:00:00"/>
    <n v="0"/>
    <n v="0"/>
    <m/>
    <m/>
    <m/>
    <m/>
  </r>
  <r>
    <s v="2024"/>
    <x v="1"/>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REGIONAL"/>
    <s v="Proyectos TD 2024"/>
    <s v="CAR"/>
    <m/>
    <m/>
    <s v="Argentina"/>
    <s v="Daniel Barreno"/>
    <s v="daniel.barreno@kfc.com.ec"/>
    <x v="1"/>
    <s v="APROBADO"/>
    <s v="No iniciado"/>
    <e v="#N/A"/>
    <s v="Q2"/>
    <s v="P23"/>
    <s v="ALTA"/>
    <n v="1"/>
    <n v="8"/>
    <n v="1"/>
    <n v="550"/>
    <m/>
    <n v="5040"/>
    <m/>
    <m/>
    <x v="1"/>
    <d v="2024-03-18T00:00:00"/>
    <d v="2024-04-01T00:00:00"/>
    <n v="14"/>
    <d v="2024-04-01T00:00:00"/>
    <d v="2024-04-08T00:00:00"/>
    <n v="363071"/>
    <d v="2024-04-08T00:00:00"/>
    <d v="2024-04-15T00:00:00"/>
    <d v="2024-04-01T00:00:00"/>
    <d v="2024-05-27T00:00:00"/>
    <n v="2"/>
    <n v="7"/>
    <s v="PROYECTO REGIONAL"/>
    <m/>
    <s v="x"/>
    <s v="Pendiente definiciones de Tranformación digital para el inicio del desarrollo"/>
  </r>
  <r>
    <s v="2023"/>
    <x v="4"/>
    <m/>
    <s v="Etapa final implementación de Costos Ecuapork"/>
    <m/>
    <s v="El proyecto inicio ejecución en 2023 y debería estar implementado en febrero de 2024 aproximadamente"/>
    <m/>
    <s v="LOCAL"/>
    <s v="Desarrollo Software Integración Granjas con SAP"/>
    <s v="CAR"/>
    <m/>
    <m/>
    <s v="Ecuador"/>
    <s v="Ana Cordova"/>
    <m/>
    <x v="9"/>
    <s v="APROBADO"/>
    <s v="En curso"/>
    <s v="Q1"/>
    <s v="Q1"/>
    <m/>
    <s v="MEDIA"/>
    <n v="1"/>
    <m/>
    <m/>
    <m/>
    <m/>
    <n v="0"/>
    <m/>
    <m/>
    <x v="2"/>
    <d v="2023-08-07T00:00:00"/>
    <d v="2024-01-28T00:00:00"/>
    <n v="174"/>
    <d v="2024-02-21T00:00:00"/>
    <d v="2024-02-28T00:00:00"/>
    <n v="7"/>
    <d v="2024-02-28T00:00:00"/>
    <d v="2024-03-07T00:00:00"/>
    <d v="2023-08-07T00:00:00"/>
    <d v="2024-03-07T00:00:00"/>
    <n v="0"/>
    <n v="8"/>
    <m/>
    <m/>
    <m/>
    <m/>
  </r>
  <r>
    <s v="2024"/>
    <x v="1"/>
    <s v="Kioscos"/>
    <s v="Kiosco V3 (Nueva Api Tiendas)"/>
    <s v="MXP LEGACY_x000a_TRADE"/>
    <s v="Migracion del canal de kioscos a V3 para poder contar las funcionalidades de cupones, descuentos y propinas"/>
    <s v="ALTA"/>
    <s v="LOCAL"/>
    <s v="Proyectos TD 2024"/>
    <s v="CAR"/>
    <m/>
    <m/>
    <s v="Ecuador"/>
    <s v="Daniel Barreno"/>
    <s v="daniel.barreno@kfc.com.ec"/>
    <x v="1"/>
    <s v="APROBADO"/>
    <s v="En curso"/>
    <e v="#N/A"/>
    <s v="Q2"/>
    <s v="p20"/>
    <s v="ALTA"/>
    <n v="1"/>
    <n v="10"/>
    <n v="1"/>
    <n v="550"/>
    <m/>
    <n v="6140"/>
    <m/>
    <m/>
    <x v="7"/>
    <d v="2024-03-11T00:00:00"/>
    <d v="2024-05-06T00:00:00"/>
    <n v="56"/>
    <d v="2024-05-06T00:00:00"/>
    <d v="2024-05-20T00:00:00"/>
    <n v="363358"/>
    <d v="2024-05-20T00:00:00"/>
    <d v="2024-06-03T00:00:00"/>
    <d v="2024-04-01T00:00:00"/>
    <d v="2024-06-20T00:00:00"/>
    <n v="2.5"/>
    <n v="14"/>
    <s v="PROYECTO REGIONAL"/>
    <m/>
    <s v="x"/>
    <s v="Se tiene comprometido en el sprint 1 la compatibilidad con Pedidos v3"/>
  </r>
  <r>
    <s v="2024"/>
    <x v="1"/>
    <s v="Fidelización"/>
    <s v="Fidelización JV, (QA Formas de pago)"/>
    <s v="TRADE"/>
    <s v="Paymentez Diners y Discover._x000a_"/>
    <s v="BAJA"/>
    <s v="LOCAL"/>
    <s v="Proyectos TD 2024"/>
    <s v="CAR"/>
    <m/>
    <m/>
    <s v="Ecuador"/>
    <s v="Daniel Barreno"/>
    <s v="daniel.barreno@kfc.com.ec"/>
    <x v="1"/>
    <s v="APROBADO"/>
    <s v="No iniciado"/>
    <e v="#N/A"/>
    <s v="Q3"/>
    <s v="p26"/>
    <s v="BAJA"/>
    <m/>
    <n v="2"/>
    <n v="1"/>
    <n v="550"/>
    <m/>
    <n v="1100"/>
    <m/>
    <m/>
    <x v="10"/>
    <d v="2024-08-19T00:00:00"/>
    <d v="2024-08-19T00:00:00"/>
    <d v="1899-12-30T00:00:00"/>
    <d v="2024-08-19T00:00:00"/>
    <d v="2024-08-26T00:00:00"/>
    <d v="2897-02-11T00:00:00"/>
    <d v="2024-08-26T00:00:00"/>
    <d v="2024-09-02T00:00:00"/>
    <d v="2024-08-01T00:00:00"/>
    <d v="2024-08-15T00:00:00"/>
    <d v="1899-12-30T12:00:00"/>
    <d v="1900-01-06T00:00:00"/>
    <s v="ECOMERCE"/>
    <m/>
    <s v="x"/>
    <m/>
  </r>
  <r>
    <s v="2024"/>
    <x v="2"/>
    <m/>
    <s v="FIONA: Coordinación de Movilización Colaboradores"/>
    <m/>
    <s v="Creación de Solicitudes al departamento de logística para que puedan consolidar según transportes y derivar los costos a cada CC según el empleado y solicitante al que corresponda, Manejo de Transportistas, Catalogo de Zonas y de Coordinaciones o superiores, Interfaz con SAP"/>
    <m/>
    <s v="LOCAL"/>
    <m/>
    <s v="CAR"/>
    <m/>
    <m/>
    <s v="Ecuador"/>
    <s v="Diego Díaz / Vladimir Morillo"/>
    <m/>
    <x v="6"/>
    <s v="SUSPENDIDO"/>
    <s v="No iniciado"/>
    <m/>
    <s v="Q3"/>
    <m/>
    <s v="MEDIA"/>
    <m/>
    <n v="14"/>
    <n v="1"/>
    <n v="550"/>
    <m/>
    <n v="8340"/>
    <m/>
    <m/>
    <x v="2"/>
    <m/>
    <m/>
    <e v="#REF!"/>
    <m/>
    <m/>
    <d v="1899-12-30T00:00:00"/>
    <m/>
    <m/>
    <d v="1899-12-30T00:00:00"/>
    <d v="1899-12-30T00:00:00"/>
    <n v="3.5"/>
    <n v="0"/>
    <m/>
    <m/>
    <m/>
    <m/>
  </r>
  <r>
    <s v="2024"/>
    <x v="2"/>
    <m/>
    <s v="FIONA: Mejoras Operativas"/>
    <m/>
    <s v="Pendiente Levantamiento con Diego Diaz"/>
    <m/>
    <s v="LOCAL"/>
    <m/>
    <s v="CAR"/>
    <m/>
    <m/>
    <s v="Ecuador"/>
    <s v="Diego Díaz / Vladimir Morillo"/>
    <m/>
    <x v="6"/>
    <s v="SUSPENDIDO"/>
    <s v="No iniciado"/>
    <m/>
    <s v="Q4"/>
    <m/>
    <m/>
    <m/>
    <n v="8"/>
    <n v="1"/>
    <n v="550"/>
    <m/>
    <n v="5040"/>
    <m/>
    <m/>
    <x v="2"/>
    <m/>
    <m/>
    <e v="#REF!"/>
    <m/>
    <m/>
    <n v="0"/>
    <m/>
    <m/>
    <d v="1899-12-30T00:00:00"/>
    <d v="1899-12-30T00:00:00"/>
    <n v="2"/>
    <n v="0"/>
    <m/>
    <m/>
    <m/>
    <m/>
  </r>
  <r>
    <s v="2024"/>
    <x v="2"/>
    <m/>
    <s v="FIONA: Registro y procesamiento de control de calidad en planta"/>
    <m/>
    <s v="Permite llevar control del cumplimiento de especificaciones de producción a partir de los datos de los muestreo de calidad."/>
    <m/>
    <s v="LOCAL"/>
    <s v="Calidad Planta"/>
    <s v="CAR"/>
    <m/>
    <m/>
    <s v="Ecuador"/>
    <s v="Ana Cordova"/>
    <m/>
    <x v="12"/>
    <s v="SUSPENDIDO"/>
    <s v="No iniciado"/>
    <m/>
    <s v="Q4"/>
    <m/>
    <s v="MEDIA"/>
    <m/>
    <n v="8"/>
    <n v="1"/>
    <n v="550"/>
    <m/>
    <n v="5040"/>
    <m/>
    <m/>
    <x v="2"/>
    <m/>
    <m/>
    <e v="#REF!"/>
    <m/>
    <m/>
    <d v="1899-12-30T00:00:00"/>
    <m/>
    <m/>
    <d v="1899-12-30T00:00:00"/>
    <d v="1899-12-30T00:00:00"/>
    <n v="2"/>
    <n v="0"/>
    <m/>
    <m/>
    <m/>
    <m/>
  </r>
  <r>
    <s v="2024"/>
    <x v="2"/>
    <m/>
    <s v="FIONA: Ventas Clientes Externos Cerrados Subproductos Planta"/>
    <m/>
    <s v="Mediante Fiona la creacion de pedidos de clientes externos y comedor con un perfil para el supervisor del área, suprimir papel de solicitud "/>
    <m/>
    <s v="LOCAL"/>
    <m/>
    <s v="CAR"/>
    <m/>
    <m/>
    <s v="Ecuador"/>
    <s v="Diego Díaz / Vladimir Morillo"/>
    <m/>
    <x v="6"/>
    <s v="SUSPENDIDO"/>
    <s v="No iniciado"/>
    <m/>
    <s v="Q3"/>
    <m/>
    <s v="ALTA"/>
    <m/>
    <n v="10"/>
    <n v="1"/>
    <n v="550"/>
    <m/>
    <n v="6140"/>
    <m/>
    <m/>
    <x v="2"/>
    <m/>
    <m/>
    <e v="#REF!"/>
    <m/>
    <m/>
    <d v="1899-12-30T00:00:00"/>
    <m/>
    <m/>
    <d v="1899-12-30T00:00:00"/>
    <d v="1899-12-30T00:00:00"/>
    <n v="2.5"/>
    <n v="0"/>
    <m/>
    <m/>
    <m/>
    <m/>
  </r>
  <r>
    <s v="2024"/>
    <x v="1"/>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LOCAL"/>
    <s v="Proyectos TD 2024"/>
    <s v="CAR"/>
    <m/>
    <m/>
    <s v="Ecuador"/>
    <s v="Daniel Barreno"/>
    <s v="daniel.barreno@kfc.com.ec"/>
    <x v="1"/>
    <s v="APROBADO"/>
    <s v="No iniciado"/>
    <e v="#N/A"/>
    <s v="Q3"/>
    <s v="p44"/>
    <s v="MEDIA"/>
    <n v="1"/>
    <n v="6"/>
    <n v="1"/>
    <n v="550"/>
    <m/>
    <n v="3940"/>
    <m/>
    <m/>
    <x v="4"/>
    <d v="2024-07-22T00:00:00"/>
    <d v="2024-08-19T00:00:00"/>
    <n v="28"/>
    <d v="2024-08-19T00:00:00"/>
    <d v="2024-08-26T00:00:00"/>
    <n v="364191"/>
    <d v="2024-08-26T00:00:00"/>
    <d v="2024-09-02T00:00:00"/>
    <d v="2024-07-01T00:00:00"/>
    <d v="2024-08-12T00:00:00"/>
    <n v="1.5"/>
    <n v="7"/>
    <s v="PROYECTO REGIONAL"/>
    <m/>
    <s v="x"/>
    <m/>
  </r>
  <r>
    <s v="2024"/>
    <x v="1"/>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s v="CAR"/>
    <m/>
    <m/>
    <s v="Venezuela"/>
    <s v="Daniel Barreno"/>
    <s v="daniel.barreno@kfc.com.ec"/>
    <x v="1"/>
    <s v="APROBADO"/>
    <s v="No iniciado"/>
    <e v="#N/A"/>
    <s v="Q4"/>
    <s v="p44"/>
    <s v="MEDIA"/>
    <n v="1"/>
    <n v="3"/>
    <n v="1"/>
    <n v="550"/>
    <m/>
    <n v="2290"/>
    <m/>
    <m/>
    <x v="3"/>
    <d v="2024-09-02T00:00:00"/>
    <d v="2024-09-09T00:00:00"/>
    <d v="1900-01-06T00:00:00"/>
    <d v="2024-09-09T00:00:00"/>
    <d v="2024-09-16T00:00:00"/>
    <d v="2897-07-29T00:00:00"/>
    <d v="2024-09-16T00:00:00"/>
    <d v="2024-09-23T00:00:00"/>
    <d v="2024-10-01T00:00:00"/>
    <d v="2024-10-22T00:00:00"/>
    <d v="1899-12-30T18:00:00"/>
    <d v="1900-01-06T00:00:00"/>
    <s v="PROYECTO REGIONAL"/>
    <m/>
    <s v="x"/>
    <m/>
  </r>
  <r>
    <s v="2024"/>
    <x v="1"/>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s v="CAR"/>
    <m/>
    <m/>
    <s v="Argentina"/>
    <s v="Daniel Barreno"/>
    <s v="daniel.barreno@kfc.com.ec"/>
    <x v="1"/>
    <s v="APROBADO"/>
    <s v="No iniciado"/>
    <e v="#N/A"/>
    <s v="Q4"/>
    <s v="p44"/>
    <s v="MEDIA"/>
    <n v="1"/>
    <n v="3"/>
    <n v="1"/>
    <n v="550"/>
    <m/>
    <n v="2290"/>
    <m/>
    <m/>
    <x v="3"/>
    <d v="2024-07-29T00:00:00"/>
    <d v="2024-08-05T00:00:00"/>
    <n v="7"/>
    <d v="2024-08-05T00:00:00"/>
    <d v="2024-08-12T00:00:00"/>
    <n v="364079"/>
    <d v="2024-08-12T00:00:00"/>
    <d v="2024-08-19T00:00:00"/>
    <d v="2024-10-01T00:00:00"/>
    <d v="2024-10-22T00:00:00"/>
    <n v="0.75"/>
    <n v="7"/>
    <s v="PROYECTO REGIONAL"/>
    <m/>
    <s v="x"/>
    <m/>
  </r>
  <r>
    <s v="2024"/>
    <x v="1"/>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s v="CAR"/>
    <m/>
    <m/>
    <s v="Colombia"/>
    <s v="Daniel Barreno"/>
    <s v="daniel.barreno@kfc.com.ec"/>
    <x v="1"/>
    <s v="APROBADO"/>
    <s v="No iniciado"/>
    <e v="#N/A"/>
    <s v="Q4"/>
    <s v="p44"/>
    <s v="MEDIA"/>
    <n v="1"/>
    <n v="3"/>
    <n v="1"/>
    <n v="550"/>
    <m/>
    <n v="2290"/>
    <m/>
    <m/>
    <x v="3"/>
    <d v="2024-09-02T00:00:00"/>
    <d v="2024-09-09T00:00:00"/>
    <d v="1900-01-06T00:00:00"/>
    <d v="2024-09-09T00:00:00"/>
    <d v="2024-09-16T00:00:00"/>
    <d v="2897-07-29T00:00:00"/>
    <d v="2024-09-16T00:00:00"/>
    <d v="2024-09-23T00:00:00"/>
    <d v="2024-10-01T00:00:00"/>
    <d v="2024-10-22T00:00:00"/>
    <d v="1899-12-30T18:00:00"/>
    <d v="1900-01-06T00:00:00"/>
    <s v="PROYECTO REGIONAL"/>
    <m/>
    <s v="x"/>
    <m/>
  </r>
  <r>
    <s v="2024"/>
    <x v="1"/>
    <s v="Kioscos"/>
    <s v="Funcionalidades KioscoCrosell Modificadores"/>
    <s v="MXP LEGACY_x000a_TRADE"/>
    <s v="dentro del json el TYPE de pregunta, ahora venga con un TYPE CROSELL, para que el motor de recomendaciones pueda estar incluido ahí_x000a_Tag Crosell Inyección para poder tener info en el sistema para analitica_x000a__x000a_Enviar el campo de UpSell desde el Kiosco"/>
    <s v="MEDIA"/>
    <s v="REGIONAL"/>
    <s v="Proyectos TD 2024"/>
    <s v="CAR"/>
    <m/>
    <m/>
    <s v="Chile"/>
    <s v="Daniel Barreno"/>
    <s v="daniel.barreno@kfc.com.ec"/>
    <x v="1"/>
    <s v="APROBADO"/>
    <s v="No iniciado"/>
    <e v="#N/A"/>
    <s v="Q4"/>
    <s v="p44"/>
    <s v="MEDIA"/>
    <n v="1"/>
    <n v="5"/>
    <n v="1"/>
    <n v="550"/>
    <m/>
    <n v="3390"/>
    <m/>
    <m/>
    <x v="11"/>
    <d v="2024-09-02T00:00:00"/>
    <d v="2024-09-09T00:00:00"/>
    <n v="7"/>
    <d v="2024-09-09T00:00:00"/>
    <d v="2024-09-16T00:00:00"/>
    <n v="364359"/>
    <d v="2024-09-16T00:00:00"/>
    <d v="2024-10-07T00:00:00"/>
    <d v="2024-09-01T00:00:00"/>
    <d v="2024-10-06T00:00:00"/>
    <n v="1.25"/>
    <n v="21"/>
    <s v="PROYECTO REGIONAL"/>
    <m/>
    <s v="x"/>
    <m/>
  </r>
  <r>
    <s v="2024"/>
    <x v="1"/>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LOCAL"/>
    <s v="Proyectos TD 2024"/>
    <s v="CAR"/>
    <m/>
    <m/>
    <s v="Ecuador"/>
    <s v="Daniel Barreno"/>
    <s v="daniel.barreno@kfc.com.ec"/>
    <x v="1"/>
    <s v="APROBADO"/>
    <s v="No iniciado"/>
    <e v="#N/A"/>
    <s v="Q3"/>
    <s v="p61"/>
    <s v="MEDIA"/>
    <n v="1"/>
    <n v="4"/>
    <n v="1"/>
    <n v="550"/>
    <m/>
    <n v="2840"/>
    <m/>
    <m/>
    <x v="10"/>
    <d v="2024-08-05T00:00:00"/>
    <d v="2024-08-26T00:00:00"/>
    <d v="1900-01-20T00:00:00"/>
    <d v="2024-08-26T00:00:00"/>
    <d v="2024-09-02T00:00:00"/>
    <d v="2897-04-08T00:00:00"/>
    <d v="2024-09-02T00:00:00"/>
    <d v="2024-09-09T00:00:00"/>
    <d v="2024-08-01T00:00:00"/>
    <d v="2024-08-29T00:00:00"/>
    <d v="1899-12-31T00:00:00"/>
    <d v="1900-01-06T00:00:00"/>
    <s v="PROYECTO REGIONAL"/>
    <m/>
    <s v="x"/>
    <m/>
  </r>
  <r>
    <s v="2024"/>
    <x v="1"/>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s v="CAR"/>
    <m/>
    <m/>
    <s v="Venezuela"/>
    <s v="Daniel Barreno"/>
    <s v="daniel.barreno@kfc.com.ec"/>
    <x v="1"/>
    <s v="APROBADO"/>
    <s v="No iniciado"/>
    <e v="#N/A"/>
    <s v="Q3"/>
    <s v="p61"/>
    <s v="MEDIA"/>
    <n v="1"/>
    <n v="4"/>
    <n v="1"/>
    <n v="550"/>
    <m/>
    <n v="2840"/>
    <m/>
    <m/>
    <x v="10"/>
    <d v="2024-08-26T00:00:00"/>
    <d v="2024-09-09T00:00:00"/>
    <n v="14"/>
    <d v="2024-09-09T00:00:00"/>
    <d v="2024-09-16T00:00:00"/>
    <n v="364359"/>
    <d v="2024-09-16T00:00:00"/>
    <d v="2024-09-23T00:00:00"/>
    <d v="2024-08-01T00:00:00"/>
    <d v="2024-08-29T00:00:00"/>
    <n v="1"/>
    <n v="7"/>
    <s v="PROYECTO REGIONAL"/>
    <m/>
    <s v="x"/>
    <m/>
  </r>
  <r>
    <s v="2024"/>
    <x v="1"/>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s v="CAR"/>
    <m/>
    <m/>
    <s v="Argentina"/>
    <s v="Daniel Barreno"/>
    <s v="daniel.barreno@kfc.com.ec"/>
    <x v="1"/>
    <s v="APROBADO"/>
    <s v="No iniciado"/>
    <e v="#N/A"/>
    <s v="Q3"/>
    <s v="p61"/>
    <s v="MEDIA"/>
    <n v="1"/>
    <n v="4"/>
    <n v="1"/>
    <n v="550"/>
    <m/>
    <n v="2840"/>
    <m/>
    <m/>
    <x v="10"/>
    <d v="2024-08-26T00:00:00"/>
    <d v="2024-09-09T00:00:00"/>
    <d v="1900-01-13T00:00:00"/>
    <d v="2024-09-09T00:00:00"/>
    <d v="2024-09-16T00:00:00"/>
    <d v="2897-07-29T00:00:00"/>
    <d v="2024-09-16T00:00:00"/>
    <d v="2024-09-23T00:00:00"/>
    <d v="2024-08-01T00:00:00"/>
    <d v="2024-08-29T00:00:00"/>
    <n v="1"/>
    <n v="7"/>
    <s v="PROYECTO REGIONAL"/>
    <m/>
    <s v="x"/>
    <m/>
  </r>
  <r>
    <s v="2024"/>
    <x v="1"/>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s v="CAR"/>
    <m/>
    <m/>
    <s v="Colombia"/>
    <s v="Daniel Barreno"/>
    <s v="daniel.barreno@kfc.com.ec"/>
    <x v="1"/>
    <s v="APROBADO"/>
    <s v="No iniciado"/>
    <e v="#N/A"/>
    <s v="Q3"/>
    <s v="p61"/>
    <s v="MEDIA"/>
    <n v="1"/>
    <n v="4"/>
    <n v="1"/>
    <n v="550"/>
    <m/>
    <n v="2840"/>
    <m/>
    <m/>
    <x v="10"/>
    <d v="2024-08-26T00:00:00"/>
    <d v="2024-09-09T00:00:00"/>
    <n v="14"/>
    <d v="2024-09-09T00:00:00"/>
    <d v="2024-09-16T00:00:00"/>
    <n v="364359"/>
    <d v="2024-09-16T00:00:00"/>
    <d v="2024-09-23T00:00:00"/>
    <d v="2024-08-01T00:00:00"/>
    <d v="2024-08-29T00:00:00"/>
    <n v="1"/>
    <n v="7"/>
    <s v="PROYECTO REGIONAL"/>
    <m/>
    <s v="x"/>
    <m/>
  </r>
  <r>
    <s v="2024"/>
    <x v="1"/>
    <s v="Kioscos"/>
    <s v="Funcionalidades Kiosko y app"/>
    <s v="MXP LEGACY_x000a_MXP 2.0_x000a_TRADE"/>
    <s v="Envío estructura de preguntas de 3er nivel en menú e inyección  (Kiosko  &amp; App)_x000a__x000a_Mejorar la densidad de los cupones   (App)_x000a__x000a_Enviar un flag con idioma del menú en inglés en el mismo menú del Kiosco (kiosko)_x000a__x000a_envio de presas por receta dentro de la imyección / Pruebas   (Kiosko  &amp; App)_x000a__x000a_Integración RC Kiosco RUT (kisoko)"/>
    <s v="BAJA"/>
    <s v="REGIONAL"/>
    <s v="Proyectos TD 2024"/>
    <s v="CAR"/>
    <m/>
    <m/>
    <s v="Chile"/>
    <s v="Daniel Barreno"/>
    <s v="daniel.barreno@kfc.com.ec"/>
    <x v="1"/>
    <s v="APROBADO"/>
    <s v="No iniciado"/>
    <e v="#N/A"/>
    <s v="Q3"/>
    <s v="p61"/>
    <s v="MEDIA"/>
    <n v="1"/>
    <n v="6"/>
    <n v="1"/>
    <n v="550"/>
    <m/>
    <n v="3940"/>
    <m/>
    <m/>
    <x v="10"/>
    <d v="2024-08-26T00:00:00"/>
    <d v="2024-09-09T00:00:00"/>
    <d v="1900-01-13T00:00:00"/>
    <d v="2024-09-09T00:00:00"/>
    <d v="2024-09-16T00:00:00"/>
    <d v="2897-07-29T00:00:00"/>
    <d v="2024-09-16T00:00:00"/>
    <d v="2024-10-07T00:00:00"/>
    <d v="2024-08-01T00:00:00"/>
    <d v="2024-09-12T00:00:00"/>
    <n v="1.5"/>
    <n v="21"/>
    <s v="PROYECTO REGIONAL"/>
    <m/>
    <s v="x"/>
    <m/>
  </r>
  <r>
    <s v="2024"/>
    <x v="2"/>
    <m/>
    <s v="Gestión de Contratos de Arriendos"/>
    <m/>
    <s v="Alertas"/>
    <m/>
    <s v="LOCAL"/>
    <s v="Gestión de Contratos de Arriendos"/>
    <s v="CAR"/>
    <m/>
    <m/>
    <s v="Ecuador"/>
    <s v="Narciza Espin"/>
    <m/>
    <x v="9"/>
    <s v="IDENTIFICADO"/>
    <s v="No iniciado"/>
    <s v="Q1"/>
    <s v="Q2"/>
    <m/>
    <s v="MEDIA"/>
    <m/>
    <n v="8"/>
    <n v="1"/>
    <n v="550"/>
    <m/>
    <n v="8400"/>
    <m/>
    <m/>
    <x v="2"/>
    <d v="2024-03-01T00:00:00"/>
    <d v="2024-04-01T00:00:00"/>
    <e v="#REF!"/>
    <d v="2024-04-01T00:00:00"/>
    <d v="2024-04-14T00:00:00"/>
    <d v="2894-01-24T00:00:00"/>
    <d v="2024-04-14T00:00:00"/>
    <d v="2024-05-01T00:00:00"/>
    <d v="2024-03-01T00:00:00"/>
    <d v="2024-05-01T00:00:00"/>
    <d v="1900-01-01T00:00:00"/>
    <n v="17"/>
    <m/>
    <m/>
    <m/>
    <m/>
  </r>
  <r>
    <s v="2024"/>
    <x v="1"/>
    <s v="Kioscos"/>
    <s v="Ley de protección - Kioskos (optim)"/>
    <s v="MXP LEGACY_x000a_TRADE"/>
    <s v="Recepción de aceptaciones de la ley de protección de datos de los kioscos Ecuador, Recepcion de aceptación por separado"/>
    <s v="ALTA"/>
    <s v="LOCAL"/>
    <s v="Proyectos TD 2024"/>
    <s v="CAR"/>
    <m/>
    <m/>
    <s v="Ecuador"/>
    <s v="Daniel Barreno"/>
    <s v="daniel.barreno@kfc.com.ec"/>
    <x v="1"/>
    <s v="APROBADO"/>
    <s v="En curso"/>
    <e v="#N/A"/>
    <s v="Q2"/>
    <s v="p19"/>
    <s v="MEDIA"/>
    <m/>
    <n v="6"/>
    <n v="1"/>
    <n v="550"/>
    <m/>
    <n v="3940"/>
    <m/>
    <m/>
    <x v="7"/>
    <d v="2024-03-04T00:00:00"/>
    <d v="2024-03-18T00:00:00"/>
    <n v="14"/>
    <d v="2024-03-18T00:00:00"/>
    <d v="2024-03-25T00:00:00"/>
    <n v="362959"/>
    <d v="2024-03-25T00:00:00"/>
    <d v="2024-04-10T00:00:00"/>
    <d v="2024-04-01T00:00:00"/>
    <d v="2024-05-13T00:00:00"/>
    <n v="1.5"/>
    <n v="16"/>
    <s v="ECOMERCE"/>
    <m/>
    <s v="x"/>
    <s v="El desarrollo se encuentra finalizado, pendiente realizar certificación, piloto y despliegue."/>
  </r>
  <r>
    <s v="2024"/>
    <x v="4"/>
    <m/>
    <s v="Implementación costos coproductos Embutser"/>
    <m/>
    <s v="Proyecto 2023, continúa implementación 2024, fecha aprox febrero"/>
    <m/>
    <s v="LOCAL"/>
    <s v="Implementación Coproductos empresa Embutser"/>
    <s v="CAR"/>
    <m/>
    <m/>
    <s v="Ecuador"/>
    <s v="Ana Cordova"/>
    <m/>
    <x v="9"/>
    <s v="APROBADO"/>
    <s v="En curso"/>
    <s v="Q1"/>
    <s v="Q1"/>
    <m/>
    <s v="MEDIA"/>
    <n v="1"/>
    <m/>
    <m/>
    <m/>
    <m/>
    <n v="0"/>
    <m/>
    <m/>
    <x v="2"/>
    <d v="2024-01-07T00:00:00"/>
    <d v="2024-01-21T00:00:00"/>
    <n v="14"/>
    <d v="2024-01-21T00:00:00"/>
    <d v="2024-01-28T00:00:00"/>
    <n v="7"/>
    <d v="2024-02-21T00:00:00"/>
    <d v="2024-02-28T00:00:00"/>
    <d v="2024-01-07T00:00:00"/>
    <d v="2024-02-28T00:00:00"/>
    <n v="0"/>
    <n v="7"/>
    <m/>
    <m/>
    <m/>
    <m/>
  </r>
  <r>
    <s v="2024"/>
    <x v="4"/>
    <m/>
    <s v="Implementación SAP Analytic Cloud + Datasphere"/>
    <m/>
    <s v="Contar con una herramienta de reporteria facil de implemantar y puedan utilizar los usuarios de SAP, sin mayor aporte del area de tecnologia"/>
    <m/>
    <s v="REGIONAL"/>
    <s v="Reportería Regional SAP ANALYTIC CLOUD"/>
    <s v="CAR"/>
    <m/>
    <m/>
    <s v="Ecuador"/>
    <s v="Diego Díaz"/>
    <m/>
    <x v="4"/>
    <s v="IDENTIFICADO"/>
    <s v="No iniciado"/>
    <s v="Q2"/>
    <s v="Q2"/>
    <m/>
    <s v="MEDIA"/>
    <n v="1"/>
    <n v="8"/>
    <n v="4"/>
    <n v="637.5"/>
    <n v="40000"/>
    <n v="60400"/>
    <n v="40000"/>
    <m/>
    <x v="2"/>
    <d v="2024-04-07T00:00:00"/>
    <d v="2024-05-14T00:00:00"/>
    <n v="37"/>
    <m/>
    <m/>
    <d v="1899-12-30T00:00:00"/>
    <m/>
    <m/>
    <d v="2024-04-07T00:00:00"/>
    <d v="1899-12-30T00:00:00"/>
    <n v="2"/>
    <n v="0"/>
    <m/>
    <m/>
    <m/>
    <m/>
  </r>
  <r>
    <s v="2024"/>
    <x v="4"/>
    <m/>
    <s v="Importación de Plantillas para Cargas de datos: Pagos, Retenciones, etc"/>
    <m/>
    <s v="Tesorería, actualemte se comparten usuarios para acceder a Herramienta "/>
    <m/>
    <s v="LOCAL"/>
    <s v="Easy Scripting"/>
    <s v="CAR"/>
    <m/>
    <m/>
    <s v="Ecuador"/>
    <s v="Amparo Aleman"/>
    <m/>
    <x v="7"/>
    <s v="IDENTIFICADO"/>
    <s v="No iniciado"/>
    <s v="Q2"/>
    <s v="Q2"/>
    <m/>
    <s v="BAJA"/>
    <n v="1"/>
    <n v="1"/>
    <n v="2"/>
    <n v="550"/>
    <m/>
    <n v="1100"/>
    <n v="1800"/>
    <m/>
    <x v="2"/>
    <d v="2024-02-14T00:00:00"/>
    <d v="2024-02-28T00:00:00"/>
    <n v="14"/>
    <d v="2024-02-28T00:00:00"/>
    <d v="2024-03-14T00:00:00"/>
    <n v="15"/>
    <d v="2024-03-14T00:00:00"/>
    <d v="2024-03-21T00:00:00"/>
    <d v="2024-02-14T00:00:00"/>
    <d v="2024-03-21T00:00:00"/>
    <n v="0.25"/>
    <n v="7"/>
    <m/>
    <m/>
    <m/>
    <m/>
  </r>
  <r>
    <s v="2024"/>
    <x v="3"/>
    <m/>
    <s v="Incluir 2 opciones en el proceso de pago con credito relacionado"/>
    <s v="MXP 2.0"/>
    <s v="Las venta de CREDITO RELACIONADO en MP.  Deben crear una opción de ingreso desplegando la selección de: centros de costos, quien autoriza y generar mail de Autorización. _x000a_- Se debe crear 2 opciones en el proceso para ingreasar la persona que autoriza y el centro de costo"/>
    <m/>
    <s v="LOCAL"/>
    <s v="Mejoras Maxpoint Auditoría 2024"/>
    <s v="CAR"/>
    <m/>
    <m/>
    <s v="Ecuador"/>
    <s v="Vladimir Morillo"/>
    <s v="vladimir.morillo@kfc.com.ec"/>
    <x v="0"/>
    <s v="IDENTIFICADO"/>
    <s v="No iniciado"/>
    <n v="2"/>
    <s v="Q2"/>
    <s v="De sistema payroll para que exponga emdiante api la información del personal"/>
    <s v="BAJA"/>
    <n v="1"/>
    <n v="2"/>
    <n v="1"/>
    <n v="550"/>
    <m/>
    <n v="1680"/>
    <m/>
    <m/>
    <x v="1"/>
    <d v="2024-04-29T00:00:00"/>
    <d v="2024-05-15T00:00:00"/>
    <d v="1900-01-15T00:00:00"/>
    <d v="2024-05-16T00:00:00"/>
    <d v="2024-05-19T00:00:00"/>
    <d v="2895-01-09T00:00:00"/>
    <d v="2024-05-20T00:00:00"/>
    <d v="2024-05-28T00:00:00"/>
    <d v="2024-04-29T00:00:00"/>
    <d v="2024-05-28T00:00:00"/>
    <n v="0.5"/>
    <n v="8"/>
    <m/>
    <m/>
    <m/>
    <m/>
  </r>
  <r>
    <s v="2024"/>
    <x v="3"/>
    <m/>
    <s v="Incluir 2 selecciones adicionales en Landing Page para la marca KFC"/>
    <s v="MXP 2.0"/>
    <s v="Botones adicionales solicitados por mkt kfc"/>
    <m/>
    <s v="LOCAL"/>
    <s v="Landing Page"/>
    <s v="CAR"/>
    <m/>
    <m/>
    <s v="Ecuador"/>
    <s v="María Paula Tapia _x000a_José Fernandez"/>
    <s v="mpaula.tapia@kfc.com.ec"/>
    <x v="2"/>
    <s v="IDENTIFICADO"/>
    <s v="No iniciado"/>
    <n v="2"/>
    <s v="Q2"/>
    <m/>
    <s v="BAJA"/>
    <n v="1"/>
    <n v="2"/>
    <n v="1"/>
    <n v="550"/>
    <m/>
    <n v="1680"/>
    <m/>
    <m/>
    <x v="1"/>
    <d v="2024-04-29T00:00:00"/>
    <d v="2024-05-16T00:00:00"/>
    <d v="1900-01-16T00:00:00"/>
    <d v="2024-05-17T00:00:00"/>
    <d v="2024-05-20T00:00:00"/>
    <d v="2895-01-17T00:00:00"/>
    <d v="2024-05-21T00:00:00"/>
    <d v="2024-05-28T00:00:00"/>
    <d v="2024-05-02T00:00:00"/>
    <d v="2024-05-28T00:00:00"/>
    <n v="0.5"/>
    <n v="7"/>
    <m/>
    <m/>
    <m/>
    <m/>
  </r>
  <r>
    <s v="2024"/>
    <x v="3"/>
    <m/>
    <s v="Incluir columna de Número de Mesa en reporte Maxpoint"/>
    <m/>
    <s v="Al reporte de transacciones MAX POINT,  Incluir una columna el numero de mesa"/>
    <m/>
    <s v="LOCAL"/>
    <s v="Mejoras Maxpoint Auditoría 2024"/>
    <s v="CAR"/>
    <m/>
    <m/>
    <s v="Ecuador"/>
    <s v="Vladimir Morillo"/>
    <s v="vladimir.morillo@kfc.com.ec"/>
    <x v="0"/>
    <s v="IDENTIFICADO"/>
    <s v="No iniciado"/>
    <n v="4"/>
    <s v="Q3"/>
    <m/>
    <s v="BAJA"/>
    <n v="1"/>
    <n v="2"/>
    <n v="1"/>
    <n v="550"/>
    <m/>
    <n v="1680"/>
    <m/>
    <m/>
    <x v="6"/>
    <d v="2024-06-03T00:00:00"/>
    <d v="2024-06-25T00:00:00"/>
    <d v="1900-01-21T00:00:00"/>
    <d v="2024-06-26T00:00:00"/>
    <d v="2024-07-10T00:00:00"/>
    <d v="2895-12-14T00:00:00"/>
    <d v="2024-07-11T00:00:00"/>
    <d v="2024-07-25T00:00:00"/>
    <d v="2024-06-03T00:00:00"/>
    <d v="2024-07-25T00:00:00"/>
    <n v="0.5"/>
    <n v="14"/>
    <m/>
    <m/>
    <m/>
    <m/>
  </r>
  <r>
    <s v="2024"/>
    <x v="3"/>
    <m/>
    <s v="Incluir el valor de la propina al total de la transacción en las notas de crédito - dolce incontro"/>
    <m/>
    <s v="Anulaciones/notas de crédito en transacciones que cuentan con propina - dolce incontro"/>
    <m/>
    <s v="LOCAL"/>
    <s v="Notas de Crédito"/>
    <s v="CAR"/>
    <m/>
    <m/>
    <s v="Ecuador"/>
    <s v="Santiago Erazo "/>
    <s v="santiago.erazo@kfc.com.ec"/>
    <x v="6"/>
    <s v="IDENTIFICADO"/>
    <s v="No iniciado"/>
    <m/>
    <s v="Q2"/>
    <s v="FACTIBILIDAD TÉCNICA SRI POR VALIDAR"/>
    <s v="ALTA"/>
    <n v="1"/>
    <n v="2"/>
    <n v="1"/>
    <n v="550"/>
    <m/>
    <n v="1680"/>
    <m/>
    <m/>
    <x v="0"/>
    <d v="2024-06-03T00:00:00"/>
    <d v="2024-05-20T00:00:00"/>
    <n v="-14"/>
    <d v="2024-06-05T00:00:00"/>
    <d v="2024-06-19T00:00:00"/>
    <d v="2895-06-29T00:00:00"/>
    <d v="2024-06-24T00:00:00"/>
    <d v="2024-06-28T00:00:00"/>
    <d v="2024-06-03T00:00:00"/>
    <d v="2024-06-28T00:00:00"/>
    <n v="0.5"/>
    <n v="4"/>
    <s v="Identificado Grupo de Soporte"/>
    <m/>
    <m/>
    <m/>
  </r>
  <r>
    <s v="2024"/>
    <x v="3"/>
    <m/>
    <s v="Incluir en el reporte de transacciones la visualización detallada de items facturados en maxpoint"/>
    <s v="MXP 2.0"/>
    <s v="Al reporte de transacciones MAX POINT,  nos permita visulaizar la factura con sus detalles"/>
    <m/>
    <s v="LOCAL"/>
    <s v="Mejoras Maxpoint Auditoría 2024"/>
    <s v="CAR"/>
    <m/>
    <m/>
    <s v="Ecuador"/>
    <s v="Vladimir Morillo"/>
    <s v="vladimir.morillo@kfc.com.ec"/>
    <x v="0"/>
    <s v="IDENTIFICADO"/>
    <s v="No iniciado"/>
    <n v="1"/>
    <s v="Q2"/>
    <m/>
    <s v="BAJA"/>
    <n v="1"/>
    <n v="1"/>
    <n v="2"/>
    <n v="550"/>
    <m/>
    <n v="1680"/>
    <m/>
    <m/>
    <x v="1"/>
    <d v="2024-04-29T00:00:00"/>
    <d v="2024-05-15T00:00:00"/>
    <d v="1900-01-15T00:00:00"/>
    <d v="2024-05-16T00:00:00"/>
    <d v="2024-05-20T00:00:00"/>
    <d v="2895-01-10T00:00:00"/>
    <d v="2024-05-21T00:00:00"/>
    <d v="2024-05-28T00:00:00"/>
    <d v="2024-04-29T00:00:00"/>
    <d v="2024-05-28T00:00:00"/>
    <n v="0.25"/>
    <n v="7"/>
    <m/>
    <m/>
    <m/>
    <m/>
  </r>
  <r>
    <s v="2024"/>
    <x v="0"/>
    <m/>
    <s v="Incluir los tipos de diarios para los reportes de Ventas no exportadas"/>
    <m/>
    <m/>
    <m/>
    <s v="LOCAL"/>
    <s v="Mejoras Contabilidad"/>
    <s v="CAR"/>
    <m/>
    <m/>
    <s v="Ecuador"/>
    <s v="Veronica Suntaxi"/>
    <s v="veronica.suntaxi@kfc.com.ec"/>
    <x v="4"/>
    <s v="IDENTIFICADO"/>
    <s v="Finalizado"/>
    <s v="ALTA"/>
    <s v="Q1"/>
    <m/>
    <s v="BAJA"/>
    <m/>
    <n v="1"/>
    <n v="1"/>
    <n v="400"/>
    <m/>
    <n v="600"/>
    <m/>
    <m/>
    <x v="5"/>
    <d v="2024-02-26T00:00:00"/>
    <d v="2024-03-08T00:00:00"/>
    <e v="#REF!"/>
    <d v="2024-03-12T00:00:00"/>
    <d v="2024-03-19T00:00:00"/>
    <d v="2893-08-11T00:00:00"/>
    <d v="2024-04-30T00:00:00"/>
    <m/>
    <d v="2024-02-26T00:00:00"/>
    <d v="1899-12-30T00:00:00"/>
    <d v="1899-12-30T06:00:00"/>
    <n v="-45412"/>
    <m/>
    <m/>
    <m/>
    <m/>
  </r>
  <r>
    <s v="2024"/>
    <x v="0"/>
    <m/>
    <s v="Incluir una alerta cuando ingresen un activo ya utilizado en una orden de trabajo - cambio de alcance"/>
    <m/>
    <s v="Existen ordenes de trabajo mas de 5 por el mismo equipo debido a que  abren requerimiento en SIR  por un mismo porblema en el mismo activo o equipo , debido a que no todo el dia esta el mismo gerente o administrador , o el tecnico definitivamente nunca llego desde el primer requerimiento ."/>
    <m/>
    <s v="LOCAL"/>
    <s v="Mantenimiento Restaurantes"/>
    <s v="CAR"/>
    <m/>
    <m/>
    <s v="Ecuador"/>
    <s v="Miguel Lincango"/>
    <s v="miguel.lincango@kfc.com.ec"/>
    <x v="8"/>
    <s v="IDENTIFICADO"/>
    <s v="Finalizado"/>
    <m/>
    <s v="Q1"/>
    <m/>
    <s v="BAJA"/>
    <m/>
    <n v="2"/>
    <n v="2"/>
    <n v="400"/>
    <m/>
    <n v="2240"/>
    <m/>
    <m/>
    <x v="5"/>
    <d v="2024-02-26T00:00:00"/>
    <d v="2024-03-08T00:00:00"/>
    <e v="#REF!"/>
    <d v="2024-03-12T00:00:00"/>
    <d v="2024-03-19T00:00:00"/>
    <d v="2893-08-11T00:00:00"/>
    <m/>
    <m/>
    <d v="2024-02-26T00:00:00"/>
    <d v="1899-12-30T00:00:00"/>
    <n v="0.5"/>
    <n v="0"/>
    <m/>
    <m/>
    <m/>
    <m/>
  </r>
  <r>
    <s v="2024"/>
    <x v="6"/>
    <m/>
    <s v="Flujos de Caja"/>
    <m/>
    <s v="Reporte de Flujo de Caja que se estaba trabajando con TD, verificar estatus y si podemos  aportar para avanzar"/>
    <m/>
    <s v="LOCAL"/>
    <s v="Debe mantenerse reunion con el área de BA y Negocio"/>
    <s v="CAR"/>
    <m/>
    <m/>
    <s v="Ecuador"/>
    <s v="Amparo Aleman"/>
    <m/>
    <x v="7"/>
    <s v="IDENTIFICADO"/>
    <s v="No iniciado"/>
    <m/>
    <m/>
    <m/>
    <m/>
    <m/>
    <m/>
    <m/>
    <m/>
    <m/>
    <n v="640"/>
    <m/>
    <m/>
    <x v="2"/>
    <m/>
    <m/>
    <n v="0"/>
    <m/>
    <m/>
    <n v="0"/>
    <m/>
    <m/>
    <d v="1899-12-30T00:00:00"/>
    <d v="1899-12-30T00:00:00"/>
    <n v="0"/>
    <n v="0"/>
    <s v="BI"/>
    <m/>
    <m/>
    <m/>
  </r>
  <r>
    <s v="2024"/>
    <x v="1"/>
    <s v="Ultimas millas"/>
    <s v="Integración con uber direct "/>
    <s v="MXP LEGACY_x000a_TRADE"/>
    <s v="Integración de ultima milla._x000a_Incluir efectivo"/>
    <s v="ALTA"/>
    <s v="LOCAL"/>
    <s v="Proyectos TD 2024"/>
    <s v="OPER"/>
    <m/>
    <m/>
    <s v="Ecuador"/>
    <s v="Andrés Campos"/>
    <s v="carlos.campo@kfc.com.ec"/>
    <x v="13"/>
    <s v="APROBADO"/>
    <s v="En curso"/>
    <m/>
    <s v="Q2"/>
    <m/>
    <s v="MEDIA"/>
    <m/>
    <n v="2"/>
    <n v="1"/>
    <n v="550"/>
    <m/>
    <n v="1100"/>
    <m/>
    <m/>
    <x v="0"/>
    <d v="2024-01-05T00:00:00"/>
    <d v="2024-02-23T00:00:00"/>
    <n v="49"/>
    <d v="2024-02-23T00:00:00"/>
    <d v="2024-03-01T00:00:00"/>
    <n v="362767"/>
    <d v="2024-03-01T00:00:00"/>
    <d v="2024-03-08T00:00:00"/>
    <d v="2024-06-01T00:00:00"/>
    <d v="2024-06-15T00:00:00"/>
    <n v="0.5"/>
    <n v="7"/>
    <s v="Operaciones Multimarca"/>
    <m/>
    <m/>
    <m/>
  </r>
  <r>
    <s v="2024"/>
    <x v="1"/>
    <s v="Pickup"/>
    <s v="Inyección V3 - Descuentos Pick up"/>
    <s v="MXP LEGACY_x000a_MXP 2.0_x000a_TRADE"/>
    <s v="Recepción de descuentos desde inyección V3 hacia Pickup en las tiendas"/>
    <s v="ALTA"/>
    <s v="REGIONAL"/>
    <s v="Proyectos TD 2024"/>
    <s v="CAR"/>
    <m/>
    <m/>
    <s v="Ecuador"/>
    <s v="Daniel Barreno"/>
    <s v="daniel.barreno@kfc.com.ec"/>
    <x v="1"/>
    <s v="APROBADO"/>
    <s v="Finalizado"/>
    <m/>
    <s v="Q2"/>
    <s v="p10"/>
    <s v="ALTA"/>
    <n v="1"/>
    <n v="4"/>
    <n v="1"/>
    <n v="550"/>
    <m/>
    <n v="2840"/>
    <m/>
    <m/>
    <x v="7"/>
    <d v="2024-02-19T00:00:00"/>
    <d v="2024-02-26T00:00:00"/>
    <n v="7"/>
    <d v="2024-02-26T00:00:00"/>
    <d v="2024-03-04T00:00:00"/>
    <n v="362791"/>
    <d v="2024-03-04T00:00:00"/>
    <d v="2024-03-11T00:00:00"/>
    <d v="2024-04-01T00:00:00"/>
    <d v="2024-04-29T00:00:00"/>
    <n v="1"/>
    <n v="7"/>
    <s v="PROYECTO REGIONAL"/>
    <m/>
    <s v="x"/>
    <m/>
  </r>
  <r>
    <s v="2024"/>
    <x v="2"/>
    <m/>
    <s v="Integración Herramientas SatCon: Otros Negocios"/>
    <m/>
    <m/>
    <m/>
    <s v="LOCAL"/>
    <s v="Gestión de Contratos de Arriendos"/>
    <s v="CAR"/>
    <m/>
    <m/>
    <s v="Ecuador"/>
    <s v="Narciza Espin"/>
    <m/>
    <x v="9"/>
    <s v="IDENTIFICADO"/>
    <s v="No iniciado"/>
    <s v="Q1"/>
    <s v="Q2"/>
    <m/>
    <s v="MEDIA"/>
    <m/>
    <n v="4"/>
    <n v="1"/>
    <n v="600"/>
    <m/>
    <n v="2400"/>
    <m/>
    <m/>
    <x v="2"/>
    <d v="2024-03-01T00:00:00"/>
    <d v="2024-04-01T00:00:00"/>
    <e v="#REF!"/>
    <d v="2024-04-01T00:00:00"/>
    <d v="2024-04-14T00:00:00"/>
    <d v="2894-01-24T00:00:00"/>
    <d v="2024-04-14T00:00:00"/>
    <d v="2024-05-01T00:00:00"/>
    <d v="2024-03-01T00:00:00"/>
    <d v="2024-05-01T00:00:00"/>
    <n v="1"/>
    <n v="17"/>
    <m/>
    <m/>
    <m/>
    <m/>
  </r>
  <r>
    <s v="2024"/>
    <x v="6"/>
    <m/>
    <s v="Reporte Actualizado de Inversión a Directorio - Proyectos Construcción "/>
    <m/>
    <s v=" Reporte diario a descargar a la intranet presenta errores_x000a_- Alertas de límite presupuestario_x000a_- actualizar información se mantiene manual."/>
    <m/>
    <s v="LOCAL"/>
    <s v="Reunión con Requisidor, obtener mas información"/>
    <s v="CAR"/>
    <m/>
    <m/>
    <s v="Ecuador"/>
    <s v="Rodrigo Burbano"/>
    <m/>
    <x v="14"/>
    <s v="IDENTIFICADO"/>
    <s v="No iniciado"/>
    <s v="Q2"/>
    <s v="Q3"/>
    <m/>
    <s v="MEDIA"/>
    <n v="1"/>
    <m/>
    <m/>
    <m/>
    <m/>
    <n v="0"/>
    <m/>
    <m/>
    <x v="2"/>
    <m/>
    <m/>
    <m/>
    <m/>
    <m/>
    <m/>
    <m/>
    <m/>
    <d v="1899-12-30T00:00:00"/>
    <d v="1899-12-30T00:00:00"/>
    <n v="0"/>
    <m/>
    <m/>
    <m/>
    <m/>
    <m/>
  </r>
  <r>
    <s v="2024"/>
    <x v="1"/>
    <s v="API Inyección v3"/>
    <s v="Inyección V3 Descuentos en Delivery"/>
    <s v="MXP LEGACY_x000a_TRADE"/>
    <s v="Puesta en producción para la recepción de cupones de descuento y monto, como de productos con descuento (Ecuador, Colombia y Venezuela, Argentina y Chile)_x000a_Migración de todos los canales a inyección v3, tanto propio como agregadores (Chile Argentina)_x000a_Puesta en producción para la recepción de cupones de descuento y monto, como de productos con descuento (Chile y Argentina)_x000a_Migración a V3 del canal de Xone"/>
    <s v="ALTA"/>
    <s v="LOCAL"/>
    <s v="Proyectos TD 2024"/>
    <s v="CAR"/>
    <m/>
    <m/>
    <s v="Ecuador"/>
    <s v="Daniel Barreno"/>
    <s v="daniel.barreno@kfc.com.ec"/>
    <x v="1"/>
    <s v="APROBADO"/>
    <s v="Finalizado"/>
    <e v="#N/A"/>
    <s v="Q1"/>
    <s v="P23"/>
    <s v="ALTA"/>
    <n v="1"/>
    <n v="8"/>
    <n v="1"/>
    <n v="550"/>
    <m/>
    <n v="5040"/>
    <m/>
    <m/>
    <x v="9"/>
    <d v="2024-02-05T00:00:00"/>
    <d v="2024-02-12T00:00:00"/>
    <n v="7"/>
    <d v="2024-02-12T00:00:00"/>
    <d v="2024-02-19T00:00:00"/>
    <n v="362679"/>
    <d v="2024-02-19T00:00:00"/>
    <d v="2024-02-26T00:00:00"/>
    <d v="2024-02-05T00:00:00"/>
    <d v="2024-02-26T00:00:00"/>
    <n v="2"/>
    <n v="7"/>
    <s v="PROYECTO REGIONAL"/>
    <m/>
    <s v="x"/>
    <m/>
  </r>
  <r>
    <s v="2024"/>
    <x v="1"/>
    <s v="Pickup"/>
    <s v="Inyección V3 - Descuentos Pick up"/>
    <s v="MXP LEGACY_x000a_MXP 2.0_x000a_TRADE"/>
    <s v="Recepción de descuentos desde inyección V3 hacia Pickup en las tiendas"/>
    <s v="ALTA"/>
    <s v="REGIONAL"/>
    <s v="Proyectos TD 2024"/>
    <s v="CAR"/>
    <m/>
    <m/>
    <s v="Colombia"/>
    <s v="Daniel Barreno"/>
    <s v="daniel.barreno@kfc.com.ec"/>
    <x v="1"/>
    <s v="APROBADO"/>
    <s v="En curso"/>
    <m/>
    <s v="Q2"/>
    <s v="p10"/>
    <s v="ALTA"/>
    <n v="1"/>
    <n v="4"/>
    <n v="1"/>
    <n v="550"/>
    <m/>
    <n v="2840"/>
    <m/>
    <m/>
    <x v="7"/>
    <d v="2024-03-11T00:00:00"/>
    <d v="2024-03-18T00:00:00"/>
    <n v="7"/>
    <d v="2024-03-18T00:00:00"/>
    <d v="2024-03-25T00:00:00"/>
    <n v="362959"/>
    <d v="2024-03-25T00:00:00"/>
    <d v="2024-04-01T00:00:00"/>
    <d v="2024-04-01T00:00:00"/>
    <d v="2024-04-29T00:00:00"/>
    <n v="1"/>
    <n v="7"/>
    <s v="PROYECTO REGIONAL"/>
    <m/>
    <s v="x"/>
    <s v="Se tiene un desfase de 1 semana, esto debido a que el QA detectó inconvenientes en los casos de descuento sobre descuento en pickup. Se debe validar si se encuentra corregido el inconveniente hasta el 06/05 y continuar con las pruebas. Por lo que las nuevas fechas de piloto se sugiere que sea 16/05 y despliegue nacional el 27/05"/>
  </r>
  <r>
    <s v="2024"/>
    <x v="1"/>
    <s v="Pickup"/>
    <s v="Inyección V3 - Descuentos Pick up"/>
    <s v="MXP LEGACY_x000a_MXP 2.0_x000a_TRADE"/>
    <s v="Recepción de descuentos desde inyección V3 hacia Pickup en las tiendas"/>
    <s v="ALTA"/>
    <s v="REGIONAL"/>
    <s v="Proyectos TD 2024"/>
    <s v="CAR"/>
    <m/>
    <m/>
    <s v="Venezuela"/>
    <s v="Daniel Barreno"/>
    <s v="daniel.barreno@kfc.com.ec"/>
    <x v="1"/>
    <s v="APROBADO"/>
    <s v="En curso"/>
    <m/>
    <s v="Q2"/>
    <m/>
    <s v="ALTA"/>
    <n v="1"/>
    <n v="4"/>
    <n v="1"/>
    <n v="550"/>
    <m/>
    <n v="2840"/>
    <m/>
    <m/>
    <x v="7"/>
    <d v="2024-03-04T00:00:00"/>
    <d v="2024-03-18T00:00:00"/>
    <n v="14"/>
    <d v="2024-03-18T00:00:00"/>
    <d v="2024-03-25T00:00:00"/>
    <n v="362959"/>
    <d v="2024-03-25T00:00:00"/>
    <d v="2024-04-01T00:00:00"/>
    <d v="2024-04-01T00:00:00"/>
    <d v="2024-04-29T00:00:00"/>
    <n v="1"/>
    <n v="7"/>
    <m/>
    <m/>
    <s v="x"/>
    <s v="En cuanto a pickup se encuentra pendiente por TD cuando se puede continuar. Se debe validar si se requiere pruebas adicionales. Por lo que las nuevas fechas de piloto se sugiere que sea 15/05 y despliegue nacional el 22/05"/>
  </r>
  <r>
    <s v="2024"/>
    <x v="1"/>
    <s v="Cupones"/>
    <s v="Unificación QR Kiosco &amp; Local (Ec)"/>
    <s v="MXP LEGACY_x000a_TRADE"/>
    <s v="_x000a_Unificación de Cupones QR y Online_x000a_Mejorar la densidad de todos los códigos QR"/>
    <s v="BAJA"/>
    <s v="LOCAL"/>
    <s v="Proyectos TD 2024"/>
    <s v="CAR"/>
    <s v="Unificación QR Kiosco &amp; Local (Ec) (new)"/>
    <m/>
    <s v="Ecuador"/>
    <s v="Daniel Barreno"/>
    <s v="daniel.barreno@kfc.com.ec"/>
    <x v="1"/>
    <s v="APROBADO"/>
    <s v="No iniciado"/>
    <e v="#N/A"/>
    <s v="Q2"/>
    <s v="p75"/>
    <s v="MEDIA"/>
    <n v="1"/>
    <n v="2"/>
    <n v="1"/>
    <n v="550"/>
    <m/>
    <n v="1220"/>
    <m/>
    <m/>
    <x v="1"/>
    <d v="2024-03-04T00:00:00"/>
    <d v="2024-04-01T00:00:00"/>
    <n v="28"/>
    <d v="2024-04-01T00:00:00"/>
    <d v="2024-04-08T00:00:00"/>
    <n v="363071"/>
    <d v="2024-04-08T00:00:00"/>
    <d v="2024-04-15T00:00:00"/>
    <d v="2024-05-01T00:00:00"/>
    <d v="2024-05-15T00:00:00"/>
    <n v="0.5"/>
    <n v="7"/>
    <s v="PROYECTO REGIONAL"/>
    <m/>
    <s v="x"/>
    <s v="No se realizó en el sprint 1. Si se prioriza en el sprint 2 se termina a finales de junio"/>
  </r>
  <r>
    <s v="2024"/>
    <x v="1"/>
    <s v="API Inyección v3"/>
    <s v="KFC Fulfillment  Aceptar pago de propinas para el motorizado desde la app"/>
    <s v="MXP LEGACY_x000a_TRADE"/>
    <s v="Recepción de propinas en v3 y Maxpoint "/>
    <s v="BAJA"/>
    <s v="REGIONAL"/>
    <s v="Proyectos TD 2024"/>
    <s v="CAR"/>
    <m/>
    <m/>
    <s v="Ecuador"/>
    <s v="Daniel Barreno"/>
    <s v="daniel.barreno@kfc.com.ec"/>
    <x v="1"/>
    <s v="APROBADO"/>
    <s v="No iniciado"/>
    <s v="Q3"/>
    <s v="Q3"/>
    <s v="p51"/>
    <s v="MEDIA"/>
    <m/>
    <n v="2"/>
    <n v="1"/>
    <n v="550"/>
    <m/>
    <n v="1240"/>
    <m/>
    <m/>
    <x v="11"/>
    <d v="2024-09-02T00:00:00"/>
    <d v="2024-09-16T00:00:00"/>
    <n v="14"/>
    <d v="2024-09-16T00:00:00"/>
    <d v="2024-09-23T00:00:00"/>
    <n v="364415"/>
    <d v="2024-09-23T00:00:00"/>
    <d v="2024-09-30T00:00:00"/>
    <d v="2024-09-01T00:00:00"/>
    <d v="2024-09-15T00:00:00"/>
    <n v="0.5"/>
    <n v="7"/>
    <s v="ECOMERCE"/>
    <m/>
    <s v="x"/>
    <m/>
  </r>
  <r>
    <s v="2024"/>
    <x v="1"/>
    <s v="API Inyección v3"/>
    <s v="KFC Fulfillment  Aceptar pago de propinas para el motorizado desde la app"/>
    <s v="MXP LEGACY_x000a_TRADE"/>
    <s v="Recepción de propinas en v3 y Maxpoint "/>
    <s v="BAJA"/>
    <s v="REGIONAL"/>
    <s v="Proyectos TD 2024"/>
    <s v="CAR"/>
    <m/>
    <m/>
    <s v="Colombia"/>
    <s v="Daniel Barreno"/>
    <s v="daniel.barreno@kfc.com.ec"/>
    <x v="1"/>
    <s v="APROBADO"/>
    <s v="No iniciado"/>
    <s v="Q3"/>
    <s v="Q3"/>
    <s v="p51"/>
    <s v="MEDIA"/>
    <m/>
    <n v="2"/>
    <n v="1"/>
    <n v="550"/>
    <m/>
    <n v="1230"/>
    <m/>
    <m/>
    <x v="11"/>
    <d v="2024-09-02T00:00:00"/>
    <d v="2024-09-16T00:00:00"/>
    <n v="14"/>
    <d v="2024-09-16T00:00:00"/>
    <d v="2024-09-23T00:00:00"/>
    <n v="364415"/>
    <d v="2024-09-23T00:00:00"/>
    <d v="2024-09-30T00:00:00"/>
    <d v="2024-09-01T00:00:00"/>
    <d v="2024-09-15T00:00:00"/>
    <n v="0.5"/>
    <n v="7"/>
    <s v="ECOMERCE"/>
    <m/>
    <s v="x"/>
    <m/>
  </r>
  <r>
    <s v="2024"/>
    <x v="1"/>
    <s v="API Inyección v3"/>
    <s v="KFC Fulfillment  Aceptar pago de propinas para el motorizado desde la app"/>
    <s v="MXP LEGACY_x000a_TRADE"/>
    <s v="Recepción de propinas en v3 y Maxpoint "/>
    <s v="BAJA"/>
    <s v="REGIONAL"/>
    <s v="Proyectos TD 2024"/>
    <s v="CAR"/>
    <m/>
    <m/>
    <s v="Chile"/>
    <s v="Daniel Barreno"/>
    <s v="daniel.barreno@kfc.com.ec"/>
    <x v="1"/>
    <s v="APROBADO"/>
    <s v="No iniciado"/>
    <s v="Q3"/>
    <s v="Q3"/>
    <s v="p51"/>
    <s v="MEDIA"/>
    <m/>
    <n v="2"/>
    <n v="1"/>
    <n v="550"/>
    <m/>
    <n v="1235"/>
    <m/>
    <m/>
    <x v="11"/>
    <d v="2024-09-02T00:00:00"/>
    <d v="2024-09-16T00:00:00"/>
    <n v="14"/>
    <d v="2024-09-16T00:00:00"/>
    <d v="2024-09-23T00:00:00"/>
    <n v="364415"/>
    <d v="2024-09-23T00:00:00"/>
    <d v="2024-09-30T00:00:00"/>
    <d v="2024-09-01T00:00:00"/>
    <d v="2024-09-15T00:00:00"/>
    <n v="0.5"/>
    <n v="7"/>
    <s v="ECOMERCE"/>
    <m/>
    <s v="x"/>
    <m/>
  </r>
  <r>
    <s v="2024"/>
    <x v="1"/>
    <s v="API Inyección v3"/>
    <s v="KFC Fulfillment  Aceptar pago de propinas para el motorizado desde la app"/>
    <s v="MXP LEGACY_x000a_TRADE"/>
    <s v="Recepción de propinas en v3 y Maxpoint "/>
    <s v="BAJA"/>
    <s v="REGIONAL"/>
    <s v="Proyectos TD 2024"/>
    <s v="CAR"/>
    <m/>
    <m/>
    <s v="Venezuela"/>
    <s v="Daniel Barreno"/>
    <s v="daniel.barreno@kfc.com.ec"/>
    <x v="1"/>
    <s v="APROBADO"/>
    <s v="No iniciado"/>
    <s v="Q3"/>
    <s v="Q3"/>
    <s v="p51"/>
    <s v="MEDIA"/>
    <m/>
    <n v="1"/>
    <n v="1"/>
    <n v="550"/>
    <m/>
    <n v="670"/>
    <m/>
    <m/>
    <x v="11"/>
    <d v="2024-09-02T00:00:00"/>
    <d v="2024-09-16T00:00:00"/>
    <n v="14"/>
    <d v="2024-09-16T00:00:00"/>
    <d v="2024-09-23T00:00:00"/>
    <n v="364415"/>
    <d v="2024-09-23T00:00:00"/>
    <d v="2024-09-30T00:00:00"/>
    <d v="2024-09-01T00:00:00"/>
    <d v="2024-09-08T00:00:00"/>
    <n v="0.25"/>
    <n v="7"/>
    <s v="ECOMERCE"/>
    <m/>
    <s v="x"/>
    <m/>
  </r>
  <r>
    <s v="2024"/>
    <x v="1"/>
    <s v="API Inyección v3"/>
    <s v="KFC Fulfillment  Aceptar pago de propinas para el motorizado desde la app"/>
    <s v="MXP LEGACY_x000a_TRADE"/>
    <s v="Recepción de propinas en v3 y Maxpoint "/>
    <s v="BAJA"/>
    <s v="REGIONAL"/>
    <s v="Proyectos TD 2024"/>
    <s v="CAR"/>
    <m/>
    <m/>
    <s v="Argentina"/>
    <s v="Daniel Barreno"/>
    <s v="daniel.barreno@kfc.com.ec"/>
    <x v="1"/>
    <s v="APROBADO"/>
    <s v="No iniciado"/>
    <s v="Q3"/>
    <s v="Q3"/>
    <s v="p51"/>
    <s v="MEDIA"/>
    <m/>
    <n v="1"/>
    <n v="1"/>
    <n v="550"/>
    <m/>
    <n v="670"/>
    <m/>
    <m/>
    <x v="11"/>
    <d v="2024-09-02T00:00:00"/>
    <d v="2024-09-16T00:00:00"/>
    <n v="14"/>
    <d v="2024-09-16T00:00:00"/>
    <d v="2024-09-23T00:00:00"/>
    <n v="364415"/>
    <d v="2024-09-23T00:00:00"/>
    <d v="2024-09-30T00:00:00"/>
    <d v="2024-09-01T00:00:00"/>
    <d v="2024-09-08T00:00:00"/>
    <n v="0.25"/>
    <n v="7"/>
    <s v="ECOMERCE"/>
    <m/>
    <s v="x"/>
    <m/>
  </r>
  <r>
    <s v="2024"/>
    <x v="1"/>
    <s v="Appedir"/>
    <s v="KFC Fulfillment  Appedir flash - de acuerdo a zona de pedido del cliente se active las tiendas mas cercanas y que el envío sea en menos de xxxx minutos "/>
    <s v="MXP LEGACY_x000a_TRADE"/>
    <s v="La App debe detectar el lugar en donde se encuentra el cliente y ofrecer el pedido en menos de 20 minutos."/>
    <s v="BAJA"/>
    <s v="LOCAL"/>
    <s v="Proyectos TD 2024"/>
    <s v="CAR"/>
    <m/>
    <m/>
    <s v="Ecuador"/>
    <s v="Daniel Barreno"/>
    <m/>
    <x v="1"/>
    <s v="APROBADO"/>
    <s v="No iniciado"/>
    <s v="Q3"/>
    <s v="Q4"/>
    <s v="p53"/>
    <s v="BAJA"/>
    <m/>
    <n v="3"/>
    <n v="1"/>
    <n v="550"/>
    <m/>
    <n v="2290"/>
    <m/>
    <m/>
    <x v="3"/>
    <d v="2024-10-07T00:00:00"/>
    <d v="2024-10-07T00:00:00"/>
    <n v="0"/>
    <d v="2024-10-07T00:00:00"/>
    <d v="2024-10-14T00:00:00"/>
    <n v="364583"/>
    <d v="2024-10-21T00:00:00"/>
    <d v="2024-10-28T00:00:00"/>
    <d v="2024-10-01T00:00:00"/>
    <d v="2024-10-22T00:00:00"/>
    <n v="0.75"/>
    <n v="7"/>
    <s v="ECOMERCE"/>
    <m/>
    <s v="x"/>
    <m/>
  </r>
  <r>
    <s v="2024"/>
    <x v="1"/>
    <s v="Appedir"/>
    <s v="KFC Fulfillment  Propinas  Appedir "/>
    <s v="MXP LEGACY_x000a_TRADE"/>
    <s v="La app acepte propinas para motorizados, evaluar si es posible realizar esto con Pediods Ya"/>
    <s v="BAJA"/>
    <s v="LOCAL"/>
    <s v="Proyectos TD 2024"/>
    <s v="CAR"/>
    <m/>
    <m/>
    <s v="Ecuador"/>
    <s v="Daniel Barreno"/>
    <m/>
    <x v="1"/>
    <s v="APROBADO"/>
    <s v="No iniciado"/>
    <s v="Q3"/>
    <s v="Q4"/>
    <s v="p54"/>
    <s v="MEDIA"/>
    <m/>
    <n v="8"/>
    <n v="1"/>
    <n v="550"/>
    <m/>
    <n v="5040"/>
    <m/>
    <m/>
    <x v="8"/>
    <d v="2024-11-04T00:00:00"/>
    <d v="2024-11-25T00:00:00"/>
    <n v="21"/>
    <d v="2024-11-25T00:00:00"/>
    <d v="2024-12-02T00:00:00"/>
    <n v="364975"/>
    <d v="2024-12-02T00:00:00"/>
    <d v="2024-12-09T00:00:00"/>
    <d v="2024-11-01T00:00:00"/>
    <d v="2024-12-27T00:00:00"/>
    <n v="2"/>
    <n v="7"/>
    <s v="ECOMERCE"/>
    <m/>
    <s v="x"/>
    <m/>
  </r>
  <r>
    <s v="2024"/>
    <x v="1"/>
    <s v="Delivery time"/>
    <s v="KFC Fulfillment Campo Delivery time "/>
    <s v="MXP LEGACY_x000a_MXP 2.0_x000a_TRADE"/>
    <s v="Implementacion del Campo delivery time en la sincro de v3 para que se pueda enviar el tiempo de entrega"/>
    <s v="BAJA"/>
    <s v="LOCAL"/>
    <s v="Proyectos TD 2024"/>
    <s v="CAR"/>
    <m/>
    <m/>
    <s v="Ecuador"/>
    <s v="Daniel Barreno"/>
    <s v="daniel.barreno@kfc.com.ec"/>
    <x v="1"/>
    <s v="APROBADO"/>
    <s v="No iniciado"/>
    <s v="Q1"/>
    <s v="Q3"/>
    <s v="p21"/>
    <s v="BAJA"/>
    <n v="1"/>
    <n v="5"/>
    <n v="1"/>
    <n v="550"/>
    <m/>
    <n v="3390"/>
    <m/>
    <m/>
    <x v="10"/>
    <d v="2024-08-12T00:00:00"/>
    <d v="2024-09-02T00:00:00"/>
    <n v="21"/>
    <d v="2024-09-02T00:00:00"/>
    <d v="2024-09-09T00:00:00"/>
    <n v="364303"/>
    <d v="2024-09-09T00:00:00"/>
    <d v="2024-09-16T00:00:00"/>
    <d v="2024-08-01T00:00:00"/>
    <d v="2024-09-05T00:00:00"/>
    <n v="1.25"/>
    <n v="7"/>
    <s v="PROYECTO REGIONAL"/>
    <m/>
    <s v="x"/>
    <m/>
  </r>
  <r>
    <s v="2024"/>
    <x v="1"/>
    <s v="Delivery time"/>
    <s v="KFC Fulfillment Campo Delivery time "/>
    <s v="MXP LEGACY_x000a_MXP 2.0_x000a_TRADE"/>
    <s v="Implementacion del Campo delivery time en la sincro de v3 para que se pueda enviar el tiempo de entrega"/>
    <s v="BAJA"/>
    <s v="REGIONAL"/>
    <s v="Proyectos TD 2024"/>
    <s v="CAR"/>
    <m/>
    <m/>
    <s v="Venezuela"/>
    <s v="Daniel Barreno"/>
    <s v="daniel.barreno@kfc.com.ec"/>
    <x v="1"/>
    <s v="APROBADO"/>
    <s v="No iniciado"/>
    <s v="Q1"/>
    <s v="Q3"/>
    <s v="p21"/>
    <s v="BAJA"/>
    <n v="1"/>
    <n v="3"/>
    <n v="1"/>
    <n v="550"/>
    <m/>
    <n v="2290"/>
    <m/>
    <m/>
    <x v="11"/>
    <d v="2024-09-09T00:00:00"/>
    <d v="2024-09-16T00:00:00"/>
    <n v="7"/>
    <d v="2024-09-16T00:00:00"/>
    <d v="2024-09-23T00:00:00"/>
    <n v="364415"/>
    <d v="2024-09-23T00:00:00"/>
    <d v="2024-09-30T00:00:00"/>
    <d v="2024-09-01T00:00:00"/>
    <d v="2024-09-22T00:00:00"/>
    <n v="0.75"/>
    <n v="7"/>
    <s v="PROYECTO REGIONAL"/>
    <m/>
    <s v="x"/>
    <m/>
  </r>
  <r>
    <s v="2024"/>
    <x v="1"/>
    <s v="Delivery time"/>
    <s v="KFC Fulfillment Campo Delivery time "/>
    <s v="MXP LEGACY_x000a_MXP 2.0_x000a_TRADE"/>
    <s v="Implementacion del Campo delivery time en la sincro de v3 para que se pueda enviar el tiempo de entrega"/>
    <s v="BAJA"/>
    <s v="REGIONAL"/>
    <s v="Proyectos TD 2024"/>
    <s v="CAR"/>
    <m/>
    <m/>
    <s v="Argentina"/>
    <s v="Daniel Barreno"/>
    <s v="daniel.barreno@kfc.com.ec"/>
    <x v="1"/>
    <s v="APROBADO"/>
    <s v="No iniciado"/>
    <s v="Q1"/>
    <s v="Q4"/>
    <s v="p21"/>
    <s v="BAJA"/>
    <n v="1"/>
    <n v="3"/>
    <n v="1"/>
    <n v="550"/>
    <m/>
    <n v="2290"/>
    <m/>
    <m/>
    <x v="3"/>
    <d v="2024-09-09T00:00:00"/>
    <d v="2024-09-16T00:00:00"/>
    <n v="7"/>
    <d v="2024-09-16T00:00:00"/>
    <d v="2024-09-23T00:00:00"/>
    <n v="364415"/>
    <d v="2024-09-23T00:00:00"/>
    <d v="2024-09-30T00:00:00"/>
    <d v="2024-10-01T00:00:00"/>
    <d v="2024-10-22T00:00:00"/>
    <n v="0.75"/>
    <n v="7"/>
    <s v="PROYECTO REGIONAL"/>
    <m/>
    <s v="x"/>
    <m/>
  </r>
  <r>
    <s v="2024"/>
    <x v="1"/>
    <s v="Delivery time"/>
    <s v="KFC Fulfillment Campo Delivery time "/>
    <s v="MXP LEGACY_x000a_MXP 2.0_x000a_TRADE"/>
    <s v="Implementacion del Campo delivery time en la sincro de v3 para que se pueda enviar el tiempo de entrega"/>
    <s v="BAJA"/>
    <s v="REGIONAL"/>
    <s v="Proyectos TD 2024"/>
    <s v="CAR"/>
    <m/>
    <m/>
    <s v="Colombia"/>
    <s v="Daniel Barreno"/>
    <s v="daniel.barreno@kfc.com.ec"/>
    <x v="1"/>
    <s v="APROBADO"/>
    <s v="No iniciado"/>
    <s v="Q1"/>
    <s v="Q3"/>
    <s v="p21"/>
    <s v="BAJA"/>
    <n v="1"/>
    <n v="3"/>
    <n v="1"/>
    <n v="550"/>
    <m/>
    <n v="2290"/>
    <m/>
    <m/>
    <x v="10"/>
    <d v="2024-09-09T00:00:00"/>
    <d v="2024-09-16T00:00:00"/>
    <n v="7"/>
    <d v="2024-09-16T00:00:00"/>
    <d v="2024-09-23T00:00:00"/>
    <n v="364415"/>
    <d v="2024-09-23T00:00:00"/>
    <d v="2024-09-30T00:00:00"/>
    <d v="2024-08-01T00:00:00"/>
    <d v="2024-08-22T00:00:00"/>
    <n v="0.75"/>
    <n v="7"/>
    <s v="PROYECTO REGIONAL"/>
    <m/>
    <s v="x"/>
    <m/>
  </r>
  <r>
    <s v="2024"/>
    <x v="1"/>
    <s v="Delivery time"/>
    <s v="KFC Fulfillment Campo Delivery time "/>
    <s v="MXP LEGACY_x000a_MXP 2.0_x000a_TRADE"/>
    <s v="Implementacion del Campo delivery time en la sincro de v3 para que se pueda enviar el tiempo de entrega"/>
    <s v="BAJA"/>
    <s v="REGIONAL"/>
    <s v="Proyectos TD 2024"/>
    <s v="CAR"/>
    <m/>
    <m/>
    <s v="Chile"/>
    <s v="Daniel Barreno"/>
    <s v="daniel.barreno@kfc.com.ec"/>
    <x v="1"/>
    <s v="APROBADO"/>
    <s v="No iniciado"/>
    <s v="Q1"/>
    <s v="Q4"/>
    <s v="p21"/>
    <s v="BAJA"/>
    <n v="1"/>
    <n v="5"/>
    <n v="1"/>
    <n v="550"/>
    <m/>
    <n v="3390"/>
    <m/>
    <m/>
    <x v="11"/>
    <d v="2024-09-09T00:00:00"/>
    <d v="2024-09-16T00:00:00"/>
    <n v="7"/>
    <d v="2024-09-16T00:00:00"/>
    <d v="2024-09-23T00:00:00"/>
    <n v="364415"/>
    <d v="2024-09-23T00:00:00"/>
    <d v="2024-10-14T00:00:00"/>
    <d v="2024-09-01T00:00:00"/>
    <d v="2024-10-06T00:00:00"/>
    <n v="1.25"/>
    <n v="21"/>
    <s v="PROYECTO REGIONAL"/>
    <m/>
    <s v="x"/>
    <m/>
  </r>
  <r>
    <s v="2024"/>
    <x v="1"/>
    <s v="Pickup"/>
    <s v="KFC Fulfillment Incluir Pickup Curbside (pedir desde el auto en un lote de estacionamiento)"/>
    <s v="MXP LEGACY_x000a_MXP 2.0_x000a_TRADE"/>
    <s v="Recepción de lote de estacionamiento"/>
    <s v="BAJA"/>
    <s v="LOCAL"/>
    <s v="Proyectos TD 2024"/>
    <s v="CAR"/>
    <m/>
    <m/>
    <s v="Ecuador"/>
    <s v="Daniel Barreno"/>
    <s v="daniel.barreno@kfc.com.ec"/>
    <x v="1"/>
    <s v="APROBADO"/>
    <s v="No iniciado"/>
    <s v="Q3"/>
    <s v="Q3"/>
    <s v="p50"/>
    <s v="ALTA"/>
    <m/>
    <n v="8"/>
    <n v="2"/>
    <n v="550"/>
    <m/>
    <n v="9440"/>
    <m/>
    <m/>
    <x v="10"/>
    <d v="2024-08-04T00:00:00"/>
    <d v="2024-09-08T00:00:00"/>
    <n v="35"/>
    <d v="2024-09-08T00:00:00"/>
    <d v="2024-09-15T00:00:00"/>
    <n v="364351"/>
    <d v="2024-09-15T00:00:00"/>
    <d v="2024-09-29T00:00:00"/>
    <d v="2024-08-01T00:00:00"/>
    <d v="2024-09-26T00:00:00"/>
    <n v="2"/>
    <n v="14"/>
    <s v="ECOMERCE"/>
    <m/>
    <s v="x"/>
    <m/>
  </r>
  <r>
    <s v="2024"/>
    <x v="1"/>
    <s v="Pickup"/>
    <s v="KFC Fulfillment Incluir Pickup Tableside (pedir desde la mesa con un número de mesa)"/>
    <s v="MXP LEGACY_x000a_MXP 2.0_x000a_TRADE"/>
    <s v="Recepción de número de mesa "/>
    <s v="MEDIA"/>
    <s v="LOCAL"/>
    <s v="Proyectos TD 2024"/>
    <s v="CAR"/>
    <m/>
    <m/>
    <s v="Ecuador"/>
    <s v="Daniel Barreno"/>
    <s v="daniel.barreno@kfc.com.ec"/>
    <x v="1"/>
    <s v="APROBADO"/>
    <s v="No iniciado"/>
    <s v="Q3"/>
    <s v="Q3"/>
    <s v="p67"/>
    <s v="ALTA"/>
    <m/>
    <n v="7"/>
    <n v="2"/>
    <n v="550"/>
    <m/>
    <n v="8340"/>
    <m/>
    <m/>
    <x v="10"/>
    <d v="2024-08-12T00:00:00"/>
    <d v="2024-09-09T00:00:00"/>
    <n v="28"/>
    <d v="2024-09-09T00:00:00"/>
    <d v="2024-09-23T00:00:00"/>
    <n v="364366"/>
    <d v="2024-09-23T00:00:00"/>
    <d v="2024-09-30T00:00:00"/>
    <d v="2024-08-01T00:00:00"/>
    <d v="2024-09-19T00:00:00"/>
    <n v="1.75"/>
    <n v="7"/>
    <s v="ECOMERCE"/>
    <m/>
    <s v="x"/>
    <m/>
  </r>
  <r>
    <s v="2024"/>
    <x v="1"/>
    <s v="APP"/>
    <s v="KFC Fulfillment KFC Flash* pendiente definición con ops"/>
    <s v="MXP LEGACY_x000a_TRADE"/>
    <s v="Implementar la opción de que por un cargo Extra, el pedido pueda llegar en 20 minutos  / Recibir el campo de costo de envio adicional"/>
    <s v="ALTA"/>
    <s v="LOCAL"/>
    <s v="Proyectos TD 2024"/>
    <s v="CAR"/>
    <m/>
    <m/>
    <s v="Ecuador"/>
    <s v="Daniel Barreno"/>
    <s v="daniel.barreno@kfc.com.ec"/>
    <x v="1"/>
    <s v="APROBADO"/>
    <s v="No iniciado"/>
    <s v="Q2"/>
    <s v="Q3"/>
    <s v="p34"/>
    <s v="ALTA"/>
    <m/>
    <n v="5"/>
    <n v="1"/>
    <n v="550"/>
    <m/>
    <n v="3390"/>
    <m/>
    <m/>
    <x v="0"/>
    <d v="2024-03-18T00:00:00"/>
    <d v="2024-04-08T00:00:00"/>
    <n v="21"/>
    <d v="2024-04-08T00:00:00"/>
    <d v="2024-04-15T00:00:00"/>
    <n v="363127"/>
    <d v="2024-04-15T00:00:00"/>
    <d v="2024-04-22T00:00:00"/>
    <d v="2024-06-01T00:00:00"/>
    <d v="2024-07-06T00:00:00"/>
    <n v="1.25"/>
    <n v="7"/>
    <s v="ECOMERCE"/>
    <m/>
    <m/>
    <m/>
  </r>
  <r>
    <s v="2024"/>
    <x v="1"/>
    <s v="Delivery time"/>
    <s v="KFC Fulfillment Tiempo rango de entrega"/>
    <s v="MXP LEGACY_x000a_MXP 2.0_x000a_TRADE"/>
    <s v="Enviar el rango de entrega de los locales , para que la app pueda indicarle entre que hora le va a llegar el pedido**** dragon tail"/>
    <s v="BAJA"/>
    <s v="LOCAL"/>
    <s v="Proyectos TD 2024"/>
    <s v="CAR"/>
    <m/>
    <m/>
    <s v="Ecuador"/>
    <s v="Daniel Barreno"/>
    <s v="daniel.barreno@kfc.com.ec"/>
    <x v="1"/>
    <s v="APROBADO"/>
    <s v="No iniciado"/>
    <s v="Q3"/>
    <s v="Q3"/>
    <s v="p47"/>
    <s v="ALTA"/>
    <m/>
    <n v="6"/>
    <n v="1"/>
    <n v="550"/>
    <m/>
    <n v="3940"/>
    <m/>
    <m/>
    <x v="10"/>
    <d v="2024-08-19T00:00:00"/>
    <d v="2024-09-02T00:00:00"/>
    <n v="14"/>
    <d v="2024-09-02T00:00:00"/>
    <d v="2024-09-09T00:00:00"/>
    <n v="364303"/>
    <d v="2024-09-09T00:00:00"/>
    <d v="2024-09-16T00:00:00"/>
    <d v="2024-08-01T00:00:00"/>
    <d v="2024-09-12T00:00:00"/>
    <n v="1.5"/>
    <n v="7"/>
    <s v="ECOMERCE"/>
    <m/>
    <m/>
    <m/>
  </r>
  <r>
    <s v="2024"/>
    <x v="1"/>
    <s v="Pickup"/>
    <s v="KFC Fulfillment UI Pickup (ya estoy aquí)"/>
    <s v="MXP LEGACY_x000a_MXP 2.0_x000a_TRADE"/>
    <s v="Receptar el pedido cuando el cliente haya llegado al restaurante "/>
    <s v="MEDIA"/>
    <s v="REGIONAL"/>
    <s v="Proyectos TD 2024"/>
    <s v="CAR"/>
    <m/>
    <m/>
    <s v="Ecuador"/>
    <s v="Daniel Barreno"/>
    <s v="daniel.barreno@kfc.com.ec"/>
    <x v="1"/>
    <s v="APROBADO"/>
    <s v="No iniciado"/>
    <s v="Q3"/>
    <s v="Q3"/>
    <s v="p66"/>
    <s v="ALTA"/>
    <m/>
    <n v="4"/>
    <n v="2"/>
    <n v="550"/>
    <m/>
    <n v="4528"/>
    <m/>
    <m/>
    <x v="10"/>
    <d v="2024-07-29T00:00:00"/>
    <d v="2024-09-02T00:00:00"/>
    <n v="35"/>
    <d v="2024-09-02T00:00:00"/>
    <d v="2024-09-16T00:00:00"/>
    <n v="364310"/>
    <d v="2024-09-16T00:00:00"/>
    <d v="2024-09-23T00:00:00"/>
    <d v="2024-08-01T00:00:00"/>
    <d v="2024-08-29T00:00:00"/>
    <n v="1"/>
    <n v="7"/>
    <s v="ECOMERCE"/>
    <m/>
    <s v="x"/>
    <m/>
  </r>
  <r>
    <s v="2024"/>
    <x v="1"/>
    <s v="Pickup"/>
    <s v="KFC Fulfillment UI Pickup (ya estoy aquí)"/>
    <s v="MXP LEGACY_x000a_MXP 2.0_x000a_TRADE"/>
    <s v="Receptar el pedido cuando el cliente haya llegado al restaurante "/>
    <s v="MEDIA"/>
    <s v="REGIONAL"/>
    <s v="Proyectos TD 2024"/>
    <s v="CAR"/>
    <m/>
    <m/>
    <s v="Colombia"/>
    <s v="Daniel Barreno"/>
    <s v="daniel.barreno@kfc.com.ec"/>
    <x v="1"/>
    <s v="APROBADO"/>
    <s v="No iniciado"/>
    <s v="Q3"/>
    <s v="Q3"/>
    <s v="p66"/>
    <s v="ALTA"/>
    <m/>
    <n v="2"/>
    <n v="2"/>
    <n v="550"/>
    <m/>
    <n v="2328"/>
    <m/>
    <m/>
    <x v="11"/>
    <d v="2024-07-29T00:00:00"/>
    <d v="2024-09-02T00:00:00"/>
    <n v="35"/>
    <d v="2024-09-02T00:00:00"/>
    <d v="2024-09-16T00:00:00"/>
    <n v="364310"/>
    <d v="2024-09-16T00:00:00"/>
    <d v="2024-09-23T00:00:00"/>
    <d v="2024-09-01T00:00:00"/>
    <d v="2024-09-15T00:00:00"/>
    <n v="0.5"/>
    <n v="7"/>
    <s v="ECOMERCE"/>
    <m/>
    <s v="x"/>
    <m/>
  </r>
  <r>
    <s v="2024"/>
    <x v="1"/>
    <s v="Pickup"/>
    <s v="KFC Fulfillment UI Pickup (ya estoy aquí)"/>
    <s v="MXP LEGACY_x000a_MXP 2.0_x000a_TRADE"/>
    <s v="Receptar el pedido cuando el cliente haya llegado al restaurante "/>
    <s v="MEDIA"/>
    <s v="REGIONAL"/>
    <s v="Proyectos TD 2024"/>
    <s v="CAR"/>
    <m/>
    <m/>
    <s v="Chile"/>
    <s v="Daniel Barreno"/>
    <s v="daniel.barreno@kfc.com.ec"/>
    <x v="1"/>
    <s v="APROBADO"/>
    <s v="No iniciado"/>
    <s v="Q3"/>
    <s v="Q3"/>
    <s v="p66"/>
    <s v="ALTA"/>
    <m/>
    <n v="2"/>
    <n v="2"/>
    <n v="550"/>
    <m/>
    <n v="2200"/>
    <m/>
    <m/>
    <x v="11"/>
    <d v="2024-07-29T00:00:00"/>
    <d v="2024-09-02T00:00:00"/>
    <n v="35"/>
    <d v="2024-09-02T00:00:00"/>
    <d v="2024-09-16T00:00:00"/>
    <n v="364310"/>
    <d v="2024-09-16T00:00:00"/>
    <d v="2024-09-23T00:00:00"/>
    <d v="2024-09-01T00:00:00"/>
    <d v="2024-09-15T00:00:00"/>
    <n v="0.5"/>
    <n v="7"/>
    <s v="ECOMERCE"/>
    <m/>
    <s v="x"/>
    <m/>
  </r>
  <r>
    <s v="2024"/>
    <x v="1"/>
    <s v="Pickup"/>
    <s v="KFC Fulfillment UI Pickup (ya estoy aquí)"/>
    <s v="MXP LEGACY_x000a_MXP 2.0_x000a_TRADE"/>
    <s v="Receptar el pedido cuando el cliente haya llegado al restaurante "/>
    <s v="MEDIA"/>
    <s v="REGIONAL"/>
    <s v="Proyectos TD 2024"/>
    <s v="CAR"/>
    <m/>
    <m/>
    <s v="Venezuela"/>
    <s v="Daniel Barreno"/>
    <s v="daniel.barreno@kfc.com.ec"/>
    <x v="1"/>
    <s v="APROBADO"/>
    <s v="No iniciado"/>
    <s v="Q3"/>
    <s v="Q3"/>
    <s v="p66"/>
    <s v="ALTA"/>
    <m/>
    <n v="1"/>
    <n v="2"/>
    <n v="550"/>
    <m/>
    <n v="1260"/>
    <m/>
    <m/>
    <x v="11"/>
    <d v="2024-07-29T00:00:00"/>
    <d v="2024-09-02T00:00:00"/>
    <n v="35"/>
    <d v="2024-09-02T00:00:00"/>
    <d v="2024-09-16T00:00:00"/>
    <n v="364310"/>
    <d v="2024-09-16T00:00:00"/>
    <d v="2024-09-23T00:00:00"/>
    <d v="2024-09-01T00:00:00"/>
    <d v="2024-09-08T00:00:00"/>
    <n v="0.25"/>
    <n v="7"/>
    <s v="ECOMERCE"/>
    <m/>
    <s v="x"/>
    <m/>
  </r>
  <r>
    <s v="2024"/>
    <x v="1"/>
    <s v="Pickup"/>
    <s v="KFC Fulfillment UI Pickup (ya estoy aquí)"/>
    <s v="MXP LEGACY_x000a_MXP 2.0_x000a_TRADE"/>
    <s v="Receptar el pedido cuando el cliente haya llegado al restaurante "/>
    <s v="MEDIA"/>
    <s v="REGIONAL"/>
    <s v="Proyectos TD 2024"/>
    <s v="CAR"/>
    <m/>
    <m/>
    <s v="Argentina"/>
    <s v="Daniel Barreno"/>
    <s v="daniel.barreno@kfc.com.ec"/>
    <x v="1"/>
    <s v="APROBADO"/>
    <s v="No iniciado"/>
    <s v="Q3"/>
    <s v="Q3"/>
    <s v="p66"/>
    <s v="ALTA"/>
    <m/>
    <n v="1"/>
    <n v="2"/>
    <n v="550"/>
    <m/>
    <n v="1260"/>
    <m/>
    <m/>
    <x v="11"/>
    <d v="2024-07-29T00:00:00"/>
    <d v="2024-09-02T00:00:00"/>
    <n v="35"/>
    <d v="2024-09-02T00:00:00"/>
    <d v="2024-09-16T00:00:00"/>
    <n v="364310"/>
    <d v="2024-09-16T00:00:00"/>
    <d v="2024-09-23T00:00:00"/>
    <d v="2024-09-01T00:00:00"/>
    <d v="2024-09-08T00:00:00"/>
    <n v="0.25"/>
    <n v="7"/>
    <s v="ECOMERCE"/>
    <m/>
    <s v="x"/>
    <m/>
  </r>
  <r>
    <s v="2024"/>
    <x v="1"/>
    <s v="Kioscos"/>
    <s v="Kiosco V3 (Nueva Api Tiendas)"/>
    <s v="MXP LEGACY_x000a_TRADE"/>
    <s v="Migracion del canal de kioscos a V3 para poder contar las funcionalidades de cupones, descuentos y propinas"/>
    <s v="ALTA"/>
    <s v="REGIONAL"/>
    <s v="Proyectos TD 2024"/>
    <s v="CAR"/>
    <m/>
    <m/>
    <s v="Chile"/>
    <s v="Daniel Barreno"/>
    <s v="daniel.barreno@kfc.com.ec"/>
    <x v="1"/>
    <s v="APROBADO"/>
    <s v="No iniciado"/>
    <e v="#N/A"/>
    <s v="Q3"/>
    <s v="p20"/>
    <s v="ALTA"/>
    <n v="1"/>
    <n v="6"/>
    <n v="1"/>
    <n v="550"/>
    <m/>
    <n v="3940"/>
    <m/>
    <m/>
    <x v="4"/>
    <d v="2024-03-11T00:00:00"/>
    <d v="2024-05-06T00:00:00"/>
    <n v="56"/>
    <d v="2024-05-06T00:00:00"/>
    <d v="2024-05-20T00:00:00"/>
    <n v="363358"/>
    <d v="2024-05-20T00:00:00"/>
    <d v="2024-06-10T00:00:00"/>
    <d v="2024-07-01T00:00:00"/>
    <d v="2024-08-12T00:00:00"/>
    <n v="1.5"/>
    <n v="21"/>
    <s v="PROYECTO REGIONAL"/>
    <m/>
    <s v="x"/>
    <m/>
  </r>
  <r>
    <s v="2024"/>
    <x v="1"/>
    <s v="Kioscos"/>
    <s v="Kiosco V3 (Nueva Api Tiendas)"/>
    <s v="MXP LEGACY_x000a_TRADE"/>
    <s v="Migracion del canal de kioscos a V3 para poder contar las funcionalidades de cupones, descuentos y propinas"/>
    <s v="ALTA"/>
    <s v="REGIONAL"/>
    <s v="Proyectos TD 2024"/>
    <s v="CAR"/>
    <m/>
    <m/>
    <s v="Colombia"/>
    <s v="Daniel Barreno"/>
    <s v="daniel.barreno@kfc.com.ec"/>
    <x v="1"/>
    <s v="APROBADO"/>
    <s v="No iniciado"/>
    <e v="#N/A"/>
    <s v="Q3"/>
    <s v="p20"/>
    <s v="ALTA"/>
    <n v="1"/>
    <n v="4"/>
    <n v="1"/>
    <n v="550"/>
    <m/>
    <n v="2840"/>
    <m/>
    <m/>
    <x v="10"/>
    <d v="2024-04-29T00:00:00"/>
    <d v="2024-05-13T00:00:00"/>
    <n v="14"/>
    <d v="2024-05-13T00:00:00"/>
    <d v="2024-05-20T00:00:00"/>
    <n v="363407"/>
    <d v="2024-05-20T00:00:00"/>
    <d v="2024-05-27T00:00:00"/>
    <d v="2024-08-13T00:00:00"/>
    <d v="2024-09-10T00:00:00"/>
    <n v="1"/>
    <n v="7"/>
    <s v="PROYECTO REGIONAL"/>
    <m/>
    <s v="x"/>
    <m/>
  </r>
  <r>
    <s v="2024"/>
    <x v="1"/>
    <s v="Kioscos"/>
    <s v="Kiosco V3 (Nueva Api Tiendas)"/>
    <s v="MXP LEGACY_x000a_TRADE"/>
    <s v="Migracion del canal de kioscos a V3 para poder contar las funcionalidades de cupones, descuentos y propinas"/>
    <s v="ALTA"/>
    <s v="REGIONAL"/>
    <s v="Proyectos TD 2024"/>
    <s v="CAR"/>
    <m/>
    <m/>
    <s v="Venezuela"/>
    <s v="Daniel Barreno"/>
    <s v="daniel.barreno@kfc.com.ec"/>
    <x v="1"/>
    <s v="APROBADO"/>
    <s v="No iniciado"/>
    <e v="#N/A"/>
    <s v="Q3"/>
    <s v="p20"/>
    <s v="ALTA"/>
    <n v="1"/>
    <n v="4"/>
    <n v="1"/>
    <n v="550"/>
    <m/>
    <n v="2840"/>
    <m/>
    <m/>
    <x v="10"/>
    <d v="2024-04-29T00:00:00"/>
    <d v="2024-05-13T00:00:00"/>
    <n v="14"/>
    <d v="2024-05-13T00:00:00"/>
    <d v="2024-05-20T00:00:00"/>
    <n v="363407"/>
    <d v="2024-05-20T00:00:00"/>
    <d v="2024-05-27T00:00:00"/>
    <d v="2024-08-13T00:00:00"/>
    <d v="2024-09-10T00:00:00"/>
    <n v="1"/>
    <n v="7"/>
    <s v="PROYECTO REGIONAL"/>
    <m/>
    <s v="x"/>
    <m/>
  </r>
  <r>
    <s v="2024"/>
    <x v="1"/>
    <s v="Kioscos"/>
    <s v="Kiosco V3 (Nueva Api Tiendas)"/>
    <s v="MXP LEGACY_x000a_TRADE"/>
    <s v="Migracion del canal de kioscos a V3 para poder contar las funcionalidades de cupones, descuentos y propinas"/>
    <s v="ALTA"/>
    <s v="REGIONAL"/>
    <s v="Proyectos TD 2024"/>
    <s v="CAR"/>
    <m/>
    <m/>
    <s v="Argentina"/>
    <s v="Daniel Barreno"/>
    <s v="daniel.barreno@kfc.com.ec"/>
    <x v="1"/>
    <s v="APROBADO"/>
    <s v="No iniciado"/>
    <e v="#N/A"/>
    <s v="Q4"/>
    <s v="p20"/>
    <s v="ALTA"/>
    <n v="1"/>
    <n v="4"/>
    <n v="1"/>
    <n v="550"/>
    <m/>
    <n v="2840"/>
    <m/>
    <m/>
    <x v="10"/>
    <d v="2024-04-29T00:00:00"/>
    <d v="2024-05-13T00:00:00"/>
    <n v="14"/>
    <d v="2024-05-13T00:00:00"/>
    <d v="2024-05-20T00:00:00"/>
    <n v="363407"/>
    <d v="2024-05-20T00:00:00"/>
    <d v="2024-05-27T00:00:00"/>
    <d v="2024-09-13T00:00:00"/>
    <d v="2024-10-11T00:00:00"/>
    <n v="1"/>
    <n v="7"/>
    <s v="PROYECTO REGIONAL"/>
    <m/>
    <s v="x"/>
    <m/>
  </r>
  <r>
    <s v="2024"/>
    <x v="1"/>
    <s v="Kioscos"/>
    <s v="Kioskos - Pagos en Efectivo con cambio automatico"/>
    <s v="MXP LEGACY_x000a_TRADE"/>
    <s v="Complemento de kioskos para poder cobrar en efectivo desde el kiosko"/>
    <s v="BAJA"/>
    <s v="LOCAL"/>
    <s v="Proyectos TD 2024"/>
    <s v="CAR"/>
    <m/>
    <m/>
    <s v="Ecuador"/>
    <s v="Vladimir Salazar"/>
    <s v="vladimir.salazar@kfc.com.ec"/>
    <x v="15"/>
    <s v="APROBADO"/>
    <s v="No iniciado"/>
    <s v="Q4"/>
    <s v="Q4"/>
    <s v="p76"/>
    <s v="ALTA"/>
    <m/>
    <n v="10"/>
    <n v="2"/>
    <n v="550"/>
    <m/>
    <n v="11640"/>
    <m/>
    <m/>
    <x v="3"/>
    <d v="2024-10-07T00:00:00"/>
    <d v="2024-11-11T00:00:00"/>
    <n v="35"/>
    <d v="2024-11-11T00:00:00"/>
    <d v="2024-11-25T00:00:00"/>
    <n v="364870"/>
    <d v="2024-11-25T00:00:00"/>
    <d v="2024-12-02T00:00:00"/>
    <d v="2024-10-01T00:00:00"/>
    <d v="2024-12-10T00:00:00"/>
    <n v="2.5"/>
    <n v="7"/>
    <m/>
    <m/>
    <s v="x"/>
    <m/>
  </r>
  <r>
    <s v="2024"/>
    <x v="3"/>
    <m/>
    <s v="LOPDP - Automatización del proceso de revocatoria de uso de datos personales"/>
    <s v="MXP 2.0"/>
    <m/>
    <m/>
    <s v="LOCAL"/>
    <s v="LOPDP"/>
    <s v="CAR"/>
    <m/>
    <m/>
    <s v="Ecuador"/>
    <s v="Alex Ponce"/>
    <s v="alex.ponce@kfc.com.ec"/>
    <x v="11"/>
    <s v="IDENTIFICADO"/>
    <s v="Iniciado "/>
    <m/>
    <s v="Q2"/>
    <m/>
    <s v="BAJA"/>
    <m/>
    <n v="6"/>
    <n v="1"/>
    <n v="550"/>
    <m/>
    <n v="3880"/>
    <m/>
    <m/>
    <x v="7"/>
    <d v="2024-04-01T00:00:00"/>
    <d v="2024-05-20T00:00:00"/>
    <e v="#REF!"/>
    <d v="2024-05-21T00:00:00"/>
    <d v="2024-06-04T00:00:00"/>
    <d v="2895-03-01T00:00:00"/>
    <d v="2024-06-05T00:00:00"/>
    <d v="2024-06-19T00:00:00"/>
    <d v="2024-04-01T00:00:00"/>
    <d v="2024-06-19T00:00:00"/>
    <n v="1.5"/>
    <n v="14"/>
    <m/>
    <m/>
    <m/>
    <m/>
  </r>
  <r>
    <s v="2024"/>
    <x v="4"/>
    <m/>
    <s v="Mejoras B2B: Visualizar Fecha de Vencimiento - Adjuntar Certificado Bancario"/>
    <m/>
    <s v="-visibilizar la columna fecha de vencimiento en el B2B_x000a_-adjunto de certificado bancario obligatorio"/>
    <m/>
    <s v="LOCAL"/>
    <s v="Mejoras B2B - Finanzas"/>
    <s v="CAR"/>
    <m/>
    <m/>
    <s v="Ecuador"/>
    <s v="Amparo Aleman"/>
    <m/>
    <x v="7"/>
    <s v="APROBADO"/>
    <s v="En curso"/>
    <s v="Q2"/>
    <s v="Q1"/>
    <m/>
    <s v="BAJA"/>
    <n v="1"/>
    <n v="1"/>
    <n v="2"/>
    <n v="550"/>
    <m/>
    <n v="1100"/>
    <m/>
    <m/>
    <x v="2"/>
    <d v="2024-02-07T00:00:00"/>
    <d v="2024-02-14T00:00:00"/>
    <n v="7"/>
    <d v="2024-02-14T00:00:00"/>
    <d v="2024-02-14T00:00:00"/>
    <n v="0"/>
    <d v="2024-02-14T00:00:00"/>
    <d v="2024-02-21T00:00:00"/>
    <d v="2024-02-07T00:00:00"/>
    <d v="2024-02-21T00:00:00"/>
    <n v="0.25"/>
    <n v="7"/>
    <m/>
    <m/>
    <m/>
    <m/>
  </r>
  <r>
    <s v="2024"/>
    <x v="1"/>
    <s v="Kioscos"/>
    <s v="Metodo de pago  - Kiosko Integración DEUNA B.P"/>
    <s v="MXP LEGACY_x000a_TRADE"/>
    <s v="Integrar el API Formas de Pago Deuna"/>
    <s v="BAJA"/>
    <s v="LOCAL"/>
    <s v="Proyectos TD 2024"/>
    <s v="CAR"/>
    <m/>
    <m/>
    <s v="Ecuador"/>
    <s v="Daniel Barreno"/>
    <m/>
    <x v="1"/>
    <s v="APROBADO"/>
    <s v="No iniciado"/>
    <m/>
    <s v="Q4"/>
    <m/>
    <s v="BAJA"/>
    <m/>
    <n v="3"/>
    <n v="1"/>
    <n v="550"/>
    <m/>
    <n v="2290"/>
    <m/>
    <m/>
    <x v="8"/>
    <d v="2024-11-04T00:00:00"/>
    <d v="2024-11-11T00:00:00"/>
    <n v="7"/>
    <d v="2024-11-11T00:00:00"/>
    <d v="2024-11-18T00:00:00"/>
    <n v="364863"/>
    <d v="2024-11-18T00:00:00"/>
    <d v="2024-11-25T00:00:00"/>
    <d v="2024-11-01T00:00:00"/>
    <d v="2024-11-22T00:00:00"/>
    <n v="0.75"/>
    <n v="7"/>
    <m/>
    <m/>
    <s v="x"/>
    <m/>
  </r>
  <r>
    <s v="2024"/>
    <x v="1"/>
    <s v="APP"/>
    <s v="Metodo de pago APP"/>
    <s v="MXP LEGACY_x000a_TRADE"/>
    <s v="Habilitar a Maxpoint para que ingrese el pago desde la aplicación con un QR (counter y Kiosco) Chile"/>
    <s v="BAJA"/>
    <s v="REGIONAL"/>
    <s v="Proyectos TD 2024"/>
    <s v="CAR"/>
    <m/>
    <m/>
    <s v="Chile"/>
    <s v="Daniel Barreno"/>
    <m/>
    <x v="1"/>
    <s v="APROBADO"/>
    <s v="No iniciado"/>
    <s v="Q4"/>
    <s v="Q4"/>
    <s v="p72"/>
    <s v="ALTA"/>
    <m/>
    <n v="9"/>
    <n v="1"/>
    <n v="550"/>
    <m/>
    <n v="5590"/>
    <m/>
    <m/>
    <x v="8"/>
    <d v="2024-11-04T00:00:00"/>
    <d v="2024-12-09T00:00:00"/>
    <n v="35"/>
    <d v="2024-12-09T00:00:00"/>
    <d v="2024-12-23T00:00:00"/>
    <n v="365094"/>
    <d v="2024-12-23T00:00:00"/>
    <d v="2025-01-06T00:00:00"/>
    <d v="2024-11-01T00:00:00"/>
    <d v="2025-01-03T00:00:00"/>
    <n v="2.25"/>
    <n v="14"/>
    <s v="ECOMERCE"/>
    <m/>
    <s v="x"/>
    <m/>
  </r>
  <r>
    <n v="2024"/>
    <x v="4"/>
    <m/>
    <s v="Migración Plataforma B2b a Genexus"/>
    <m/>
    <s v="Migrar plataforma B2B a Genexus"/>
    <m/>
    <s v="LOCAL"/>
    <s v="Mejoras B2B - Finanzas"/>
    <s v="CAR"/>
    <m/>
    <m/>
    <s v="Ecuador"/>
    <m/>
    <m/>
    <x v="16"/>
    <s v="APROBADO"/>
    <s v="No iniciado"/>
    <s v="Q3"/>
    <s v="Q3"/>
    <m/>
    <s v="MEDIA"/>
    <n v="0.8"/>
    <n v="4"/>
    <n v="1"/>
    <n v="1600"/>
    <m/>
    <n v="7340"/>
    <m/>
    <m/>
    <x v="2"/>
    <m/>
    <m/>
    <n v="0"/>
    <m/>
    <m/>
    <d v="1899-12-30T00:00:00"/>
    <m/>
    <m/>
    <d v="1899-12-30T00:00:00"/>
    <d v="1899-12-30T00:00:00"/>
    <n v="1"/>
    <n v="0"/>
    <m/>
    <m/>
    <m/>
    <m/>
  </r>
  <r>
    <s v="2024"/>
    <x v="0"/>
    <m/>
    <s v="Modificación Reporte: Administración de facturas"/>
    <m/>
    <s v="Incluir campos en reportes de administración de factura - Filtros Generales: Facturas y equipos POS - Incluir en el reporte de Facturas el estado Equipo Pos _x000a_Incluir en los reportes los estados de Vigente Uilizado y De Baja _x000a_Mostrar información de acuerdo a los filtros seleccionados en los reportes de facturas"/>
    <m/>
    <s v="LOCAL"/>
    <s v="Mejoras Contabilidad"/>
    <s v="CAR"/>
    <m/>
    <m/>
    <s v="Ecuador"/>
    <s v="Ruben Guanolisa"/>
    <s v="ruben.guanoluisa@kfc.com.ec"/>
    <x v="4"/>
    <s v="IDENTIFICADO"/>
    <s v="No iniciado"/>
    <s v="MEDIA"/>
    <s v="Q2"/>
    <m/>
    <s v="BAJA"/>
    <m/>
    <n v="2"/>
    <n v="2"/>
    <n v="400"/>
    <m/>
    <n v="2240"/>
    <m/>
    <m/>
    <x v="0"/>
    <d v="2024-05-27T00:00:00"/>
    <m/>
    <e v="#REF!"/>
    <m/>
    <m/>
    <d v="1899-12-30T00:00:00"/>
    <d v="2024-06-25T00:00:00"/>
    <d v="2024-06-25T00:00:00"/>
    <d v="2024-05-27T00:00:00"/>
    <d v="2024-06-25T00:00:00"/>
    <n v="0.5"/>
    <n v="0"/>
    <m/>
    <m/>
    <m/>
    <m/>
  </r>
  <r>
    <s v="2024"/>
    <x v="0"/>
    <m/>
    <s v="Modificación Reporte: Crédito sin Cupon SIR"/>
    <m/>
    <s v="En el SIR - MODULO CREDITO SIN CUPON, incluir una opción de selección varios clientes"/>
    <m/>
    <s v="LOCAL"/>
    <s v="Mejoras Auditoría"/>
    <s v="CAR"/>
    <m/>
    <m/>
    <s v="Ecuador"/>
    <s v="Vladimir Morillo"/>
    <s v="vladimir.morillo@kfc.com.ec"/>
    <x v="0"/>
    <s v="APROBADO"/>
    <s v="Iniciado "/>
    <n v="2"/>
    <s v="Q2"/>
    <m/>
    <s v="MEDIA"/>
    <m/>
    <n v="2"/>
    <n v="1"/>
    <n v="400"/>
    <m/>
    <n v="1440"/>
    <m/>
    <m/>
    <x v="7"/>
    <d v="2024-04-01T00:00:00"/>
    <d v="2024-05-10T00:00:00"/>
    <e v="#REF!"/>
    <d v="2024-05-14T00:00:00"/>
    <d v="2024-05-21T00:00:00"/>
    <d v="2894-12-28T00:00:00"/>
    <d v="2024-05-15T00:00:00"/>
    <d v="2024-05-15T00:00:00"/>
    <d v="2024-04-01T00:00:00"/>
    <d v="2024-05-15T00:00:00"/>
    <n v="0.5"/>
    <n v="0"/>
    <m/>
    <m/>
    <m/>
    <m/>
  </r>
  <r>
    <s v="2024"/>
    <x v="1"/>
    <s v="Menú V3"/>
    <s v="Modificadores por Default"/>
    <s v="MXP LEGACY_x000a_MXP 2.0_x000a_TRADE"/>
    <s v="Modificadores Por Default Que los modificadores vengan con una opción ya predeterminada, que mxp pueda enviar los modificadores ya establecidos (APP KFC) "/>
    <s v="BAJA"/>
    <s v="LOCAL"/>
    <s v="Proyectos TD 2024"/>
    <s v="CAR"/>
    <m/>
    <m/>
    <s v="Ecuador"/>
    <s v="Daniel Barreno"/>
    <s v="daniel.barreno@kfc.com.ec"/>
    <x v="1"/>
    <s v="APROBADO"/>
    <s v="No iniciado"/>
    <s v="Q3"/>
    <s v="Q3"/>
    <s v="p60"/>
    <s v="MEDIA"/>
    <n v="1"/>
    <n v="4"/>
    <n v="1"/>
    <n v="550"/>
    <m/>
    <n v="2840"/>
    <m/>
    <m/>
    <x v="10"/>
    <d v="2024-08-20T00:00:00"/>
    <d v="2024-09-03T00:00:00"/>
    <n v="14"/>
    <d v="2024-09-03T00:00:00"/>
    <d v="2024-09-10T00:00:00"/>
    <n v="364311"/>
    <d v="2024-09-10T00:00:00"/>
    <d v="2024-09-17T00:00:00"/>
    <d v="2024-08-01T00:00:00"/>
    <d v="2024-08-29T00:00:00"/>
    <n v="1"/>
    <n v="7"/>
    <s v="PROYECTO REGIONAL"/>
    <m/>
    <s v="x"/>
    <m/>
  </r>
  <r>
    <s v="2024"/>
    <x v="1"/>
    <s v="Menú V3"/>
    <s v="Modificadores por Default"/>
    <s v="MXP LEGACY_x000a_MXP 2.0_x000a_TRADE"/>
    <s v="Modificadores Por Default Que los modificadores vengan con una opción ya predeterminada, que mxp pueda enviar los modificadores ya establecidos (APP KFC) "/>
    <s v="BAJA"/>
    <s v="REGIONAL"/>
    <s v="Proyectos TD 2024"/>
    <s v="CAR"/>
    <m/>
    <m/>
    <s v="Colombia"/>
    <s v="Daniel Barreno"/>
    <s v="daniel.barreno@kfc.com.ec"/>
    <x v="1"/>
    <s v="APROBADO"/>
    <s v="No iniciado"/>
    <s v="Q3"/>
    <s v="Q3"/>
    <s v="p60"/>
    <s v="MEDIA"/>
    <n v="1"/>
    <n v="3"/>
    <n v="1"/>
    <n v="550"/>
    <m/>
    <n v="2290"/>
    <m/>
    <m/>
    <x v="11"/>
    <d v="2024-09-10T00:00:00"/>
    <d v="2024-09-17T00:00:00"/>
    <n v="7"/>
    <d v="2024-09-17T00:00:00"/>
    <d v="2024-09-24T00:00:00"/>
    <n v="364423"/>
    <d v="2024-09-24T00:00:00"/>
    <d v="2024-10-01T00:00:00"/>
    <d v="2024-09-01T00:00:00"/>
    <d v="2024-09-22T00:00:00"/>
    <n v="0.75"/>
    <n v="7"/>
    <s v="PROYECTO REGIONAL"/>
    <m/>
    <s v="x"/>
    <m/>
  </r>
  <r>
    <s v="2024"/>
    <x v="1"/>
    <s v="Menú V3"/>
    <s v="Modificadores por Default"/>
    <s v="MXP LEGACY_x000a_MXP 2.0_x000a_TRADE"/>
    <s v="Modificadores Por Default Que los modificadores vengan con una opción ya predeterminada, que mxp pueda enviar los modificadores ya establecidos (APP KFC) "/>
    <s v="BAJA"/>
    <s v="REGIONAL"/>
    <s v="Proyectos TD 2024"/>
    <s v="CAR"/>
    <m/>
    <m/>
    <s v="Chile"/>
    <s v="Daniel Barreno"/>
    <s v="daniel.barreno@kfc.com.ec"/>
    <x v="1"/>
    <s v="APROBADO"/>
    <s v="No iniciado"/>
    <s v="Q3"/>
    <s v="Q4"/>
    <s v="p60"/>
    <s v="MEDIA"/>
    <n v="1"/>
    <n v="5"/>
    <n v="1"/>
    <n v="550"/>
    <m/>
    <n v="3390"/>
    <m/>
    <m/>
    <x v="11"/>
    <d v="2024-09-10T00:00:00"/>
    <d v="2024-09-17T00:00:00"/>
    <n v="7"/>
    <d v="2024-09-17T00:00:00"/>
    <d v="2024-09-24T00:00:00"/>
    <n v="364423"/>
    <d v="2024-09-24T00:00:00"/>
    <d v="2024-10-15T00:00:00"/>
    <d v="2024-09-01T00:00:00"/>
    <d v="2024-10-06T00:00:00"/>
    <n v="1.25"/>
    <n v="21"/>
    <s v="PROYECTO REGIONAL"/>
    <m/>
    <s v="x"/>
    <m/>
  </r>
  <r>
    <s v="2024"/>
    <x v="1"/>
    <s v="Menú V3"/>
    <s v="Modificadores por Default"/>
    <s v="MXP LEGACY_x000a_MXP 2.0_x000a_TRADE"/>
    <s v="Modificadores Por Default Que los modificadores vengan con una opción ya predeterminada, que mxp pueda enviar los modificadores ya establecidos (APP KFC) "/>
    <s v="BAJA"/>
    <s v="REGIONAL"/>
    <s v="Proyectos TD 2024"/>
    <s v="CAR"/>
    <m/>
    <m/>
    <s v="Venezuela"/>
    <s v="Daniel Barreno"/>
    <s v="daniel.barreno@kfc.com.ec"/>
    <x v="1"/>
    <s v="APROBADO"/>
    <s v="No iniciado"/>
    <s v="Q3"/>
    <s v="Q3"/>
    <s v="p60"/>
    <s v="MEDIA"/>
    <n v="1"/>
    <n v="3"/>
    <n v="1"/>
    <n v="550"/>
    <m/>
    <n v="2290"/>
    <m/>
    <m/>
    <x v="11"/>
    <d v="2024-09-10T00:00:00"/>
    <d v="2024-09-17T00:00:00"/>
    <n v="7"/>
    <d v="2024-09-17T00:00:00"/>
    <d v="2024-09-24T00:00:00"/>
    <n v="364423"/>
    <d v="2024-09-24T00:00:00"/>
    <d v="2024-10-01T00:00:00"/>
    <d v="2024-09-01T00:00:00"/>
    <d v="2024-09-22T00:00:00"/>
    <n v="0.75"/>
    <n v="7"/>
    <s v="PROYECTO REGIONAL"/>
    <m/>
    <s v="x"/>
    <m/>
  </r>
  <r>
    <s v="2024"/>
    <x v="1"/>
    <s v="Menú V3"/>
    <s v="Modificadores por Default"/>
    <s v="MXP LEGACY_x000a_MXP 2.0_x000a_TRADE"/>
    <s v="Modificadores Por Default Que los modificadores vengan con una opción ya predeterminada, que mxp pueda enviar los modificadores ya establecidos (APP KFC) "/>
    <s v="BAJA"/>
    <s v="REGIONAL"/>
    <s v="Proyectos TD 2024"/>
    <s v="CAR"/>
    <m/>
    <m/>
    <s v="Argentina"/>
    <s v="Daniel Barreno"/>
    <s v="daniel.barreno@kfc.com.ec"/>
    <x v="1"/>
    <s v="APROBADO"/>
    <s v="No iniciado"/>
    <s v="Q3"/>
    <s v="Q3"/>
    <s v="p60"/>
    <s v="MEDIA"/>
    <n v="1"/>
    <n v="3"/>
    <n v="1"/>
    <n v="550"/>
    <m/>
    <n v="2290"/>
    <m/>
    <m/>
    <x v="11"/>
    <d v="2024-09-10T00:00:00"/>
    <d v="2024-09-17T00:00:00"/>
    <n v="7"/>
    <d v="2024-09-17T00:00:00"/>
    <d v="2024-09-24T00:00:00"/>
    <n v="364423"/>
    <d v="2024-09-24T00:00:00"/>
    <d v="2024-10-01T00:00:00"/>
    <d v="2024-09-01T00:00:00"/>
    <d v="2024-09-22T00:00:00"/>
    <n v="0.75"/>
    <n v="7"/>
    <s v="PROYECTO REGIONAL"/>
    <m/>
    <s v="x"/>
    <m/>
  </r>
  <r>
    <s v="2024"/>
    <x v="0"/>
    <m/>
    <s v="Módulo de Auditoría en SIR"/>
    <m/>
    <s v="Desarrollar un modulo de auditoria en el SIR donde se incorpore. Evaluación Auditoria "/>
    <m/>
    <s v="LOCAL"/>
    <s v="Mejoras Auditoría"/>
    <s v="CAR"/>
    <m/>
    <m/>
    <s v="Ecuador"/>
    <s v="Vladimir Morillo"/>
    <s v="vladimir.morillo@kfc.com.ec"/>
    <x v="0"/>
    <s v="IDENTIFICADO"/>
    <s v="No iniciado"/>
    <n v="3"/>
    <s v="Q3"/>
    <m/>
    <s v="MEDIA"/>
    <m/>
    <n v="4"/>
    <n v="2"/>
    <n v="400"/>
    <m/>
    <n v="3840"/>
    <m/>
    <m/>
    <x v="2"/>
    <d v="2024-06-03T00:00:00"/>
    <d v="2024-06-28T00:00:00"/>
    <e v="#REF!"/>
    <d v="2024-07-02T00:00:00"/>
    <d v="2024-07-09T00:00:00"/>
    <d v="2896-01-24T00:00:00"/>
    <m/>
    <m/>
    <d v="2024-06-03T00:00:00"/>
    <d v="1899-12-30T00:00:00"/>
    <n v="1"/>
    <n v="0"/>
    <s v="Sacrificable"/>
    <m/>
    <m/>
    <m/>
  </r>
  <r>
    <s v="2024"/>
    <x v="7"/>
    <m/>
    <s v="Restructura de manejo de Plu´s y MasterPlu"/>
    <m/>
    <s v="Restructura de manejo de Plu´s y MasterPlu"/>
    <m/>
    <s v="LOCAL"/>
    <s v="Restructura de manejo de Plu´s y MasterPlu"/>
    <s v="CAR"/>
    <m/>
    <m/>
    <s v="Ecuador"/>
    <s v="Verónica Marañon / Renato Loayza"/>
    <s v="veronica.maranon@kfc.com.ec, renato.loayza@kfc.com.ec"/>
    <x v="10"/>
    <s v="IDENTIFICADO"/>
    <s v="No iniciado"/>
    <m/>
    <s v="Q1"/>
    <s v="Validar con la operación si este requerimiento puede esperar a la nueva versión de maxpoint"/>
    <s v="BAJA"/>
    <n v="1"/>
    <n v="5"/>
    <n v="2"/>
    <n v="550"/>
    <m/>
    <n v="5500"/>
    <m/>
    <m/>
    <x v="2"/>
    <m/>
    <m/>
    <d v="1899-12-30T00:00:00"/>
    <m/>
    <m/>
    <d v="1899-12-30T00:00:00"/>
    <m/>
    <m/>
    <d v="1899-12-30T00:00:00"/>
    <d v="1899-12-30T00:00:00"/>
    <n v="1.25"/>
    <n v="0"/>
    <m/>
    <m/>
    <m/>
    <m/>
  </r>
  <r>
    <s v="2024"/>
    <x v="6"/>
    <m/>
    <s v="Repositorio de Proyectos Centralizado"/>
    <m/>
    <s v="Control de Cupos en Fiona, desarrollo de BOT en SAP para Generación de Asientos y Debitos en Rol para Payroll"/>
    <m/>
    <s v="LOCAL"/>
    <m/>
    <s v="CAR"/>
    <m/>
    <m/>
    <s v="Ecuador"/>
    <s v="Rodrigo Burbano"/>
    <m/>
    <x v="14"/>
    <s v="IDENTIFICADO"/>
    <s v="No iniciado"/>
    <m/>
    <m/>
    <m/>
    <s v="MEDIA"/>
    <m/>
    <n v="10"/>
    <n v="1"/>
    <n v="550"/>
    <m/>
    <n v="6140"/>
    <m/>
    <m/>
    <x v="2"/>
    <m/>
    <m/>
    <e v="#REF!"/>
    <m/>
    <m/>
    <d v="1899-12-30T00:00:00"/>
    <m/>
    <m/>
    <d v="1899-12-30T00:00:00"/>
    <d v="1899-12-30T00:00:00"/>
    <n v="2.5"/>
    <n v="0"/>
    <m/>
    <m/>
    <m/>
    <m/>
  </r>
  <r>
    <s v="2024"/>
    <x v="1"/>
    <s v="Appedir"/>
    <s v="Nuevas funcionalidades Up / Cross sell Appedir "/>
    <s v="MXP LEGACY_x000a_TRADE"/>
    <s v="Configurar el envío de menú Upsell y crosssell en APPEDIR"/>
    <s v="MEDIA"/>
    <s v="LOCAL"/>
    <s v="Proyectos TD 2024"/>
    <s v="CAR"/>
    <m/>
    <m/>
    <s v="Ecuador"/>
    <s v="Daniel Barreno"/>
    <s v="daniel.barreno@kfc.com.ec"/>
    <x v="1"/>
    <s v="APROBADO"/>
    <s v="No iniciado"/>
    <s v="Q1"/>
    <s v="Q3"/>
    <m/>
    <s v="MEDIA"/>
    <m/>
    <n v="5"/>
    <n v="1"/>
    <n v="550"/>
    <m/>
    <n v="3390"/>
    <m/>
    <m/>
    <x v="4"/>
    <d v="2024-04-15T00:00:00"/>
    <d v="2024-05-06T00:00:00"/>
    <n v="21"/>
    <d v="2024-05-06T00:00:00"/>
    <d v="2024-05-13T00:00:00"/>
    <n v="363351"/>
    <d v="2024-05-13T00:00:00"/>
    <d v="2024-05-20T00:00:00"/>
    <d v="2024-05-01T00:00:00"/>
    <d v="2024-06-05T00:00:00"/>
    <n v="1.25"/>
    <n v="7"/>
    <s v="ECOMERCE"/>
    <m/>
    <s v="x"/>
    <m/>
  </r>
  <r>
    <s v="2024"/>
    <x v="3"/>
    <m/>
    <s v="Nuevo reporte de retiros, arqueos y desmontajes de usuarios"/>
    <s v="MXP 2.0"/>
    <s v="Generar un reporte en MAX POINT, donde se pueda visulizar los retiros, arqueos y desmotanjes por usuarios. "/>
    <m/>
    <s v="LOCAL"/>
    <s v="Mejoras Maxpoint Auditoría 2024"/>
    <s v="CAR"/>
    <m/>
    <m/>
    <s v="Ecuador"/>
    <s v="Vladimir Morillo"/>
    <s v="vladimir.morillo@kfc.com.ec"/>
    <x v="0"/>
    <s v="IDENTIFICADO"/>
    <s v="No iniciado"/>
    <n v="1"/>
    <s v="Q2"/>
    <m/>
    <s v="BAJA"/>
    <n v="1"/>
    <n v="3"/>
    <n v="1"/>
    <n v="550"/>
    <m/>
    <n v="2230"/>
    <m/>
    <m/>
    <x v="0"/>
    <d v="2024-05-06T00:00:00"/>
    <d v="2024-05-27T00:00:00"/>
    <d v="1900-01-20T00:00:00"/>
    <d v="2024-05-18T00:00:00"/>
    <d v="2024-06-11T00:00:00"/>
    <d v="2895-02-15T00:00:00"/>
    <d v="2024-06-12T00:00:00"/>
    <d v="2024-06-26T00:00:00"/>
    <d v="2024-05-06T00:00:00"/>
    <d v="2024-06-26T00:00:00"/>
    <n v="0.75"/>
    <n v="14"/>
    <m/>
    <m/>
    <m/>
    <m/>
  </r>
  <r>
    <s v="2024"/>
    <x v="3"/>
    <m/>
    <s v="Nuevo Reporte de Ventas Baskin y Cinnabon"/>
    <m/>
    <s v="Al reporte de transacciones MAX POINT,  Incluir UN REPORTE DE LA VENTA DE BASKIN Y CINNABON con todas las transacciones"/>
    <m/>
    <s v="LOCAL"/>
    <s v="Mejoras Maxpoint Auditoría 2024"/>
    <s v="CAR"/>
    <m/>
    <m/>
    <s v="Ecuador"/>
    <s v="Vladimir Morillo"/>
    <s v="vladimir.morillo@kfc.com.ec"/>
    <x v="0"/>
    <s v="IDENTIFICADO"/>
    <s v="No iniciado"/>
    <n v="2"/>
    <s v="Q2"/>
    <m/>
    <s v="BAJA"/>
    <n v="1"/>
    <n v="3"/>
    <n v="1"/>
    <n v="550"/>
    <m/>
    <n v="2230"/>
    <m/>
    <m/>
    <x v="0"/>
    <d v="2024-06-03T00:00:00"/>
    <d v="2024-07-16T00:00:00"/>
    <d v="1900-02-11T00:00:00"/>
    <d v="2024-07-17T00:00:00"/>
    <d v="2024-07-31T00:00:00"/>
    <d v="2896-05-30T00:00:00"/>
    <d v="2024-08-01T00:00:00"/>
    <d v="2024-08-15T00:00:00"/>
    <d v="2024-06-03T00:00:00"/>
    <d v="2024-08-15T00:00:00"/>
    <n v="0.75"/>
    <n v="14"/>
    <m/>
    <m/>
    <m/>
    <m/>
  </r>
  <r>
    <n v="2024"/>
    <x v="4"/>
    <m/>
    <s v="Optimizacion Procesos RPA"/>
    <m/>
    <s v="Mejorar, Optimizar los tableros existentes de RPA"/>
    <m/>
    <s v="LOCAL"/>
    <s v="Mantenimiento procesos RPA"/>
    <s v="CAR"/>
    <m/>
    <m/>
    <s v="Ecuador"/>
    <s v="Amparo Aleman"/>
    <m/>
    <x v="7"/>
    <s v="IDENTIFICADO"/>
    <s v="No iniciado"/>
    <s v="Q3"/>
    <s v="Q3"/>
    <m/>
    <s v="MEDIA"/>
    <n v="1"/>
    <n v="24"/>
    <n v="1"/>
    <n v="150"/>
    <m/>
    <n v="3600"/>
    <m/>
    <m/>
    <x v="2"/>
    <d v="2024-04-01T00:00:00"/>
    <d v="2024-10-31T00:00:00"/>
    <n v="213"/>
    <m/>
    <m/>
    <d v="1899-12-30T00:00:00"/>
    <m/>
    <m/>
    <d v="2024-04-01T00:00:00"/>
    <d v="1899-12-30T00:00:00"/>
    <n v="6"/>
    <n v="0"/>
    <m/>
    <m/>
    <m/>
    <m/>
  </r>
  <r>
    <s v="2024"/>
    <x v="0"/>
    <m/>
    <s v="Órdenes de compra en SIR para proveedores de Inventario (Tesalia, ARCA)"/>
    <s v="Proveedor - Santiago Erazo "/>
    <s v="Creación de ordenes de compra en SIR para proveedores externos, validar integración con proveedor y solicitud de productos por sabores"/>
    <m/>
    <s v="LOCAL"/>
    <s v="Mejoras Contabilidad"/>
    <s v="CAR"/>
    <m/>
    <m/>
    <s v="Ecuador"/>
    <s v="Diego Díaz"/>
    <s v="diego.diaz@kfc.com.ec"/>
    <x v="4"/>
    <s v="IDENTIFICADO"/>
    <s v="No iniciado"/>
    <s v="ALTA"/>
    <s v="Q2"/>
    <m/>
    <s v="MEDIA"/>
    <m/>
    <n v="5"/>
    <n v="2"/>
    <n v="450"/>
    <m/>
    <n v="5140"/>
    <m/>
    <m/>
    <x v="0"/>
    <d v="2024-05-27T00:00:00"/>
    <m/>
    <e v="#REF!"/>
    <m/>
    <m/>
    <d v="1899-12-30T00:00:00"/>
    <m/>
    <m/>
    <d v="2024-05-27T00:00:00"/>
    <d v="1899-12-30T00:00:00"/>
    <n v="1.25"/>
    <n v="0"/>
    <m/>
    <m/>
    <m/>
    <m/>
  </r>
  <r>
    <s v="2023"/>
    <x v="4"/>
    <m/>
    <s v="Pasar mayor contable de SAP a SIR e incluir respaldos digitales"/>
    <m/>
    <m/>
    <m/>
    <s v="LOCAL"/>
    <s v="Respaldo Digital Mayor Contable"/>
    <s v="CAR"/>
    <m/>
    <m/>
    <s v="Ecuador"/>
    <s v="Diego Díaz"/>
    <m/>
    <x v="4"/>
    <s v="APROBADO"/>
    <s v="En curso"/>
    <s v="Q2"/>
    <s v="Q2"/>
    <m/>
    <s v="ALTA"/>
    <n v="1"/>
    <m/>
    <m/>
    <m/>
    <m/>
    <n v="0"/>
    <m/>
    <m/>
    <x v="2"/>
    <m/>
    <m/>
    <n v="0"/>
    <m/>
    <m/>
    <n v="0"/>
    <m/>
    <m/>
    <d v="1899-12-30T00:00:00"/>
    <d v="1899-12-30T00:00:00"/>
    <d v="1899-12-30T00:00:00"/>
    <n v="0"/>
    <m/>
    <m/>
    <m/>
    <m/>
  </r>
  <r>
    <s v="2024"/>
    <x v="2"/>
    <m/>
    <s v="Pedidos Planta: Reclamos Proveedores"/>
    <m/>
    <s v="Generar aplicación para dar seguimiento reclamos a proveedores, conexión con SAP para obtener código de material y código de proveedor"/>
    <m/>
    <s v="LOCAL"/>
    <s v="Calidad Planta"/>
    <s v="CAR"/>
    <m/>
    <m/>
    <s v="Ecuador"/>
    <s v="Verónica Ramos"/>
    <s v="veronica.ramos@kfc.com.ec"/>
    <x v="17"/>
    <s v="IDENTIFICADO"/>
    <s v="No iniciado"/>
    <m/>
    <s v="Q3"/>
    <m/>
    <s v="MEDIA"/>
    <m/>
    <n v="15"/>
    <n v="1"/>
    <n v="550"/>
    <m/>
    <n v="8890"/>
    <m/>
    <m/>
    <x v="2"/>
    <d v="2024-07-01T00:00:00"/>
    <d v="2024-09-14T00:00:00"/>
    <e v="#REF!"/>
    <d v="2024-09-14T00:00:00"/>
    <d v="2024-09-21T00:00:00"/>
    <d v="2897-09-07T00:00:00"/>
    <d v="2024-09-21T00:00:00"/>
    <d v="2024-10-01T00:00:00"/>
    <d v="2024-07-01T00:00:00"/>
    <d v="2024-10-01T00:00:00"/>
    <n v="3.75"/>
    <n v="10"/>
    <m/>
    <m/>
    <m/>
    <m/>
  </r>
  <r>
    <s v="2024"/>
    <x v="1"/>
    <s v="APP"/>
    <s v="Pedidos programados"/>
    <s v="MXP LEGACY_x000a_TRADE"/>
    <s v="Receptar pedidos "/>
    <s v="BAJA"/>
    <s v="REGIONAL"/>
    <s v="Proyectos TD 2024"/>
    <s v="CAR"/>
    <m/>
    <m/>
    <s v="Ecuador"/>
    <s v="Daniel Barreno"/>
    <m/>
    <x v="1"/>
    <s v="APROBADO"/>
    <s v="No iniciado"/>
    <s v="Q3"/>
    <s v="Q4"/>
    <s v="p48"/>
    <s v="ALTA"/>
    <m/>
    <n v="5"/>
    <n v="2"/>
    <n v="550"/>
    <m/>
    <n v="5660"/>
    <m/>
    <m/>
    <x v="3"/>
    <d v="2024-10-21T00:00:00"/>
    <d v="2024-11-25T00:00:00"/>
    <n v="35"/>
    <d v="2024-11-25T00:00:00"/>
    <d v="2024-12-09T00:00:00"/>
    <n v="364982"/>
    <d v="2024-12-09T00:00:00"/>
    <d v="2024-12-16T00:00:00"/>
    <d v="2024-10-01T00:00:00"/>
    <d v="2024-11-05T00:00:00"/>
    <n v="1.25"/>
    <n v="7"/>
    <s v="ECOMERCE"/>
    <m/>
    <m/>
    <m/>
  </r>
  <r>
    <s v="2024"/>
    <x v="1"/>
    <s v="APP"/>
    <s v="Pedidos programados"/>
    <s v="MXP LEGACY_x000a_TRADE"/>
    <s v="Receptar pedidos "/>
    <s v="BAJA"/>
    <s v="REGIONAL"/>
    <s v="Proyectos TD 2024"/>
    <s v="CAR"/>
    <m/>
    <m/>
    <s v="Colombia"/>
    <s v="Daniel Barreno"/>
    <m/>
    <x v="1"/>
    <s v="APROBADO"/>
    <s v="No iniciado"/>
    <s v="Q3"/>
    <s v="Q4"/>
    <s v="p48"/>
    <s v="ALTA"/>
    <m/>
    <n v="2"/>
    <n v="2"/>
    <n v="550"/>
    <m/>
    <n v="2320"/>
    <m/>
    <m/>
    <x v="8"/>
    <d v="2024-10-21T00:00:00"/>
    <d v="2024-11-25T00:00:00"/>
    <n v="35"/>
    <d v="2024-11-25T00:00:00"/>
    <d v="2024-12-09T00:00:00"/>
    <n v="364982"/>
    <d v="2024-12-09T00:00:00"/>
    <d v="2024-12-16T00:00:00"/>
    <d v="2024-11-05T00:00:00"/>
    <d v="2024-11-19T00:00:00"/>
    <n v="0.5"/>
    <n v="7"/>
    <s v="ECOMERCE"/>
    <m/>
    <m/>
    <m/>
  </r>
  <r>
    <s v="2024"/>
    <x v="1"/>
    <s v="APP"/>
    <s v="Pedidos programados"/>
    <s v="MXP LEGACY_x000a_TRADE"/>
    <s v="Receptar pedidos "/>
    <s v="BAJA"/>
    <s v="REGIONAL"/>
    <s v="Proyectos TD 2024"/>
    <s v="CAR"/>
    <m/>
    <m/>
    <s v="Chile"/>
    <s v="Daniel Barreno"/>
    <m/>
    <x v="1"/>
    <s v="APROBADO"/>
    <s v="No iniciado"/>
    <s v="Q3"/>
    <s v="Q4"/>
    <s v="p48"/>
    <s v="ALTA"/>
    <m/>
    <n v="2"/>
    <n v="2"/>
    <n v="550"/>
    <m/>
    <n v="2320"/>
    <m/>
    <m/>
    <x v="8"/>
    <d v="2024-10-21T00:00:00"/>
    <d v="2024-11-25T00:00:00"/>
    <n v="35"/>
    <d v="2024-11-25T00:00:00"/>
    <d v="2024-12-09T00:00:00"/>
    <n v="364982"/>
    <d v="2024-12-09T00:00:00"/>
    <d v="2024-12-16T00:00:00"/>
    <d v="2024-11-20T00:00:00"/>
    <d v="2024-12-04T00:00:00"/>
    <n v="0.5"/>
    <n v="7"/>
    <s v="ECOMERCE"/>
    <m/>
    <m/>
    <m/>
  </r>
  <r>
    <s v="2024"/>
    <x v="1"/>
    <s v="APP"/>
    <s v="Pedidos programados"/>
    <s v="MXP LEGACY_x000a_TRADE"/>
    <s v="Receptar pedidos "/>
    <s v="BAJA"/>
    <s v="REGIONAL"/>
    <s v="Proyectos TD 2024"/>
    <s v="CAR"/>
    <m/>
    <m/>
    <s v="Venezuela"/>
    <s v="Daniel Barreno"/>
    <m/>
    <x v="1"/>
    <s v="APROBADO"/>
    <s v="No iniciado"/>
    <s v="Q3"/>
    <s v="Q4"/>
    <s v="p48"/>
    <s v="ALTA"/>
    <m/>
    <n v="2"/>
    <n v="2"/>
    <n v="550"/>
    <m/>
    <n v="2320"/>
    <m/>
    <m/>
    <x v="8"/>
    <d v="2024-10-21T00:00:00"/>
    <d v="2024-11-25T00:00:00"/>
    <n v="35"/>
    <d v="2024-11-25T00:00:00"/>
    <d v="2024-12-09T00:00:00"/>
    <n v="364982"/>
    <d v="2024-12-09T00:00:00"/>
    <d v="2024-12-16T00:00:00"/>
    <d v="2024-11-20T00:00:00"/>
    <d v="2024-12-04T00:00:00"/>
    <n v="0.5"/>
    <n v="7"/>
    <s v="ECOMERCE"/>
    <m/>
    <m/>
    <m/>
  </r>
  <r>
    <s v="2024"/>
    <x v="1"/>
    <s v="APP"/>
    <s v="Pedidos programados"/>
    <s v="MXP LEGACY_x000a_TRADE"/>
    <s v="Receptar pedidos "/>
    <s v="BAJA"/>
    <s v="REGIONAL"/>
    <s v="Proyectos TD 2024"/>
    <s v="CAR"/>
    <m/>
    <m/>
    <s v="Argentina"/>
    <s v="Daniel Barreno"/>
    <m/>
    <x v="1"/>
    <s v="APROBADO"/>
    <s v="No iniciado"/>
    <s v="Q3"/>
    <s v="Q4"/>
    <s v="p48"/>
    <s v="ALTA"/>
    <m/>
    <n v="1"/>
    <n v="2"/>
    <n v="550"/>
    <m/>
    <n v="1220"/>
    <m/>
    <m/>
    <x v="8"/>
    <d v="2024-10-21T00:00:00"/>
    <d v="2024-11-25T00:00:00"/>
    <n v="35"/>
    <d v="2024-11-25T00:00:00"/>
    <d v="2024-12-09T00:00:00"/>
    <n v="364982"/>
    <d v="2024-12-09T00:00:00"/>
    <d v="2024-12-16T00:00:00"/>
    <d v="2024-11-30T00:00:00"/>
    <d v="2024-12-07T00:00:00"/>
    <n v="0.25"/>
    <n v="7"/>
    <s v="ECOMERCE"/>
    <m/>
    <m/>
    <m/>
  </r>
  <r>
    <s v="2024"/>
    <x v="2"/>
    <m/>
    <s v="Proceso para Firmas Digitales de Contratos"/>
    <m/>
    <s v="Flujo de firma digital para contratos. (Revisar alcance a nivel corporativo) pendiente levantar a fondo, ya existe una herramienta de firma, requiere una licencia Anual y se ha dejado de pagar, se tiene que gestionar retomar este tema, (MERCADEO OTRAS MARCAS)"/>
    <m/>
    <s v="LOCAL"/>
    <s v="Firma Digitales Contratos"/>
    <s v="CAR"/>
    <m/>
    <m/>
    <s v="Ecuador"/>
    <s v="Andres Canelos / Ma. Paula Tapia"/>
    <m/>
    <x v="2"/>
    <s v="IDENTIFICADO"/>
    <s v="No iniciado"/>
    <s v="Q3"/>
    <s v="Q2"/>
    <m/>
    <s v="MEDIA"/>
    <m/>
    <n v="0"/>
    <n v="0"/>
    <n v="0"/>
    <m/>
    <n v="4800"/>
    <m/>
    <m/>
    <x v="2"/>
    <d v="2024-08-14T00:00:00"/>
    <d v="2024-09-14T00:00:00"/>
    <e v="#REF!"/>
    <d v="2024-09-14T00:00:00"/>
    <d v="2024-09-21T00:00:00"/>
    <d v="2897-09-07T00:00:00"/>
    <d v="2024-09-21T00:00:00"/>
    <d v="2024-09-28T00:00:00"/>
    <d v="2024-08-14T00:00:00"/>
    <d v="2024-09-28T00:00:00"/>
    <n v="0"/>
    <n v="7"/>
    <s v="Pendiente Conversar con proveedor"/>
    <m/>
    <m/>
    <m/>
  </r>
  <r>
    <s v="2024"/>
    <x v="4"/>
    <m/>
    <s v="Productos Importados - Reporte de costo de Negociación y variables de Costeo"/>
    <m/>
    <s v="En lugar del costo de negociación se trabaje con: costo de compra,  variables (transporte internacional, aranceles, aduana, bodega, agente afianzado, transporte interno) y  costo final (suma de costo de compra + variables)"/>
    <m/>
    <s v="LOCAL"/>
    <s v="Control Costos Productos Importados"/>
    <s v="CAR"/>
    <m/>
    <m/>
    <s v="Ecuador"/>
    <s v="Juan Carlos Benalcázar"/>
    <m/>
    <x v="5"/>
    <s v="IDENTIFICADO"/>
    <s v="No iniciado"/>
    <s v="Q2"/>
    <s v="Q2"/>
    <m/>
    <s v="ALTA"/>
    <n v="1"/>
    <n v="2"/>
    <n v="1"/>
    <n v="1280"/>
    <m/>
    <n v="2560"/>
    <m/>
    <m/>
    <x v="2"/>
    <d v="2024-04-07T00:00:00"/>
    <d v="2024-05-14T00:00:00"/>
    <n v="37"/>
    <d v="2024-05-14T00:00:00"/>
    <d v="2024-05-21T00:00:00"/>
    <n v="7"/>
    <d v="2024-05-21T00:00:00"/>
    <d v="2024-05-28T00:00:00"/>
    <d v="2024-04-07T00:00:00"/>
    <d v="2024-05-28T00:00:00"/>
    <n v="0.5"/>
    <n v="7"/>
    <m/>
    <m/>
    <m/>
    <m/>
  </r>
  <r>
    <s v="2024"/>
    <x v="1"/>
    <s v="Pickup"/>
    <s v="QA  KFC Fulfillment Incluir Pickup para Autorápido, con un diferente menú"/>
    <s v="MXP LEGACY_x000a_MXP 2.0_x000a_TRADE"/>
    <s v="Envío de menú y recepción en la terminal de autorápido "/>
    <s v="BAJA"/>
    <s v="LOCAL"/>
    <s v="Proyectos TD 2024"/>
    <s v="CAR"/>
    <m/>
    <m/>
    <s v="Ecuador"/>
    <s v="Daniel Barreno"/>
    <s v="daniel.barreno@kfc.com.ec"/>
    <x v="1"/>
    <s v="APROBADO"/>
    <s v="No iniciado"/>
    <s v="Q3"/>
    <s v="Q3"/>
    <s v="p49"/>
    <s v="MEDIA"/>
    <m/>
    <n v="2"/>
    <n v="1"/>
    <n v="550"/>
    <m/>
    <n v="1740"/>
    <m/>
    <m/>
    <x v="10"/>
    <d v="2024-08-19T00:00:00"/>
    <d v="2024-08-19T00:00:00"/>
    <n v="0"/>
    <d v="2024-08-19T00:00:00"/>
    <d v="2024-08-26T00:00:00"/>
    <n v="364191"/>
    <d v="2024-08-26T00:00:00"/>
    <d v="2024-09-02T00:00:00"/>
    <d v="2024-08-01T00:00:00"/>
    <d v="2024-08-15T00:00:00"/>
    <n v="0.5"/>
    <n v="7"/>
    <s v="ECOMERCE"/>
    <m/>
    <s v="x"/>
    <m/>
  </r>
  <r>
    <s v="2024"/>
    <x v="1"/>
    <s v="Appedir"/>
    <s v="QA KFC Fulfillment  Compensaciones  Appedir "/>
    <s v="MXP LEGACY_x000a_TRADE"/>
    <s v="En la App al colocar una queja textual el cdc deberá contactarse y  analizar la misma para realizar una compensación en base al pedido realizado._x000a_Si un cliente ha hecho muchas solicitudes de comida y ha tenido malas experiencias se debe tener todo su historial, con el fin de otorgarle una compensación_x000a_Si el cliente llama a CDC  por mala entrega de comida el cdc debe crear cupones a través del Xone como compensación."/>
    <s v="BAJA"/>
    <s v="LOCAL"/>
    <s v="Proyectos TD 2024"/>
    <s v="CAR"/>
    <m/>
    <m/>
    <s v="Ecuador"/>
    <s v="Daniel Barreno"/>
    <m/>
    <x v="1"/>
    <s v="APROBADO"/>
    <s v="No iniciado"/>
    <s v="Q3"/>
    <s v="Q4"/>
    <s v="p55"/>
    <s v="BAJA"/>
    <m/>
    <n v="1"/>
    <n v="1"/>
    <n v="550"/>
    <m/>
    <n v="1190"/>
    <m/>
    <m/>
    <x v="8"/>
    <d v="2024-11-04T00:00:00"/>
    <d v="2024-11-11T00:00:00"/>
    <n v="7"/>
    <d v="2024-11-11T00:00:00"/>
    <d v="2024-11-18T00:00:00"/>
    <n v="364863"/>
    <d v="2024-11-18T00:00:00"/>
    <d v="2024-11-18T00:00:00"/>
    <d v="2024-11-01T00:00:00"/>
    <d v="2024-11-08T00:00:00"/>
    <n v="0.25"/>
    <n v="0"/>
    <s v="ECOMERCE"/>
    <m/>
    <s v="x"/>
    <m/>
  </r>
  <r>
    <s v="2024"/>
    <x v="1"/>
    <s v="Formas de Pago"/>
    <s v="QA KFC Métodos de Pago"/>
    <s v="MXP LEGACY_x000a_TRADE"/>
    <s v="Implementación OneClick Checkout Chile Transbank; Pruebas y códigos de forma de pago "/>
    <s v="MEDIA"/>
    <s v="LOCAL"/>
    <s v="Proyectos TD 2024"/>
    <s v="CAR"/>
    <m/>
    <m/>
    <s v="Chile"/>
    <s v="Daniel Barreno"/>
    <s v="daniel.barreno@kfc.com.ec"/>
    <x v="1"/>
    <s v="APROBADO"/>
    <s v="No iniciado"/>
    <e v="#N/A"/>
    <s v="Q2"/>
    <m/>
    <s v="BAJA"/>
    <m/>
    <n v="5"/>
    <n v="1"/>
    <n v="550"/>
    <m/>
    <n v="3390"/>
    <m/>
    <m/>
    <x v="0"/>
    <d v="2024-05-28T00:00:00"/>
    <d v="2024-06-04T00:00:00"/>
    <n v="7"/>
    <d v="2024-06-04T00:00:00"/>
    <d v="2024-06-11T00:00:00"/>
    <n v="363583"/>
    <d v="2024-06-11T00:00:00"/>
    <d v="2024-07-02T00:00:00"/>
    <d v="2024-05-01T00:00:00"/>
    <d v="2024-06-05T00:00:00"/>
    <n v="1.25"/>
    <n v="21"/>
    <s v="ECOMERCE"/>
    <m/>
    <s v="x"/>
    <m/>
  </r>
  <r>
    <s v="2024"/>
    <x v="4"/>
    <m/>
    <s v="Realizar cruce de suministros que se encuentran para el débito bancario para evitar cortes y recargos adicionales"/>
    <m/>
    <s v="Hacer el registro con una matriz y revisar el debito con Robot que usa actualmente tesoreria"/>
    <m/>
    <s v="LOCAL"/>
    <s v="RPA: Cruce Suministros"/>
    <s v="CAR"/>
    <m/>
    <m/>
    <s v="Ecuador"/>
    <s v="Diego Díaz "/>
    <m/>
    <x v="4"/>
    <s v="IDENTIFICADO"/>
    <s v="No iniciado"/>
    <s v="Q2"/>
    <s v="Q2"/>
    <m/>
    <s v="MEDIA"/>
    <n v="1"/>
    <n v="4"/>
    <n v="1"/>
    <n v="1600"/>
    <m/>
    <n v="6400"/>
    <m/>
    <m/>
    <x v="2"/>
    <d v="2024-04-07T00:00:00"/>
    <d v="2024-05-07T00:00:00"/>
    <n v="30"/>
    <d v="2024-05-07T00:00:00"/>
    <d v="2024-05-07T00:00:00"/>
    <n v="0"/>
    <d v="2024-05-07T00:00:00"/>
    <d v="2024-05-21T00:00:00"/>
    <d v="2024-04-07T00:00:00"/>
    <d v="2024-05-21T00:00:00"/>
    <n v="1"/>
    <n v="14"/>
    <m/>
    <m/>
    <m/>
    <m/>
  </r>
  <r>
    <s v="2024"/>
    <x v="1"/>
    <s v="Pickup"/>
    <s v="Inyección V3 - Descuentos Pick up"/>
    <s v="MXP LEGACY_x000a_MXP 2.0_x000a_TRADE"/>
    <s v="Recepción de descuentos desde inyección V3 hacia Pickup en las tiendas"/>
    <s v="ALTA"/>
    <s v="REGIONAL"/>
    <s v="Proyectos TD 2024"/>
    <s v="CAR"/>
    <m/>
    <m/>
    <s v="Chile"/>
    <s v="Daniel Barreno"/>
    <s v="daniel.barreno@kfc.com.ec"/>
    <x v="1"/>
    <s v="APROBADO"/>
    <s v="En curso"/>
    <m/>
    <s v="Q2"/>
    <m/>
    <s v="ALTA"/>
    <n v="1"/>
    <n v="6"/>
    <n v="1"/>
    <n v="550"/>
    <m/>
    <n v="3940"/>
    <m/>
    <m/>
    <x v="7"/>
    <d v="2024-03-25T00:00:00"/>
    <d v="2024-04-08T00:00:00"/>
    <n v="14"/>
    <d v="2024-04-08T00:00:00"/>
    <d v="2024-04-15T00:00:00"/>
    <n v="363127"/>
    <d v="2024-04-15T00:00:00"/>
    <d v="2024-05-06T00:00:00"/>
    <d v="2024-04-04T00:00:00"/>
    <d v="2024-05-16T00:00:00"/>
    <n v="1.5"/>
    <n v="21"/>
    <m/>
    <m/>
    <s v="x"/>
    <m/>
  </r>
  <r>
    <s v="2024"/>
    <x v="1"/>
    <s v="Pickup"/>
    <s v="Inyección V3 - Descuentos Pick up"/>
    <s v="MXP LEGACY_x000a_MXP 2.0_x000a_TRADE"/>
    <s v="Recepción de descuentos desde inyección V3 hacia Pickup en las tiendas"/>
    <s v="ALTA"/>
    <s v="REGIONAL"/>
    <s v="Proyectos TD 2024"/>
    <s v="CAR"/>
    <m/>
    <m/>
    <s v="Argentina"/>
    <s v="Daniel Barreno"/>
    <s v="daniel.barreno@kfc.com.ec"/>
    <x v="1"/>
    <s v="APROBADO"/>
    <s v="No iniciado"/>
    <m/>
    <s v="Q2"/>
    <s v="p10"/>
    <s v="ALTA"/>
    <n v="1"/>
    <n v="4"/>
    <n v="1"/>
    <n v="550"/>
    <m/>
    <n v="2840"/>
    <m/>
    <m/>
    <x v="7"/>
    <d v="2024-03-04T00:00:00"/>
    <d v="2024-03-18T00:00:00"/>
    <n v="14"/>
    <d v="2024-03-18T00:00:00"/>
    <d v="2024-03-25T00:00:00"/>
    <n v="362959"/>
    <d v="2024-03-25T00:00:00"/>
    <d v="2024-04-01T00:00:00"/>
    <d v="2024-06-01T00:00:00"/>
    <d v="2024-06-29T00:00:00"/>
    <n v="1"/>
    <n v="7"/>
    <s v="PROYECTO REGIONAL"/>
    <m/>
    <s v="x"/>
    <m/>
  </r>
  <r>
    <s v="2024"/>
    <x v="4"/>
    <m/>
    <s v="Recepción de Pollos por Lotes"/>
    <m/>
    <m/>
    <m/>
    <s v="LOCAL"/>
    <m/>
    <s v="CAR"/>
    <m/>
    <m/>
    <s v="Ecuador"/>
    <s v="Diego Díaz"/>
    <m/>
    <x v="6"/>
    <s v="SUSPENDIDO"/>
    <s v="No iniciado"/>
    <m/>
    <m/>
    <m/>
    <m/>
    <m/>
    <m/>
    <m/>
    <m/>
    <m/>
    <n v="21300"/>
    <m/>
    <m/>
    <x v="2"/>
    <m/>
    <m/>
    <e v="#REF!"/>
    <m/>
    <m/>
    <d v="1899-12-30T00:00:00"/>
    <m/>
    <m/>
    <d v="1899-12-30T00:00:00"/>
    <d v="1899-12-30T00:00:00"/>
    <n v="0"/>
    <n v="0"/>
    <m/>
    <m/>
    <m/>
    <m/>
  </r>
  <r>
    <s v="2024"/>
    <x v="2"/>
    <m/>
    <s v="Reingeniería Payroll"/>
    <m/>
    <s v="Esquema de administración - kfc_x000a_Migración de bases a la nube_x000a_reingeniería funcional_x000a_"/>
    <m/>
    <s v="LOCAL"/>
    <s v="Reingeniería Payroll - Cambio a AKS"/>
    <s v="CAR"/>
    <m/>
    <m/>
    <s v="Ecuador"/>
    <s v="Sabrina Chinchin"/>
    <m/>
    <x v="18"/>
    <s v="IDENTIFICADO"/>
    <s v="No iniciado"/>
    <m/>
    <s v="Q3"/>
    <m/>
    <s v="ALTA"/>
    <m/>
    <n v="8"/>
    <n v="1"/>
    <n v="1000"/>
    <m/>
    <n v="8640"/>
    <m/>
    <m/>
    <x v="2"/>
    <m/>
    <m/>
    <e v="#REF!"/>
    <m/>
    <m/>
    <d v="1899-12-30T00:00:00"/>
    <m/>
    <m/>
    <d v="1899-12-30T00:00:00"/>
    <d v="1899-12-30T00:00:00"/>
    <n v="2"/>
    <n v="0"/>
    <m/>
    <m/>
    <m/>
    <m/>
  </r>
  <r>
    <s v="2024"/>
    <x v="0"/>
    <m/>
    <s v="Reporte de Compras consolidado"/>
    <m/>
    <s v="Reporte consolidado de compras, filtro por proveedor"/>
    <m/>
    <s v="LOCAL"/>
    <s v="Mejoras Contabilidad"/>
    <s v="CAR"/>
    <m/>
    <m/>
    <s v="Ecuador"/>
    <s v="Veronica Suntaxi"/>
    <s v="veronica.suntaxi@kfc.com.ec"/>
    <x v="4"/>
    <s v="IDENTIFICADO"/>
    <s v="Iniciado "/>
    <s v="ALTA"/>
    <s v="Q2"/>
    <m/>
    <s v="BAJA"/>
    <m/>
    <n v="2"/>
    <n v="2"/>
    <n v="400"/>
    <m/>
    <n v="2240"/>
    <m/>
    <m/>
    <x v="7"/>
    <d v="2024-04-01T00:00:00"/>
    <m/>
    <d v="2024-04-09T00:00:00"/>
    <m/>
    <m/>
    <d v="1899-12-30T00:00:00"/>
    <d v="2024-05-15T00:00:00"/>
    <d v="2024-05-15T00:00:00"/>
    <d v="2024-04-01T00:00:00"/>
    <d v="2024-05-15T00:00:00"/>
    <n v="0.5"/>
    <n v="0"/>
    <m/>
    <m/>
    <m/>
    <m/>
  </r>
  <r>
    <s v="2024"/>
    <x v="4"/>
    <m/>
    <s v="Reporte: Anexo de Deuda Bancaria SAP"/>
    <m/>
    <s v="Tesorería, vinculo con SAP, con corte a la fecha ( en línea)"/>
    <m/>
    <s v="LOCAL"/>
    <s v="Desarrollo Reporte Deuda"/>
    <s v="CAR"/>
    <m/>
    <m/>
    <s v="Ecuador"/>
    <s v="Amparo Aleman"/>
    <m/>
    <x v="7"/>
    <s v="IDENTIFICADO"/>
    <s v="No iniciado"/>
    <s v="Q2"/>
    <s v="Q2"/>
    <m/>
    <s v="MEDIA"/>
    <n v="1"/>
    <n v="4"/>
    <n v="1"/>
    <n v="1600"/>
    <m/>
    <n v="7040"/>
    <m/>
    <m/>
    <x v="2"/>
    <d v="2024-03-07T00:00:00"/>
    <d v="2024-05-07T00:00:00"/>
    <n v="61"/>
    <d v="2024-05-07T00:00:00"/>
    <d v="2024-05-14T00:00:00"/>
    <n v="7"/>
    <d v="2024-05-14T00:00:00"/>
    <d v="2024-05-21T00:00:00"/>
    <d v="2024-03-07T00:00:00"/>
    <d v="2024-05-21T00:00:00"/>
    <n v="1"/>
    <n v="7"/>
    <m/>
    <m/>
    <m/>
    <m/>
  </r>
  <r>
    <s v="2024"/>
    <x v="3"/>
    <m/>
    <s v="Restricción de digitación de formas de pago de agregadores"/>
    <s v="MXP 2.0"/>
    <s v="Bloquear la forma de pago de AGREGADORES EN SIR Y MAX POINT (Uber / Rappi / Pedidos Ya /  Appedir). - _x000a_Crear un acceso directo para inyectar ventas cuando se caiga el sistema.  (Solo CDC debería poder hacer inyecciones)_x000a_- Desactivar de manera masiva las formas de pago agregadores y activarlas únicamente en caso de emergencias. Mismo flujo se debe realizar en el portal que utiliza el CDC para realizar las reinyecciones. "/>
    <m/>
    <s v="LOCAL"/>
    <s v="Mejoras Maxpoint Auditoría 2024"/>
    <s v="CAR"/>
    <m/>
    <m/>
    <s v="Ecuador"/>
    <s v="Vladimir Morillo"/>
    <s v="vladimir.morillo@kfc.com.ec"/>
    <x v="0"/>
    <s v="IDENTIFICADO"/>
    <s v="No iniciado"/>
    <n v="1"/>
    <s v="Q2"/>
    <s v="Socializar con auditoría que este proceso ya se encuentra implementado"/>
    <s v="BAJA"/>
    <n v="1"/>
    <n v="4"/>
    <n v="1"/>
    <n v="550"/>
    <m/>
    <n v="2780"/>
    <m/>
    <m/>
    <x v="0"/>
    <d v="2024-06-03T00:00:00"/>
    <d v="2024-06-18T00:00:00"/>
    <d v="1900-01-14T00:00:00"/>
    <d v="2024-06-18T00:00:00"/>
    <d v="2024-06-19T00:00:00"/>
    <d v="2895-09-28T00:00:00"/>
    <d v="2024-06-20T00:00:00"/>
    <d v="2024-06-28T00:00:00"/>
    <d v="2024-06-03T00:00:00"/>
    <d v="2024-06-28T00:00:00"/>
    <n v="1"/>
    <n v="8"/>
    <m/>
    <m/>
    <m/>
    <m/>
  </r>
  <r>
    <s v="2024"/>
    <x v="4"/>
    <m/>
    <s v="RPA: Obtencion Tablas de amortización prestamos Bancarios en empresas relacionadas para Consolidar"/>
    <m/>
    <s v="Analizar solución con RPA"/>
    <m/>
    <s v="LOCAL"/>
    <s v="Consolidacion prestamos intercompany"/>
    <s v="CAR"/>
    <m/>
    <m/>
    <s v="Ecuador"/>
    <s v="Amparo Aleman"/>
    <m/>
    <x v="7"/>
    <s v="IDENTIFICADO"/>
    <s v="No iniciado"/>
    <s v="Q2"/>
    <s v="Q2"/>
    <m/>
    <s v="ALTA"/>
    <n v="1"/>
    <n v="4"/>
    <n v="1"/>
    <n v="1600"/>
    <m/>
    <n v="7040"/>
    <m/>
    <m/>
    <x v="2"/>
    <d v="2024-04-07T00:00:00"/>
    <d v="2024-05-07T00:00:00"/>
    <n v="30"/>
    <d v="2024-05-07T00:00:00"/>
    <d v="2024-05-07T00:00:00"/>
    <n v="0"/>
    <d v="2024-05-07T00:00:00"/>
    <d v="2024-05-21T00:00:00"/>
    <d v="2024-04-07T00:00:00"/>
    <d v="2024-05-21T00:00:00"/>
    <n v="1"/>
    <n v="14"/>
    <m/>
    <m/>
    <m/>
    <m/>
  </r>
  <r>
    <s v="2024"/>
    <x v="4"/>
    <m/>
    <s v="Seguimiento Gestion de Cartera / Gestion de Cobro -SAP"/>
    <m/>
    <m/>
    <m/>
    <s v="LOCAL"/>
    <m/>
    <s v="CAR"/>
    <m/>
    <m/>
    <s v="Ecuador"/>
    <s v="Diego Díaz"/>
    <m/>
    <x v="6"/>
    <s v="SUSPENDIDO"/>
    <s v="No iniciado"/>
    <m/>
    <m/>
    <m/>
    <m/>
    <m/>
    <m/>
    <m/>
    <m/>
    <m/>
    <n v="3300"/>
    <m/>
    <m/>
    <x v="2"/>
    <m/>
    <m/>
    <e v="#REF!"/>
    <m/>
    <m/>
    <d v="1899-12-30T00:00:00"/>
    <m/>
    <m/>
    <d v="1899-12-30T00:00:00"/>
    <d v="1899-12-30T00:00:00"/>
    <n v="0"/>
    <n v="0"/>
    <m/>
    <m/>
    <m/>
    <m/>
  </r>
  <r>
    <s v="2023"/>
    <x v="0"/>
    <m/>
    <s v="Separación del diario de ventas (interfaz locales SIR a SAP)"/>
    <s v="UAT"/>
    <m/>
    <m/>
    <s v="LOCAL"/>
    <s v="Otros - Presupuesto 2023"/>
    <s v="CAR"/>
    <m/>
    <m/>
    <s v="Ecuador"/>
    <s v="Diego Díaz"/>
    <s v="diego.diaz@kfc.com.ec"/>
    <x v="4"/>
    <s v="APROBADO"/>
    <s v="En curso"/>
    <m/>
    <s v="Q2"/>
    <m/>
    <s v="ALTA"/>
    <m/>
    <n v="1"/>
    <n v="4"/>
    <n v="550"/>
    <m/>
    <n v="2200"/>
    <m/>
    <m/>
    <x v="7"/>
    <d v="2024-01-15T00:00:00"/>
    <d v="2024-01-26T00:00:00"/>
    <e v="#REF!"/>
    <d v="2024-03-01T00:00:00"/>
    <d v="2024-03-08T00:00:00"/>
    <d v="2893-05-15T00:00:00"/>
    <d v="2024-04-30T00:00:00"/>
    <m/>
    <d v="2024-01-15T00:00:00"/>
    <d v="1899-12-30T00:00:00"/>
    <n v="0.25"/>
    <n v="-45412"/>
    <m/>
    <m/>
    <m/>
    <m/>
  </r>
  <r>
    <s v="2024"/>
    <x v="2"/>
    <m/>
    <s v="Sistema Aprobaciones OCs: Control de Cupos por Solicitantes e interfaz de CM ( Mercadeo )"/>
    <m/>
    <s v="Limitación en sistema de los valores aprobados para compra en ordenes de compra (Disponible para Jefe de marca)_x000a__x000a_Simplificación de la aprobación de ordenes de compra para mercadeo otras marcas. Permite comparar el mayor de cada marca con los rubros que se están aprobando. y muestra en un solo archivo el desglose del presupuesto en función del gasto ejecutado."/>
    <m/>
    <s v="LOCAL"/>
    <s v="Aprobación orden de compra - Mercadeo"/>
    <s v="CAR"/>
    <m/>
    <m/>
    <s v="Ecuador"/>
    <s v="Verónica Marañon"/>
    <s v="veronica.maranon@kfc.com.ec"/>
    <x v="10"/>
    <s v="IDENTIFICADO"/>
    <s v="No iniciado"/>
    <s v="Q2"/>
    <s v="Q4"/>
    <m/>
    <s v="ALTA"/>
    <n v="1"/>
    <n v="5"/>
    <n v="1"/>
    <n v="550"/>
    <m/>
    <n v="3950"/>
    <m/>
    <m/>
    <x v="2"/>
    <d v="2024-10-01T00:00:00"/>
    <d v="2025-10-07T00:00:00"/>
    <d v="2024-11-01T00:00:00"/>
    <d v="2025-10-07T00:00:00"/>
    <d v="2024-10-14T00:00:00"/>
    <d v="2024-11-07T00:00:00"/>
    <d v="2024-10-21T00:00:00"/>
    <d v="2024-04-21T00:00:00"/>
    <d v="2024-10-01T00:00:00"/>
    <d v="2024-04-21T00:00:00"/>
    <n v="1.25"/>
    <n v="-183"/>
    <m/>
    <m/>
    <m/>
    <m/>
  </r>
  <r>
    <s v="2024"/>
    <x v="2"/>
    <m/>
    <s v="Sistema Aprobaciones OCs: Interfaz con SAP"/>
    <m/>
    <s v="Lo estaba proponiendo Davis N fase 1 (Regional) más ajustes a EC"/>
    <m/>
    <s v="LOCAL"/>
    <s v="Aprobación orden de compra - CAR"/>
    <s v="CAR"/>
    <m/>
    <m/>
    <s v="Ecuador"/>
    <s v="Diego Díaz"/>
    <m/>
    <x v="4"/>
    <s v="IDENTIFICADO"/>
    <s v="No iniciado"/>
    <s v="Q2"/>
    <s v="Q2"/>
    <m/>
    <s v="MEDIA"/>
    <m/>
    <n v="10"/>
    <n v="1"/>
    <n v="550"/>
    <m/>
    <n v="5500"/>
    <m/>
    <m/>
    <x v="2"/>
    <m/>
    <m/>
    <e v="#REF!"/>
    <m/>
    <m/>
    <d v="1899-12-30T00:00:00"/>
    <m/>
    <m/>
    <d v="1899-12-30T00:00:00"/>
    <d v="1899-12-30T00:00:00"/>
    <n v="2.5"/>
    <n v="0"/>
    <m/>
    <m/>
    <m/>
    <m/>
  </r>
  <r>
    <s v="2024"/>
    <x v="1"/>
    <s v="Appedir"/>
    <s v="Smart routing (Recepcion formas de pago)"/>
    <s v="MAX LEGACY_x000a_TRADE"/>
    <s v="Appedir Integración Paymentez Visa y Mastercard Appedir; Kushki Diners y Discover Appedir"/>
    <s v="ALTA"/>
    <s v="LOCAL"/>
    <s v="Proyectos TD 2024"/>
    <s v="CAR"/>
    <m/>
    <m/>
    <s v="Ecuador"/>
    <s v="Daniel Barreno"/>
    <s v="daniel.barreno@kfc.com.ec"/>
    <x v="1"/>
    <s v="APROBADO"/>
    <s v="No iniciado"/>
    <s v="Q1"/>
    <s v="Q2"/>
    <s v="p18"/>
    <s v="MEDIA"/>
    <m/>
    <n v="4"/>
    <n v="1"/>
    <n v="550"/>
    <m/>
    <n v="2200"/>
    <m/>
    <m/>
    <x v="0"/>
    <d v="2024-02-23T00:00:00"/>
    <d v="2024-03-01T00:00:00"/>
    <n v="7"/>
    <d v="2024-03-01T00:00:00"/>
    <d v="2024-03-08T00:00:00"/>
    <n v="362823"/>
    <d v="2024-03-08T00:00:00"/>
    <d v="2024-03-08T00:00:00"/>
    <d v="2024-05-01T00:00:00"/>
    <d v="2024-05-29T00:00:00"/>
    <n v="1"/>
    <n v="0"/>
    <s v="ECOMERCE"/>
    <m/>
    <s v="x"/>
    <m/>
  </r>
  <r>
    <s v="2024"/>
    <x v="4"/>
    <m/>
    <s v="THEOBALD Estabilización de procesamiento y calidad de datos SAP"/>
    <m/>
    <s v="Extracción de información desde SAP con THEOBALD"/>
    <m/>
    <s v="LOCAL"/>
    <s v="Optimizar envío de data a Blob Storage"/>
    <s v="CAR"/>
    <m/>
    <m/>
    <s v="Ecuador"/>
    <s v="Amarilis Loor"/>
    <m/>
    <x v="1"/>
    <s v="IDENTIFICADO"/>
    <s v="No iniciado"/>
    <s v="Q2"/>
    <s v="Q3"/>
    <m/>
    <s v="MEDIA"/>
    <m/>
    <m/>
    <n v="4"/>
    <m/>
    <m/>
    <n v="38400"/>
    <n v="15400"/>
    <m/>
    <x v="2"/>
    <d v="2024-02-07T00:00:00"/>
    <d v="2024-03-28T00:00:00"/>
    <n v="50"/>
    <d v="2024-03-28T00:00:00"/>
    <d v="2024-03-28T00:00:00"/>
    <n v="0"/>
    <m/>
    <m/>
    <d v="2024-02-07T00:00:00"/>
    <d v="1899-12-30T00:00:00"/>
    <n v="0"/>
    <n v="0"/>
    <s v="BI"/>
    <m/>
    <m/>
    <m/>
  </r>
  <r>
    <s v="2024"/>
    <x v="1"/>
    <s v="API Inyección v3"/>
    <s v="Tiempos de Cambios de estado en todos los canales Maxpoint"/>
    <s v="MXP LEGACY_x000a_TRADE"/>
    <s v="Tiempos de Cambios de estado en todos los canales Maxpoint - TRansformación Digital"/>
    <s v="BAJA"/>
    <s v="REGIONAL"/>
    <s v="Funcionalidades Regionales"/>
    <s v="CAR"/>
    <m/>
    <m/>
    <s v="Ecuador"/>
    <s v="Amarilis Loor"/>
    <m/>
    <x v="1"/>
    <s v="APROBADO"/>
    <s v="No iniciado"/>
    <m/>
    <s v="Q4"/>
    <m/>
    <m/>
    <m/>
    <n v="8"/>
    <n v="1"/>
    <n v="550"/>
    <m/>
    <n v="5040"/>
    <m/>
    <m/>
    <x v="3"/>
    <d v="2024-10-07T00:00:00"/>
    <d v="2024-11-11T00:00:00"/>
    <n v="35"/>
    <d v="2024-11-11T00:00:00"/>
    <d v="2024-11-25T00:00:00"/>
    <n v="364870"/>
    <d v="2024-11-25T00:00:00"/>
    <d v="2024-12-02T00:00:00"/>
    <d v="2024-10-01T00:00:00"/>
    <d v="2024-11-26T00:00:00"/>
    <n v="2"/>
    <n v="7"/>
    <s v="BI"/>
    <m/>
    <m/>
    <m/>
  </r>
  <r>
    <s v="2024"/>
    <x v="1"/>
    <s v="Cupones"/>
    <s v="Unificación de Cupones QR y Online"/>
    <s v="MXP LEGACY_x000a_TRADE"/>
    <s v="Mejorar la densidad de todos los códigos QR"/>
    <s v="BAJA"/>
    <s v="REGIONAL"/>
    <s v="Proyectos TD 2024"/>
    <s v="CAR"/>
    <m/>
    <m/>
    <s v="Argentina"/>
    <s v="Daniel Barreno"/>
    <s v="daniel.barreno@kfc.com.ec"/>
    <x v="1"/>
    <s v="APROBADO"/>
    <s v="No iniciado"/>
    <e v="#N/A"/>
    <s v="Q2"/>
    <s v="p75"/>
    <s v="MEDIA"/>
    <n v="1"/>
    <n v="1"/>
    <n v="1"/>
    <n v="550"/>
    <m/>
    <n v="680"/>
    <m/>
    <m/>
    <x v="0"/>
    <d v="2024-04-08T00:00:00"/>
    <d v="2024-04-15T00:00:00"/>
    <n v="7"/>
    <d v="2024-04-15T00:00:00"/>
    <d v="2024-04-22T00:00:00"/>
    <n v="363183"/>
    <d v="2024-04-22T00:00:00"/>
    <d v="2024-04-29T00:00:00"/>
    <d v="2024-06-08T00:00:00"/>
    <d v="2024-06-15T00:00:00"/>
    <n v="0.25"/>
    <n v="7"/>
    <s v="PROYECTO REGIONAL"/>
    <m/>
    <s v="x"/>
    <s v="Validar tiempo con Mike"/>
  </r>
  <r>
    <s v="2024"/>
    <x v="1"/>
    <s v="Cupones"/>
    <s v="Unificación de Cupones QR y Online"/>
    <s v="MXP LEGACY_x000a_TRADE"/>
    <s v="Mejorar la densidad de todos los códigos QR"/>
    <s v="BAJA"/>
    <s v="REGIONAL"/>
    <s v="Proyectos TD 2024"/>
    <s v="CAR"/>
    <m/>
    <m/>
    <s v="Chile"/>
    <s v="Daniel Barreno"/>
    <s v="daniel.barreno@kfc.com.ec"/>
    <x v="1"/>
    <s v="APROBADO"/>
    <s v="No iniciado"/>
    <e v="#N/A"/>
    <s v="Q2"/>
    <s v="p75"/>
    <s v="MEDIA"/>
    <n v="1"/>
    <n v="1"/>
    <n v="1"/>
    <n v="550"/>
    <m/>
    <n v="680"/>
    <m/>
    <m/>
    <x v="0"/>
    <d v="2024-04-08T00:00:00"/>
    <d v="2024-04-15T00:00:00"/>
    <n v="7"/>
    <d v="2024-04-15T00:00:00"/>
    <d v="2024-04-22T00:00:00"/>
    <n v="363183"/>
    <d v="2024-04-22T00:00:00"/>
    <d v="2024-05-13T00:00:00"/>
    <d v="2024-06-08T00:00:00"/>
    <d v="2024-06-15T00:00:00"/>
    <n v="0.25"/>
    <n v="21"/>
    <s v="PROYECTO REGIONAL"/>
    <m/>
    <s v="x"/>
    <s v="Validar tiempo con Mike"/>
  </r>
  <r>
    <s v="2024"/>
    <x v="1"/>
    <s v="Cupones"/>
    <s v="Unificación de Cupones QR y Online"/>
    <s v="MXP LEGACY_x000a_TRADE"/>
    <s v="Mejorar la densidad de todos los códigos QR"/>
    <s v="BAJA"/>
    <s v="REGIONAL"/>
    <s v="Proyectos TD 2024"/>
    <s v="CAR"/>
    <m/>
    <m/>
    <s v="Colombia"/>
    <s v="Daniel Barreno"/>
    <s v="daniel.barreno@kfc.com.ec"/>
    <x v="1"/>
    <s v="APROBADO"/>
    <s v="No iniciado"/>
    <e v="#N/A"/>
    <s v="Q2"/>
    <s v="p75"/>
    <s v="MEDIA"/>
    <n v="1"/>
    <n v="1"/>
    <n v="1"/>
    <n v="550"/>
    <m/>
    <n v="680"/>
    <m/>
    <m/>
    <x v="0"/>
    <d v="2024-04-08T00:00:00"/>
    <d v="2024-04-15T00:00:00"/>
    <n v="7"/>
    <d v="2024-04-15T00:00:00"/>
    <d v="2024-04-22T00:00:00"/>
    <n v="363183"/>
    <d v="2024-04-22T00:00:00"/>
    <d v="2024-04-29T00:00:00"/>
    <d v="2024-06-08T00:00:00"/>
    <d v="2024-06-15T00:00:00"/>
    <n v="0.25"/>
    <n v="7"/>
    <s v="PROYECTO REGIONAL"/>
    <m/>
    <s v="x"/>
    <s v="Validar tiempo con Mike"/>
  </r>
  <r>
    <s v="2024"/>
    <x v="1"/>
    <s v="Cupones"/>
    <s v="Unificación de Cupones QR y Online"/>
    <s v="MXP LEGACY_x000a_TRADE"/>
    <s v="Mejorar la densidad de todos los códigos QR (cambiar)"/>
    <s v="BAJA"/>
    <s v="REGIONAL"/>
    <s v="Proyectos TD 2024"/>
    <s v="CAR"/>
    <m/>
    <m/>
    <s v="Venezuela"/>
    <s v="Daniel Barreno"/>
    <s v="daniel.barreno@kfc.com.ec"/>
    <x v="1"/>
    <s v="APROBADO"/>
    <s v="No iniciado"/>
    <e v="#N/A"/>
    <s v="Q2"/>
    <s v="p75"/>
    <s v="MEDIA"/>
    <n v="1"/>
    <n v="1"/>
    <n v="1"/>
    <n v="550"/>
    <m/>
    <n v="680"/>
    <m/>
    <m/>
    <x v="0"/>
    <d v="2024-04-08T00:00:00"/>
    <d v="2024-04-15T00:00:00"/>
    <n v="7"/>
    <d v="2024-04-15T00:00:00"/>
    <d v="2024-04-22T00:00:00"/>
    <n v="363183"/>
    <d v="2024-04-22T00:00:00"/>
    <d v="2024-04-29T00:00:00"/>
    <d v="2024-06-08T00:00:00"/>
    <d v="2024-06-15T00:00:00"/>
    <n v="0.25"/>
    <n v="7"/>
    <s v="PROYECTO REGIONAL"/>
    <m/>
    <s v="x"/>
    <s v="Validar tiempo con Mike"/>
  </r>
  <r>
    <s v="2024"/>
    <x v="1"/>
    <s v="API Inyección v3"/>
    <s v="Upsell (Analítica)"/>
    <s v="MXP LEGACY_x000a_TRADE"/>
    <s v="Redcibir el TAG upselling dentro de inyección V3, para sistema de Analítica"/>
    <s v="ALTA"/>
    <s v="LOCAL"/>
    <s v="Proyectos TD 2024"/>
    <s v="CAR"/>
    <m/>
    <m/>
    <s v="Ecuador"/>
    <s v="Daniel Barreno"/>
    <s v="daniel.barreno@kfc.com.ec"/>
    <x v="1"/>
    <s v="APROBADO"/>
    <s v="No iniciado"/>
    <s v="Q1"/>
    <s v="Q2"/>
    <s v="p17"/>
    <s v="MEDIA"/>
    <n v="1"/>
    <n v="4"/>
    <n v="1"/>
    <n v="550"/>
    <m/>
    <n v="2840"/>
    <m/>
    <m/>
    <x v="0"/>
    <d v="2024-03-18T00:00:00"/>
    <d v="2024-03-25T00:00:00"/>
    <n v="7"/>
    <d v="2024-03-25T00:00:00"/>
    <d v="2024-04-01T00:00:00"/>
    <n v="363015"/>
    <d v="2024-04-01T00:00:00"/>
    <d v="2024-04-08T00:00:00"/>
    <d v="2024-06-01T00:00:00"/>
    <d v="2024-06-29T00:00:00"/>
    <n v="1"/>
    <n v="7"/>
    <s v="PROYECTO REGIONAL"/>
    <m/>
    <m/>
    <m/>
  </r>
  <r>
    <s v="2024"/>
    <x v="1"/>
    <s v="API Inyección v3"/>
    <s v="Upsell (Analítica)"/>
    <s v="MXP LEGACY_x000a_TRADE"/>
    <s v="Recibir el TAG upselling dentro de inyección V3, para sistema de Analítica"/>
    <s v="ALTA"/>
    <s v="REGIONAL"/>
    <s v="Proyectos TD 2024"/>
    <s v="CAR"/>
    <m/>
    <m/>
    <s v="Chile"/>
    <s v="Daniel Barreno"/>
    <s v="daniel.barreno@kfc.com.ec"/>
    <x v="1"/>
    <s v="APROBADO"/>
    <s v="No iniciado"/>
    <s v="Q1"/>
    <s v="Q3"/>
    <s v="p17"/>
    <s v="MEDIA"/>
    <n v="1"/>
    <n v="3"/>
    <n v="1"/>
    <n v="550"/>
    <m/>
    <n v="2290"/>
    <m/>
    <m/>
    <x v="4"/>
    <d v="2024-04-22T00:00:00"/>
    <d v="2024-05-06T00:00:00"/>
    <n v="14"/>
    <d v="2024-05-06T00:00:00"/>
    <d v="2024-05-13T00:00:00"/>
    <n v="363351"/>
    <d v="2024-05-13T00:00:00"/>
    <d v="2024-05-13T00:00:00"/>
    <d v="2024-07-01T00:00:00"/>
    <d v="2024-07-22T00:00:00"/>
    <n v="0.75"/>
    <n v="0"/>
    <s v="PROYECTO REGIONAL"/>
    <m/>
    <m/>
    <m/>
  </r>
  <r>
    <s v="2024"/>
    <x v="1"/>
    <s v="API Inyección v3"/>
    <s v="Upsell (Analítica)"/>
    <s v="MXP LEGACY_x000a_TRADE"/>
    <s v="Redcibir el TAG upselling dentro de inyección V3, para sistema de Analítica"/>
    <s v="ALTA"/>
    <s v="REGIONAL"/>
    <s v="Proyectos TD 2024"/>
    <s v="CAR"/>
    <m/>
    <m/>
    <s v="Colombia"/>
    <s v="Daniel Barreno"/>
    <s v="daniel.barreno@kfc.com.ec"/>
    <x v="1"/>
    <s v="APROBADO"/>
    <s v="No iniciado"/>
    <s v="Q1"/>
    <s v="Q3"/>
    <s v="p17"/>
    <s v="MEDIA"/>
    <n v="1"/>
    <n v="2"/>
    <n v="1"/>
    <n v="550"/>
    <m/>
    <n v="1740"/>
    <m/>
    <m/>
    <x v="4"/>
    <d v="2024-03-25T00:00:00"/>
    <d v="2024-04-01T00:00:00"/>
    <n v="7"/>
    <d v="2024-04-01T00:00:00"/>
    <d v="2024-04-08T00:00:00"/>
    <n v="363071"/>
    <d v="2024-05-13T00:00:00"/>
    <d v="2024-04-08T00:00:00"/>
    <d v="2024-07-15T00:00:00"/>
    <d v="2024-07-29T00:00:00"/>
    <n v="0.5"/>
    <n v="-35"/>
    <s v="PROYECTO REGIONAL"/>
    <m/>
    <m/>
    <m/>
  </r>
  <r>
    <s v="2024"/>
    <x v="1"/>
    <s v="API Inyección v3"/>
    <s v="Upsell (Analítica)"/>
    <s v="MXP LEGACY_x000a_TRADE"/>
    <s v="Recibir el TAG upselling dentro de inyección V3, para sistema de Analítica"/>
    <s v="ALTA"/>
    <s v="REGIONAL"/>
    <s v="Proyectos TD 2024"/>
    <s v="CAR"/>
    <m/>
    <m/>
    <s v="Argentina"/>
    <s v="Daniel Barreno"/>
    <s v="daniel.barreno@kfc.com.ec"/>
    <x v="1"/>
    <s v="APROBADO"/>
    <s v="No iniciado"/>
    <s v="Q1"/>
    <s v="Q3"/>
    <s v="p17"/>
    <s v="MEDIA"/>
    <n v="1"/>
    <n v="2"/>
    <n v="1"/>
    <n v="550"/>
    <m/>
    <n v="1740"/>
    <m/>
    <m/>
    <x v="10"/>
    <d v="2024-05-20T00:00:00"/>
    <d v="2024-05-27T00:00:00"/>
    <n v="7"/>
    <d v="2024-05-27T00:00:00"/>
    <d v="2024-06-03T00:00:00"/>
    <n v="363519"/>
    <d v="2024-06-03T00:00:00"/>
    <d v="2024-06-03T00:00:00"/>
    <d v="2024-08-01T00:00:00"/>
    <d v="2024-08-15T00:00:00"/>
    <n v="0.5"/>
    <n v="0"/>
    <s v="PROYECTO REGIONAL"/>
    <m/>
    <m/>
    <m/>
  </r>
  <r>
    <s v="2024"/>
    <x v="1"/>
    <s v="API Inyección v3"/>
    <s v="Upsell (Analítica)"/>
    <s v="MXP LEGACY_x000a_TRADE"/>
    <s v="Redcibir el TAG upselling dentro de inyección V3, para sistema de Analítica"/>
    <s v="ALTA"/>
    <s v="REGIONAL"/>
    <s v="Proyectos TD 2024"/>
    <s v="CAR"/>
    <m/>
    <m/>
    <s v="Venezuela"/>
    <s v="Daniel Barreno"/>
    <s v="daniel.barreno@kfc.com.ec"/>
    <x v="1"/>
    <s v="APROBADO"/>
    <s v="No iniciado"/>
    <s v="Q1"/>
    <s v="Q3"/>
    <s v="p17"/>
    <s v="MEDIA"/>
    <n v="1"/>
    <n v="2"/>
    <n v="1"/>
    <n v="550"/>
    <m/>
    <n v="1740"/>
    <m/>
    <m/>
    <x v="10"/>
    <d v="2024-05-06T00:00:00"/>
    <d v="2024-05-20T00:00:00"/>
    <n v="14"/>
    <d v="2024-05-20T00:00:00"/>
    <d v="2024-05-27T00:00:00"/>
    <n v="363463"/>
    <d v="2024-05-27T00:00:00"/>
    <d v="2024-05-27T00:00:00"/>
    <d v="2024-08-16T00:00:00"/>
    <d v="2024-08-30T00:00:00"/>
    <n v="0.5"/>
    <n v="0"/>
    <s v="PROYECTO REGIONAL"/>
    <m/>
    <m/>
    <m/>
  </r>
  <r>
    <s v="2023"/>
    <x v="0"/>
    <m/>
    <s v="Usos y Consumos: Sobrantes y Faltantes"/>
    <s v="N/A"/>
    <s v="Segmentación de Sobrantes y Faltantes en el Reporte SIR: USOS Y CONSUMOS MERMAS."/>
    <m/>
    <s v="LOCAL"/>
    <s v="Otros - Presupuesto 2023"/>
    <s v="CAR"/>
    <m/>
    <m/>
    <s v="Ecuador"/>
    <s v="Vladimir Morillo"/>
    <s v="vladimir.morillo@kfc.com.ec"/>
    <x v="0"/>
    <s v="APROBADO"/>
    <s v="Finalizado"/>
    <n v="1"/>
    <s v="Q1"/>
    <m/>
    <s v="BAJA"/>
    <m/>
    <m/>
    <m/>
    <m/>
    <m/>
    <m/>
    <m/>
    <m/>
    <x v="5"/>
    <d v="2024-01-01T00:00:00"/>
    <d v="2024-01-21T00:00:00"/>
    <e v="#REF!"/>
    <d v="2024-01-21T00:00:00"/>
    <d v="2024-02-21T00:00:00"/>
    <d v="2892-07-23T00:00:00"/>
    <d v="2024-02-21T00:00:00"/>
    <d v="2024-02-28T00:00:00"/>
    <d v="2024-01-01T00:00:00"/>
    <d v="2024-02-28T00:00:00"/>
    <n v="0"/>
    <n v="7"/>
    <m/>
    <m/>
    <m/>
    <m/>
  </r>
  <r>
    <s v="2024"/>
    <x v="3"/>
    <m/>
    <s v="Visualización resaltada en notas de crédito por concepto de cambio de datos"/>
    <s v="MXP 2.0"/>
    <s v="Resaltar NC en Maxpoint que sean por CAMBIO DE DATOS"/>
    <m/>
    <s v="LOCAL"/>
    <s v="Mejoras Maxpoint Auditoría 2024"/>
    <s v="CAR"/>
    <m/>
    <m/>
    <s v="Ecuador"/>
    <s v="Vladimir Morillo"/>
    <s v="vladimir.morillo@kfc.com.ec"/>
    <x v="0"/>
    <s v="IDENTIFICADO"/>
    <s v="No iniciado"/>
    <n v="2"/>
    <s v="Q2"/>
    <m/>
    <s v="BAJA"/>
    <n v="1"/>
    <n v="1"/>
    <n v="2"/>
    <n v="550"/>
    <m/>
    <n v="1680"/>
    <m/>
    <m/>
    <x v="0"/>
    <d v="2024-06-03T00:00:00"/>
    <d v="2024-06-10T00:00:00"/>
    <d v="1900-01-06T00:00:00"/>
    <d v="2024-06-11T00:00:00"/>
    <d v="2024-06-25T00:00:00"/>
    <d v="2895-08-16T00:00:00"/>
    <d v="2024-06-26T00:00:00"/>
    <d v="2024-07-10T00:00:00"/>
    <d v="2024-06-03T00:00:00"/>
    <d v="2024-07-10T00:00:00"/>
    <n v="0.25"/>
    <n v="14"/>
    <m/>
    <m/>
    <m/>
    <m/>
  </r>
  <r>
    <s v="2024"/>
    <x v="0"/>
    <m/>
    <s v="Administración Artículos -  Validación de campos"/>
    <m/>
    <m/>
    <m/>
    <m/>
    <s v="Mantenimiento"/>
    <s v="DSI"/>
    <m/>
    <m/>
    <s v="Ecuador"/>
    <s v="Vanessa Soria"/>
    <s v="vanessa.soria@degasa.cl"/>
    <x v="16"/>
    <s v="APROBADO"/>
    <s v="No iniciado"/>
    <m/>
    <s v="Q3"/>
    <m/>
    <s v="BAJA"/>
    <m/>
    <n v="2"/>
    <n v="2"/>
    <n v="400"/>
    <m/>
    <n v="2240"/>
    <m/>
    <m/>
    <x v="2"/>
    <d v="2024-09-02T00:00:00"/>
    <d v="2024-09-17T00:00:00"/>
    <e v="#REF!"/>
    <d v="2024-09-24T00:00:00"/>
    <d v="2024-09-30T00:00:00"/>
    <d v="2897-11-25T00:00:00"/>
    <m/>
    <m/>
    <d v="2024-09-02T00:00:00"/>
    <d v="1899-12-30T00:00:00"/>
    <n v="0.5"/>
    <n v="0"/>
    <m/>
    <m/>
    <m/>
    <m/>
  </r>
  <r>
    <s v="2024"/>
    <x v="0"/>
    <m/>
    <s v="Administración cuentas de banco"/>
    <m/>
    <m/>
    <m/>
    <s v="LOCAL"/>
    <s v="Mantenimiento"/>
    <s v="DSI"/>
    <m/>
    <m/>
    <s v="Ecuador"/>
    <s v="Vanessa Soria"/>
    <s v="vanessa.soria@degasa.cl"/>
    <x v="16"/>
    <s v="APROBADO"/>
    <s v="No iniciado"/>
    <m/>
    <s v="Q2"/>
    <m/>
    <s v="BAJA"/>
    <m/>
    <n v="2"/>
    <n v="2"/>
    <n v="400"/>
    <m/>
    <n v="2240"/>
    <m/>
    <m/>
    <x v="1"/>
    <d v="2024-05-13T00:00:00"/>
    <d v="2024-05-17T00:00:00"/>
    <e v="#REF!"/>
    <d v="2024-05-21T00:00:00"/>
    <d v="2024-05-28T00:00:00"/>
    <d v="2895-02-22T00:00:00"/>
    <d v="2024-06-04T00:00:00"/>
    <d v="2024-06-04T00:00:00"/>
    <d v="2024-05-13T00:00:00"/>
    <d v="2024-06-04T00:00:00"/>
    <n v="0.5"/>
    <n v="0"/>
    <m/>
    <m/>
    <m/>
    <m/>
  </r>
  <r>
    <s v="2024"/>
    <x v="0"/>
    <m/>
    <s v="Administración de Tarjetas crédito Kioskos"/>
    <m/>
    <m/>
    <m/>
    <s v="REGIONAL*"/>
    <s v="Mantenimiento"/>
    <s v="DSI"/>
    <m/>
    <m/>
    <s v="Ecuador"/>
    <s v="Vanessa Soria"/>
    <s v="vanessa.soria@degasa.cl"/>
    <x v="16"/>
    <s v="APROBADO"/>
    <s v="No iniciado"/>
    <m/>
    <s v="Q4"/>
    <m/>
    <s v="BAJA"/>
    <m/>
    <n v="2"/>
    <n v="2"/>
    <n v="400"/>
    <m/>
    <n v="2240"/>
    <m/>
    <m/>
    <x v="2"/>
    <d v="2024-10-14T00:00:00"/>
    <d v="2024-10-25T00:00:00"/>
    <e v="#REF!"/>
    <d v="2024-10-29T00:00:00"/>
    <d v="2024-11-05T00:00:00"/>
    <d v="2898-09-02T00:00:00"/>
    <m/>
    <m/>
    <d v="2024-10-14T00:00:00"/>
    <d v="1899-12-30T00:00:00"/>
    <n v="0.5"/>
    <n v="0"/>
    <m/>
    <m/>
    <m/>
    <m/>
  </r>
  <r>
    <s v="2024"/>
    <x v="0"/>
    <m/>
    <s v="Administración Restaurante - Regional"/>
    <m/>
    <s v="validación campo swt"/>
    <m/>
    <m/>
    <s v="Mantenimiento"/>
    <s v="DSI"/>
    <m/>
    <m/>
    <s v="Ecuador"/>
    <s v="Vanessa Soria"/>
    <s v="vanessa.soria@degasa.cl"/>
    <x v="16"/>
    <s v="APROBADO"/>
    <s v="No iniciado"/>
    <m/>
    <s v="Q3"/>
    <m/>
    <s v="BAJA"/>
    <m/>
    <n v="3"/>
    <n v="2"/>
    <n v="400"/>
    <m/>
    <n v="3040"/>
    <m/>
    <m/>
    <x v="2"/>
    <d v="2024-09-23T00:00:00"/>
    <d v="2024-10-04T00:00:00"/>
    <e v="#REF!"/>
    <d v="2024-10-08T00:00:00"/>
    <d v="2024-10-15T00:00:00"/>
    <d v="2898-03-18T00:00:00"/>
    <m/>
    <m/>
    <d v="2024-09-23T00:00:00"/>
    <d v="1899-12-30T00:00:00"/>
    <n v="0.75"/>
    <n v="0"/>
    <m/>
    <m/>
    <m/>
    <m/>
  </r>
  <r>
    <s v="2024"/>
    <x v="1"/>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s v="DSI"/>
    <m/>
    <m/>
    <s v="Argentina"/>
    <s v="Adrian Gadja"/>
    <s v="adrian.gajda@degasa.com.ar"/>
    <x v="16"/>
    <s v="APROBADO"/>
    <s v="No iniciado"/>
    <m/>
    <s v="Q2"/>
    <m/>
    <s v="MEDIA"/>
    <n v="1"/>
    <n v="4"/>
    <n v="1"/>
    <n v="550"/>
    <m/>
    <n v="2840"/>
    <m/>
    <m/>
    <x v="10"/>
    <d v="2024-03-25T00:00:00"/>
    <d v="2024-04-08T00:00:00"/>
    <n v="14"/>
    <d v="2024-04-08T00:00:00"/>
    <d v="2024-04-15T00:00:00"/>
    <n v="363127"/>
    <d v="2024-04-15T00:00:00"/>
    <d v="2024-04-22T00:00:00"/>
    <d v="2024-08-01T00:00:00"/>
    <d v="2024-08-29T00:00:00"/>
    <n v="1"/>
    <n v="7"/>
    <m/>
    <m/>
    <s v="x"/>
    <m/>
  </r>
  <r>
    <s v="2024"/>
    <x v="2"/>
    <m/>
    <s v="App Encuestas Fase 2"/>
    <m/>
    <s v="Asesoramiento a Equipo interno de Desarrollo Venezuela"/>
    <m/>
    <s v="LOCAL"/>
    <s v="Funcionalidades Locales"/>
    <s v="DSI"/>
    <m/>
    <m/>
    <s v="Venezuela"/>
    <s v="Jhustin Vergara"/>
    <m/>
    <x v="19"/>
    <s v="APROBADO"/>
    <s v="No iniciado"/>
    <m/>
    <s v="Q3"/>
    <m/>
    <s v="MEDIA"/>
    <n v="1"/>
    <n v="2"/>
    <n v="1"/>
    <n v="0"/>
    <m/>
    <n v="0"/>
    <m/>
    <m/>
    <x v="2"/>
    <d v="2024-04-14T00:00:00"/>
    <d v="2024-04-21T00:00:00"/>
    <e v="#REF!"/>
    <d v="2024-04-21T00:00:00"/>
    <d v="2024-04-24T00:00:00"/>
    <d v="2894-06-23T00:00:00"/>
    <d v="2024-04-24T00:00:00"/>
    <d v="2024-04-28T00:00:00"/>
    <d v="2024-04-14T00:00:00"/>
    <d v="2024-04-28T00:00:00"/>
    <n v="0.5"/>
    <n v="4"/>
    <m/>
    <m/>
    <m/>
    <m/>
  </r>
  <r>
    <s v="2024"/>
    <x v="0"/>
    <m/>
    <s v="Automatización de asignación de permisos PDA"/>
    <m/>
    <s v="Evaluar, creación de pantalla, o login contra payroll"/>
    <m/>
    <m/>
    <s v="Mantenimiento"/>
    <s v="DSI"/>
    <m/>
    <m/>
    <s v="Ecuador"/>
    <s v="Vanessa Soria"/>
    <s v="vanessa.soria@degasa.cl"/>
    <x v="16"/>
    <s v="APROBADO"/>
    <s v="No iniciado"/>
    <m/>
    <s v="Q4"/>
    <m/>
    <s v="MEDIA"/>
    <m/>
    <n v="3"/>
    <n v="2"/>
    <n v="400"/>
    <m/>
    <n v="3040"/>
    <m/>
    <m/>
    <x v="2"/>
    <d v="2024-10-14T00:00:00"/>
    <d v="2024-11-01T00:00:00"/>
    <e v="#REF!"/>
    <d v="2024-11-05T00:00:00"/>
    <d v="2024-11-12T00:00:00"/>
    <d v="2898-10-28T00:00:00"/>
    <m/>
    <m/>
    <d v="2024-10-14T00:00:00"/>
    <d v="1899-12-30T00:00:00"/>
    <n v="0.75"/>
    <n v="0"/>
    <m/>
    <m/>
    <m/>
    <m/>
  </r>
  <r>
    <s v="2024"/>
    <x v="0"/>
    <m/>
    <s v="Automatización de proveedores de cajas chicas Ecuador"/>
    <m/>
    <m/>
    <m/>
    <m/>
    <s v="Mantenimiento"/>
    <s v="DSI"/>
    <m/>
    <m/>
    <s v="Ecuador"/>
    <s v="Vanessa Soria"/>
    <s v="vanessa.soria@degasa.cl"/>
    <x v="16"/>
    <s v="APROBADO"/>
    <s v="No iniciado"/>
    <m/>
    <s v="Q3"/>
    <m/>
    <s v="BAJA"/>
    <m/>
    <n v="1"/>
    <n v="1"/>
    <n v="400"/>
    <m/>
    <n v="1390"/>
    <m/>
    <m/>
    <x v="2"/>
    <d v="2024-07-08T00:00:00"/>
    <d v="2024-07-12T00:00:00"/>
    <e v="#REF!"/>
    <d v="2024-07-16T00:00:00"/>
    <d v="2024-07-23T00:00:00"/>
    <d v="2896-05-15T00:00:00"/>
    <m/>
    <m/>
    <d v="2024-07-08T00:00:00"/>
    <d v="1899-12-30T00:00:00"/>
    <n v="0.25"/>
    <n v="0"/>
    <m/>
    <m/>
    <m/>
    <m/>
  </r>
  <r>
    <s v="2024"/>
    <x v="0"/>
    <s v="Incluir una alerta cuando ingresen un activo ya utilizado en una orden de trabajo - cambio de alcance"/>
    <s v="Cambio de alncace duplicidad de ordenes de mantenimiento "/>
    <s v="Dependencia de lienas79-25"/>
    <m/>
    <m/>
    <m/>
    <m/>
    <m/>
    <m/>
    <m/>
    <m/>
    <m/>
    <m/>
    <x v="8"/>
    <s v="IDENTIFICADO"/>
    <s v="No iniciado"/>
    <m/>
    <s v="Q2"/>
    <m/>
    <m/>
    <m/>
    <m/>
    <m/>
    <m/>
    <m/>
    <n v="640"/>
    <m/>
    <m/>
    <x v="1"/>
    <d v="2024-04-29T00:00:00"/>
    <m/>
    <e v="#REF!"/>
    <m/>
    <m/>
    <n v="0"/>
    <d v="2024-05-24T00:00:00"/>
    <m/>
    <m/>
    <m/>
    <n v="0"/>
    <n v="-45436"/>
    <m/>
    <m/>
    <m/>
    <m/>
  </r>
  <r>
    <s v="2024"/>
    <x v="0"/>
    <m/>
    <s v="Automatización en el proceso de envío de notificación de pedidos planta"/>
    <m/>
    <s v="Revisión y mejora de procesos de pedidos"/>
    <m/>
    <s v="LOCAL"/>
    <s v="Mantenimiento"/>
    <s v="DSI"/>
    <m/>
    <m/>
    <s v="Ecuador"/>
    <s v="Vanessa Soria"/>
    <s v="vanessa.soria@degasa.cl"/>
    <x v="16"/>
    <s v="APROBADO"/>
    <s v="Finalizado"/>
    <m/>
    <s v="Q1"/>
    <m/>
    <s v="BAJA"/>
    <m/>
    <n v="2"/>
    <n v="1"/>
    <n v="400"/>
    <m/>
    <n v="1440"/>
    <m/>
    <m/>
    <x v="5"/>
    <d v="2024-03-04T00:00:00"/>
    <d v="2024-03-21T00:00:00"/>
    <e v="#REF!"/>
    <d v="2024-03-26T00:00:00"/>
    <d v="2024-03-19T00:00:00"/>
    <d v="2893-11-17T00:00:00"/>
    <m/>
    <m/>
    <d v="2024-03-04T00:00:00"/>
    <d v="1899-12-30T00:00:00"/>
    <n v="0.5"/>
    <n v="0"/>
    <m/>
    <m/>
    <m/>
    <m/>
  </r>
  <r>
    <s v="2024"/>
    <x v="2"/>
    <m/>
    <s v="Cargas Masivas: Contabilización de Facturas Fisicas Venezuel"/>
    <m/>
    <s v="Dependencia de SAP Venezuela"/>
    <m/>
    <s v="LOCAL"/>
    <s v="Funcionalidades Locales"/>
    <s v="DSI"/>
    <m/>
    <m/>
    <s v="Venezuela"/>
    <s v="Jhustin Vergara"/>
    <m/>
    <x v="19"/>
    <s v="APROBADO"/>
    <s v="No iniciado"/>
    <m/>
    <s v="Q2"/>
    <m/>
    <s v="MEDIA"/>
    <n v="0"/>
    <n v="8"/>
    <n v="1"/>
    <n v="550"/>
    <m/>
    <n v="0"/>
    <m/>
    <m/>
    <x v="2"/>
    <d v="2024-04-01T00:00:00"/>
    <d v="2024-05-14T00:00:00"/>
    <e v="#REF!"/>
    <d v="2024-05-14T00:00:00"/>
    <d v="2024-05-21T00:00:00"/>
    <d v="2894-12-28T00:00:00"/>
    <d v="2024-06-21T00:00:00"/>
    <d v="2024-06-28T00:00:00"/>
    <d v="2024-04-01T00:00:00"/>
    <d v="2024-06-28T00:00:00"/>
    <n v="2"/>
    <n v="7"/>
    <s v="Presupuesto de proyecto SAP"/>
    <m/>
    <m/>
    <m/>
  </r>
  <r>
    <s v="2024"/>
    <x v="0"/>
    <m/>
    <s v="Colombia - Articulos sin conversión"/>
    <m/>
    <s v="Igualar versión costo articulos Colombia"/>
    <m/>
    <s v="LOCAL"/>
    <s v="Mantenimiento"/>
    <s v="DSI"/>
    <m/>
    <m/>
    <s v="Ecuador"/>
    <s v="Vanessa Soria"/>
    <s v="vanessa.soria@degasa.cl"/>
    <x v="16"/>
    <s v="APROBADO"/>
    <s v="Iniciado "/>
    <m/>
    <s v="Q2"/>
    <m/>
    <s v="BAJA"/>
    <m/>
    <n v="2"/>
    <n v="2"/>
    <n v="400"/>
    <m/>
    <n v="2240"/>
    <m/>
    <m/>
    <x v="7"/>
    <d v="2024-02-26T00:00:00"/>
    <d v="2024-03-08T00:00:00"/>
    <e v="#REF!"/>
    <d v="2024-03-12T00:00:00"/>
    <d v="2024-03-19T00:00:00"/>
    <d v="2893-08-11T00:00:00"/>
    <d v="2024-05-15T00:00:00"/>
    <d v="2024-05-15T00:00:00"/>
    <d v="2024-02-26T00:00:00"/>
    <d v="2024-05-15T00:00:00"/>
    <n v="0.5"/>
    <n v="0"/>
    <m/>
    <m/>
    <m/>
    <m/>
  </r>
  <r>
    <s v="2024"/>
    <x v="1"/>
    <s v="Motorizado Delivery"/>
    <s v="Control Motorizados/Agregadores [2] - Depósito de Efectivo"/>
    <s v="MXP LEGACY"/>
    <s v="Compromiso Matriz Regional  (Argentina, Ecuador, Colombia, Venezuela)"/>
    <s v="ALTA"/>
    <s v="REGIONAL"/>
    <s v="Funcionalidades Regionales"/>
    <s v="DSI"/>
    <m/>
    <m/>
    <s v="Ecuador"/>
    <s v="Jaime Rodriguez"/>
    <s v="jaime.rodriguez@kfc.com.ec"/>
    <x v="16"/>
    <s v="APROBADO"/>
    <s v="No iniciado"/>
    <m/>
    <s v="Q1"/>
    <s v="p14"/>
    <s v="ALTA"/>
    <n v="1"/>
    <n v="6"/>
    <n v="1"/>
    <n v="550"/>
    <m/>
    <n v="3940"/>
    <m/>
    <m/>
    <x v="0"/>
    <d v="2024-03-04T00:00:00"/>
    <d v="2024-04-01T00:00:00"/>
    <n v="28"/>
    <d v="2024-04-01T00:00:00"/>
    <d v="2024-04-08T00:00:00"/>
    <n v="363071"/>
    <d v="2024-04-08T00:00:00"/>
    <d v="2024-04-15T00:00:00"/>
    <d v="2024-06-01T00:00:00"/>
    <d v="2024-07-13T00:00:00"/>
    <n v="1.5"/>
    <n v="7"/>
    <s v="PROYECTO REGIONAL"/>
    <m/>
    <m/>
    <m/>
  </r>
  <r>
    <s v="2024"/>
    <x v="1"/>
    <s v="Motorizado Delivery"/>
    <s v="Control Motorizados/Agregadores [2] - Depósito de Efectivo"/>
    <s v="MXP LEGACY"/>
    <s v="Compromiso Matriz Regional  (Argentina, Ecuador, Colombia, Venezuela)"/>
    <s v="ALTA"/>
    <s v="REGIONAL"/>
    <s v="Funcionalidades Regionales"/>
    <s v="DSI"/>
    <m/>
    <m/>
    <s v="Argentina"/>
    <s v="Adrian Gadja"/>
    <s v="adrian.gajda@degasa.com.ar"/>
    <x v="16"/>
    <s v="APROBADO"/>
    <s v="No iniciado"/>
    <m/>
    <s v="Q1"/>
    <s v="p14"/>
    <s v="ALTA"/>
    <n v="1"/>
    <n v="6"/>
    <n v="1"/>
    <n v="550"/>
    <m/>
    <n v="3940"/>
    <m/>
    <m/>
    <x v="0"/>
    <d v="2024-03-04T00:00:00"/>
    <d v="2024-04-01T00:00:00"/>
    <n v="28"/>
    <d v="2024-04-01T00:00:00"/>
    <d v="2024-04-08T00:00:00"/>
    <n v="363071"/>
    <d v="2024-04-08T00:00:00"/>
    <d v="2024-04-15T00:00:00"/>
    <d v="2024-06-01T00:00:00"/>
    <d v="2024-07-13T00:00:00"/>
    <n v="1.5"/>
    <n v="7"/>
    <s v="PROYECTO REGIONAL"/>
    <m/>
    <m/>
    <m/>
  </r>
  <r>
    <s v="2024"/>
    <x v="1"/>
    <s v="Motorizado Delivery"/>
    <s v="Control Motorizados/Agregadores [2] - Depósito de Efectivo"/>
    <s v="MXP LEGACY"/>
    <s v="Compromiso Matriz Regional  (Argentina, Ecuador, Colombia, Venezuela)"/>
    <s v="ALTA"/>
    <s v="REGIONAL"/>
    <s v="Funcionalidades Regionales"/>
    <s v="DSI"/>
    <m/>
    <m/>
    <s v="Venezuela"/>
    <s v="Jhustin Vergara"/>
    <s v="jhustin.vergara@kfc.com.ve"/>
    <x v="16"/>
    <s v="APROBADO"/>
    <s v="No iniciado"/>
    <m/>
    <s v="Q1"/>
    <s v="p14"/>
    <s v="ALTA"/>
    <n v="1"/>
    <n v="6"/>
    <n v="1"/>
    <n v="550"/>
    <m/>
    <n v="3940"/>
    <m/>
    <m/>
    <x v="0"/>
    <d v="2024-03-04T00:00:00"/>
    <d v="2024-04-01T00:00:00"/>
    <n v="28"/>
    <d v="2024-04-01T00:00:00"/>
    <d v="2024-04-08T00:00:00"/>
    <n v="363071"/>
    <d v="2024-04-08T00:00:00"/>
    <d v="2024-04-15T00:00:00"/>
    <d v="2024-06-01T00:00:00"/>
    <d v="2024-07-13T00:00:00"/>
    <n v="1.5"/>
    <n v="7"/>
    <s v="PROYECTO REGIONAL"/>
    <m/>
    <m/>
    <m/>
  </r>
  <r>
    <s v="2023"/>
    <x v="1"/>
    <s v="Motorizado Delivery"/>
    <s v="Control Motorizados/Agregadores [2] - Depósito de Efectivo"/>
    <s v="MXP LEGACY_x000a_TRADE"/>
    <s v="flujo para controlar los pagos en efectivo entregados por el motorizado a personal del restaurante"/>
    <s v="MEDIA"/>
    <s v="REGIONAL"/>
    <s v="Funcionalidades Regionales"/>
    <s v="DSI"/>
    <m/>
    <m/>
    <s v="Colombia"/>
    <s v="William Villegas"/>
    <s v="william.villegas@kfc.co"/>
    <x v="20"/>
    <s v="APROBADO"/>
    <s v="No iniciado"/>
    <m/>
    <s v="Q1"/>
    <m/>
    <s v="MEDIA"/>
    <n v="1"/>
    <n v="4"/>
    <n v="1"/>
    <n v="625"/>
    <m/>
    <n v="2500"/>
    <m/>
    <m/>
    <x v="0"/>
    <d v="2023-12-17T00:00:00"/>
    <d v="2024-02-02T00:00:00"/>
    <e v="#REF!"/>
    <d v="2024-02-04T00:00:00"/>
    <d v="2024-02-09T00:00:00"/>
    <d v="2892-10-17T00:00:00"/>
    <d v="2024-02-11T00:00:00"/>
    <d v="2024-02-15T00:00:00"/>
    <d v="2024-06-01T00:00:00"/>
    <d v="2024-07-13T00:00:00"/>
    <n v="1"/>
    <n v="4"/>
    <m/>
    <m/>
    <m/>
    <m/>
  </r>
  <r>
    <s v="2024"/>
    <x v="1"/>
    <s v="Motorizado Delivery"/>
    <s v="Control Motorizados/Agregadores [2] - Picking Agregadores QR V1"/>
    <s v="MXP LEGACY"/>
    <s v="Integracion Picking QR Agregadores"/>
    <s v="ALTA"/>
    <s v="REGIONAL"/>
    <s v="Funcionalidades Regionales"/>
    <s v="DSI"/>
    <m/>
    <m/>
    <s v="Ecuador"/>
    <s v="Jaime Rodriguez"/>
    <s v="jaime.rodriguez@kfc.com.ec"/>
    <x v="16"/>
    <s v="APROBADO"/>
    <s v="No iniciado"/>
    <m/>
    <s v="Q1"/>
    <s v="p13"/>
    <s v="ALTA"/>
    <n v="1"/>
    <n v="6"/>
    <n v="1"/>
    <n v="550"/>
    <m/>
    <n v="3940"/>
    <m/>
    <m/>
    <x v="0"/>
    <d v="2024-03-04T00:00:00"/>
    <d v="2024-03-18T00:00:00"/>
    <d v="1900-01-13T00:00:00"/>
    <d v="2024-03-18T00:00:00"/>
    <d v="2024-03-25T00:00:00"/>
    <d v="2893-09-28T00:00:00"/>
    <d v="2024-03-25T00:00:00"/>
    <d v="2024-04-01T00:00:00"/>
    <d v="2024-05-01T00:00:00"/>
    <d v="2024-06-12T00:00:00"/>
    <n v="1.5"/>
    <n v="7"/>
    <s v="PROYECTO REGIONAL"/>
    <m/>
    <m/>
    <m/>
  </r>
  <r>
    <s v="2024"/>
    <x v="1"/>
    <s v="Motorizado Delivery"/>
    <s v="Control Motorizados/Agregadores [2] - Picking Agregadores QR V1"/>
    <s v="MXP LEGACY"/>
    <s v="Integracion Picking QR Agregadores"/>
    <s v="ALTA"/>
    <s v="REGIONAL"/>
    <s v="Funcionalidades Regionales"/>
    <s v="DSI"/>
    <m/>
    <m/>
    <s v="Argentina"/>
    <s v="Adrian Gadja"/>
    <s v="adrian.gajda@degasa.com.ar"/>
    <x v="16"/>
    <s v="APROBADO"/>
    <s v="No iniciado"/>
    <m/>
    <s v="Q1"/>
    <s v="p13"/>
    <s v="ALTA"/>
    <n v="1"/>
    <n v="6"/>
    <n v="1"/>
    <n v="550"/>
    <m/>
    <n v="3940"/>
    <m/>
    <m/>
    <x v="4"/>
    <d v="2024-02-26T00:00:00"/>
    <d v="2024-03-25T00:00:00"/>
    <d v="1900-01-27T00:00:00"/>
    <d v="2024-03-25T00:00:00"/>
    <d v="2024-04-01T00:00:00"/>
    <d v="2893-11-23T00:00:00"/>
    <d v="2024-04-01T00:00:00"/>
    <d v="2024-04-08T00:00:00"/>
    <d v="2024-05-01T00:00:00"/>
    <d v="2024-06-12T00:00:00"/>
    <n v="1.5"/>
    <n v="7"/>
    <s v="PROYECTO REGIONAL"/>
    <m/>
    <m/>
    <m/>
  </r>
  <r>
    <s v="2024"/>
    <x v="1"/>
    <s v="Cupones"/>
    <s v="Cupones de Cortesía, Dinero y Empleados"/>
    <s v="MXP LEGACY_x000a_TRADE"/>
    <s v="Compromiso Matriz Regional  (Ecuador, Argentina) (api v3 cupones)"/>
    <s v="MEDIA"/>
    <s v="REGIONAL"/>
    <s v="Funcionalidades Regionales"/>
    <s v="DSI"/>
    <m/>
    <m/>
    <s v="Argentina"/>
    <s v="Adrian Gadja"/>
    <s v="adrian.gajda@degasa.com.ar"/>
    <x v="16"/>
    <s v="APROBADO"/>
    <s v="No iniciado"/>
    <m/>
    <s v="Q2"/>
    <s v="P37"/>
    <s v="MEDIA"/>
    <n v="1"/>
    <n v="4"/>
    <n v="1"/>
    <n v="550"/>
    <m/>
    <n v="2840"/>
    <m/>
    <m/>
    <x v="0"/>
    <d v="2024-04-01T00:00:00"/>
    <d v="2024-04-15T00:00:00"/>
    <d v="1900-01-13T00:00:00"/>
    <d v="2024-04-15T00:00:00"/>
    <d v="2024-04-22T00:00:00"/>
    <d v="2894-05-10T00:00:00"/>
    <d v="2024-04-22T00:00:00"/>
    <d v="2024-04-05T00:00:00"/>
    <d v="2024-06-01T00:00:00"/>
    <d v="2024-06-29T00:00:00"/>
    <n v="1"/>
    <n v="-17"/>
    <s v="PROYECTO REGIONAL"/>
    <m/>
    <m/>
    <m/>
  </r>
  <r>
    <s v="2024"/>
    <x v="1"/>
    <s v="Cupones"/>
    <s v="Cupones QR - V3 Centralizada (App KFC) "/>
    <s v="MXP LEGACY_x000a_TRADE"/>
    <s v="Compromiso Matriz Regional  (Argentina, )"/>
    <s v="MEDIA"/>
    <s v="REGIONAL"/>
    <s v="Funcionalidades Regionales"/>
    <s v="DSI"/>
    <m/>
    <m/>
    <s v="Argentina"/>
    <s v="Adrian Gadja"/>
    <s v="adrian.gajda@degasa.com.ar"/>
    <x v="16"/>
    <s v="APROBADO"/>
    <s v="No iniciado"/>
    <m/>
    <s v="Q1"/>
    <m/>
    <s v="MEDIA"/>
    <n v="1"/>
    <n v="6"/>
    <n v="1"/>
    <n v="550"/>
    <m/>
    <n v="3940"/>
    <m/>
    <m/>
    <x v="0"/>
    <d v="2024-03-04T00:00:00"/>
    <d v="2024-04-01T00:00:00"/>
    <d v="1900-01-27T00:00:00"/>
    <d v="2024-04-01T00:00:00"/>
    <d v="2024-04-08T00:00:00"/>
    <d v="2894-01-18T00:00:00"/>
    <d v="2024-04-08T00:00:00"/>
    <d v="2025-01-31T00:00:00"/>
    <d v="2024-06-01T00:00:00"/>
    <d v="2024-07-13T00:00:00"/>
    <n v="1.5"/>
    <n v="298"/>
    <s v="PROYECTO REGIONAL"/>
    <m/>
    <m/>
    <m/>
  </r>
  <r>
    <s v="2024"/>
    <x v="0"/>
    <m/>
    <s v="Descuadres de Cupones CCC. Entre MP Y SIR"/>
    <m/>
    <s v="Identificar el motivo por el cual existe diferencias al ingreso de cupones en  Max Point. "/>
    <m/>
    <s v="LOCAL"/>
    <s v="Mantenimiento"/>
    <s v="DSI"/>
    <m/>
    <m/>
    <s v="Ecuador"/>
    <s v="Vladimir Morillo"/>
    <s v="vladimir.morillo@kfc.com.ec"/>
    <x v="16"/>
    <s v="APROBADO"/>
    <s v="Finalizado"/>
    <n v="1"/>
    <s v="Q1"/>
    <m/>
    <s v="BAJA"/>
    <m/>
    <n v="1"/>
    <n v="1"/>
    <n v="400"/>
    <m/>
    <n v="1410"/>
    <m/>
    <m/>
    <x v="5"/>
    <d v="2024-02-26T00:00:00"/>
    <d v="2024-03-08T00:00:00"/>
    <e v="#REF!"/>
    <d v="2024-03-12T00:00:00"/>
    <d v="2024-03-19T00:00:00"/>
    <d v="2893-08-11T00:00:00"/>
    <d v="2024-04-01T00:00:00"/>
    <d v="2024-07-24T00:00:00"/>
    <d v="2024-02-26T00:00:00"/>
    <d v="2024-07-24T00:00:00"/>
    <n v="0.25"/>
    <n v="114"/>
    <s v="Ingresar REQ a MNT Maxpoint 24"/>
    <m/>
    <m/>
    <m/>
  </r>
  <r>
    <s v="2024"/>
    <x v="1"/>
    <s v="Kioscos"/>
    <s v="Descuentos bancos por Bines kioscos"/>
    <s v="MXP LEGACY_x000a_TRADE"/>
    <s v="Descuentos exclusivos por tarjeta de crédito"/>
    <s v="MEDIA"/>
    <s v="LOCAL"/>
    <s v="Funcionalidades Locales"/>
    <s v="DSI"/>
    <m/>
    <m/>
    <s v="Chile"/>
    <s v="Davis Nuñez"/>
    <s v="davis.nunez@degasa.cl"/>
    <x v="20"/>
    <s v="APROBADO"/>
    <s v="No iniciado"/>
    <m/>
    <s v="Q2"/>
    <s v="p36"/>
    <s v="ALTA"/>
    <m/>
    <n v="10"/>
    <n v="2"/>
    <n v="550"/>
    <m/>
    <n v="11640"/>
    <m/>
    <m/>
    <x v="0"/>
    <d v="2024-04-01T00:00:00"/>
    <d v="2024-04-29T00:00:00"/>
    <d v="1900-01-27T00:00:00"/>
    <d v="2024-04-29T00:00:00"/>
    <d v="2024-05-13T00:00:00"/>
    <d v="2894-09-06T00:00:00"/>
    <d v="2024-05-13T00:00:00"/>
    <d v="2024-06-10T00:00:00"/>
    <d v="2024-05-01T00:00:00"/>
    <d v="2024-07-10T00:00:00"/>
    <n v="2.5"/>
    <n v="28"/>
    <s v="Solicitud de Colombia y Chile._x000a_Falta definición de alcance con el proveedor."/>
    <m/>
    <s v="x"/>
    <m/>
  </r>
  <r>
    <s v="2024"/>
    <x v="0"/>
    <m/>
    <s v="Devoluciones - Agregar observaciones planta"/>
    <s v="Catalogo de obervaciones planta "/>
    <m/>
    <m/>
    <s v="LOCAL"/>
    <s v="Mantenimiento"/>
    <s v="DSI"/>
    <m/>
    <m/>
    <s v="Ecuador"/>
    <s v="Mauricio Andrade"/>
    <s v="mauricio.andrade@kfc.com.ec"/>
    <x v="16"/>
    <s v="IDENTIFICADO"/>
    <s v="No iniciado"/>
    <m/>
    <s v="Q2"/>
    <m/>
    <s v="BAJA"/>
    <m/>
    <n v="2"/>
    <n v="1"/>
    <n v="400"/>
    <m/>
    <n v="1440"/>
    <m/>
    <m/>
    <x v="1"/>
    <d v="2024-04-29T00:00:00"/>
    <m/>
    <e v="#REF!"/>
    <m/>
    <m/>
    <d v="1899-12-30T00:00:00"/>
    <d v="2024-05-28T00:00:00"/>
    <d v="2024-05-28T00:00:00"/>
    <d v="2024-04-29T00:00:00"/>
    <d v="2024-05-28T00:00:00"/>
    <n v="0.5"/>
    <n v="0"/>
    <m/>
    <m/>
    <m/>
    <m/>
  </r>
  <r>
    <s v="2024"/>
    <x v="4"/>
    <m/>
    <s v="Extracción de Datos SAP para BI"/>
    <m/>
    <s v="Mejorar la disponibilidad de los datos, actualmente los datos presentan dificultad para extracción de datos a diario._x000a_Control de integridad de los datos_x000a_"/>
    <m/>
    <m/>
    <s v="Mejora en la entrega de data para BI"/>
    <s v="DSI"/>
    <m/>
    <m/>
    <s v="Ecuador"/>
    <s v="Amarilis Loor"/>
    <m/>
    <x v="16"/>
    <s v="IDENTIFICADO"/>
    <s v="No iniciado"/>
    <s v="Q2"/>
    <s v="Q1"/>
    <m/>
    <s v="MEDIA"/>
    <n v="1"/>
    <n v="2"/>
    <n v="2"/>
    <n v="550"/>
    <m/>
    <n v="2200"/>
    <m/>
    <m/>
    <x v="2"/>
    <d v="2024-02-07T00:00:00"/>
    <d v="2024-02-14T00:00:00"/>
    <d v="1900-01-06T00:00:00"/>
    <d v="2024-02-14T00:00:00"/>
    <d v="2024-02-21T00:00:00"/>
    <d v="1900-01-06T00:00:00"/>
    <d v="2024-02-21T00:00:00"/>
    <d v="2024-02-28T00:00:00"/>
    <d v="2024-02-07T00:00:00"/>
    <d v="2024-02-28T00:00:00"/>
    <n v="0.5"/>
    <n v="7"/>
    <s v="BI"/>
    <m/>
    <m/>
    <m/>
  </r>
  <r>
    <s v="2024"/>
    <x v="4"/>
    <m/>
    <s v="Implementar B2B en Depto. Tesorería"/>
    <m/>
    <s v="Nuevo Requerimiento"/>
    <m/>
    <s v="LOCAL"/>
    <s v="Mejoras B2B - Finanzas"/>
    <s v="DSI"/>
    <m/>
    <m/>
    <s v="Chile"/>
    <s v="Maria A Stay"/>
    <m/>
    <x v="21"/>
    <s v="APROBADO"/>
    <s v="No iniciado"/>
    <s v="Q1"/>
    <s v="Q2"/>
    <m/>
    <s v="MEDIA"/>
    <n v="1"/>
    <n v="4"/>
    <n v="1"/>
    <n v="572.5"/>
    <m/>
    <n v="2290"/>
    <m/>
    <m/>
    <x v="2"/>
    <d v="2024-02-21T00:00:00"/>
    <d v="2024-03-07T00:00:00"/>
    <d v="1900-01-14T00:00:00"/>
    <d v="2024-03-07T00:00:00"/>
    <d v="2024-03-14T00:00:00"/>
    <d v="1900-01-06T00:00:00"/>
    <d v="2024-03-14T00:00:00"/>
    <d v="2024-03-21T00:00:00"/>
    <d v="2024-02-21T00:00:00"/>
    <d v="2024-03-21T00:00:00"/>
    <n v="1"/>
    <n v="7"/>
    <m/>
    <m/>
    <m/>
    <m/>
  </r>
  <r>
    <s v="2024"/>
    <x v="0"/>
    <m/>
    <s v="Incluir auditoría en Gastos cajas chicas"/>
    <m/>
    <m/>
    <m/>
    <s v="LOCAL"/>
    <s v="Mantenimiento"/>
    <s v="DSI"/>
    <m/>
    <m/>
    <s v="Ecuador"/>
    <s v="Vanessa Soria"/>
    <s v="vanessa.soria@degasa.cl"/>
    <x v="16"/>
    <s v="APROBADO"/>
    <s v="No iniciado"/>
    <m/>
    <s v="Q3"/>
    <m/>
    <s v="BAJA"/>
    <m/>
    <n v="2"/>
    <n v="1"/>
    <n v="400"/>
    <m/>
    <n v="1440"/>
    <m/>
    <m/>
    <x v="2"/>
    <d v="2024-09-16T00:00:00"/>
    <d v="2024-09-27T00:00:00"/>
    <e v="#REF!"/>
    <d v="2024-10-01T00:00:00"/>
    <d v="2024-10-07T00:00:00"/>
    <d v="2898-01-20T00:00:00"/>
    <m/>
    <m/>
    <d v="2024-09-16T00:00:00"/>
    <d v="1899-12-30T00:00:00"/>
    <n v="0.5"/>
    <n v="0"/>
    <m/>
    <m/>
    <m/>
    <m/>
  </r>
  <r>
    <n v="2024"/>
    <x v="3"/>
    <m/>
    <s v="Integración con maxpoint v2 para modulo de productos"/>
    <s v="MXP 2.0 _x000a_CANALES DIGITALES"/>
    <m/>
    <m/>
    <m/>
    <s v="DSI"/>
    <s v="DSI"/>
    <m/>
    <m/>
    <s v="Ecuador"/>
    <s v="Juan Estevez"/>
    <s v="juan.estevez@kfc.com.ec"/>
    <x v="16"/>
    <s v="IDENTIFICADO"/>
    <s v="No iniciado"/>
    <m/>
    <s v="Q2"/>
    <m/>
    <m/>
    <m/>
    <n v="12"/>
    <n v="3"/>
    <n v="550"/>
    <m/>
    <n v="20380"/>
    <m/>
    <m/>
    <x v="1"/>
    <d v="2024-04-29T00:00:00"/>
    <d v="2024-06-24T00:00:00"/>
    <d v="2024-05-24T00:00:00"/>
    <d v="2024-06-25T00:00:00"/>
    <d v="2024-07-09T00:00:00"/>
    <d v="2024-06-22T00:00:00"/>
    <d v="2024-07-10T00:00:00"/>
    <d v="2024-07-17T00:00:00"/>
    <d v="2024-04-29T00:00:00"/>
    <d v="2024-07-17T00:00:00"/>
    <d v="1900-01-02T00:00:00"/>
    <n v="7"/>
    <m/>
    <m/>
    <m/>
    <m/>
  </r>
  <r>
    <s v="2024"/>
    <x v="2"/>
    <m/>
    <s v="Integración de Herramientas SatCon: Venezuela"/>
    <m/>
    <s v="Dependencia de SAP Venezuela"/>
    <m/>
    <s v="LOCAL"/>
    <s v="Funcionalidades Locales"/>
    <s v="DSI"/>
    <m/>
    <m/>
    <s v="Venezuela"/>
    <s v="Jhustin Vergara"/>
    <m/>
    <x v="19"/>
    <s v="APROBADO"/>
    <s v="No iniciado"/>
    <m/>
    <s v="Q2"/>
    <m/>
    <s v="MEDIA"/>
    <n v="0"/>
    <n v="10"/>
    <n v="1"/>
    <n v="550"/>
    <m/>
    <n v="0"/>
    <n v="364"/>
    <m/>
    <x v="2"/>
    <d v="2024-04-01T00:00:00"/>
    <d v="2024-06-01T00:00:00"/>
    <e v="#REF!"/>
    <d v="2024-06-01T00:00:00"/>
    <d v="2024-06-07T00:00:00"/>
    <d v="2895-05-20T00:00:00"/>
    <d v="2024-06-07T00:00:00"/>
    <d v="2024-06-14T00:00:00"/>
    <d v="2024-04-01T00:00:00"/>
    <d v="2024-06-14T00:00:00"/>
    <n v="2.5"/>
    <n v="7"/>
    <s v="Presupuesto incluido en poryecto SAP"/>
    <m/>
    <m/>
    <m/>
  </r>
  <r>
    <s v="2024"/>
    <x v="1"/>
    <s v="Agregadores"/>
    <s v="Integración Directo a Agregadores KFC"/>
    <s v="MXP LEGACY_x000a_MXP 2.0_x000a_"/>
    <s v="Envío Menús Agregadores KFC_x000a_*PEYA*"/>
    <s v="ALTA"/>
    <s v="REGIONAL"/>
    <s v="Integración con Agregadores (Regional)"/>
    <s v="DSI"/>
    <m/>
    <m/>
    <s v="Venezuela"/>
    <s v="Jhustin Vergara"/>
    <m/>
    <x v="16"/>
    <s v="APROBADO"/>
    <s v="No iniciado"/>
    <m/>
    <s v="Q2"/>
    <s v="p38"/>
    <s v="MEDIA"/>
    <n v="0.03"/>
    <n v="1"/>
    <n v="1"/>
    <n v="101428"/>
    <m/>
    <n v="3062.04"/>
    <m/>
    <m/>
    <x v="3"/>
    <d v="2024-10-21T00:00:00"/>
    <m/>
    <n v="-45586"/>
    <m/>
    <m/>
    <d v="1899-12-30T00:00:00"/>
    <m/>
    <d v="2024-12-02T00:00:00"/>
    <d v="2024-10-21T00:00:00"/>
    <d v="2024-12-02T00:00:00"/>
    <n v="1.5"/>
    <n v="45628"/>
    <s v="PROYECTO REGIONAL"/>
    <m/>
    <m/>
    <m/>
  </r>
  <r>
    <s v="2024"/>
    <x v="1"/>
    <s v="Agregadores"/>
    <s v="Integración Directo a Agregadores KFC"/>
    <s v="MXP LEGACY_x000a_MXP 2.0_x000a_"/>
    <s v="Envío Menús Agregadores KFC"/>
    <s v="ALTA"/>
    <s v="REGIONAL"/>
    <s v="Integración con Agregadores (Regional)"/>
    <s v="DSI"/>
    <m/>
    <m/>
    <s v="Argentina"/>
    <s v="Adrian Gadja"/>
    <m/>
    <x v="16"/>
    <s v="APROBADO"/>
    <s v="No iniciado"/>
    <m/>
    <s v="Q2"/>
    <s v="p38"/>
    <s v="MEDIA"/>
    <n v="0.12"/>
    <n v="1"/>
    <n v="1"/>
    <n v="101428"/>
    <m/>
    <n v="12248.16"/>
    <m/>
    <m/>
    <x v="8"/>
    <d v="2024-11-04T00:00:00"/>
    <m/>
    <n v="-45600"/>
    <m/>
    <m/>
    <d v="1899-12-30T00:00:00"/>
    <m/>
    <d v="2025-01-13T00:00:00"/>
    <d v="2024-11-04T00:00:00"/>
    <d v="2025-01-13T00:00:00"/>
    <n v="2.5"/>
    <n v="45670"/>
    <s v="PROYECTO REGIONAL"/>
    <m/>
    <m/>
    <m/>
  </r>
  <r>
    <s v="2024"/>
    <x v="1"/>
    <s v="Agregadores"/>
    <s v="Integración Directo a Agregadores KFC"/>
    <s v="MXP LEGACY_x000a_MXP 2.0_x000a_"/>
    <s v="Envío Menús Agregadores KFC"/>
    <s v="ALTA"/>
    <s v="REGIONAL"/>
    <s v="Integración con Agregadores (Regional)"/>
    <s v="DSI"/>
    <m/>
    <m/>
    <s v="Chile"/>
    <s v="Davis Nuñez"/>
    <m/>
    <x v="16"/>
    <s v="APROBADO"/>
    <s v="No iniciado"/>
    <m/>
    <s v="Q2"/>
    <s v="p38"/>
    <s v="MEDIA"/>
    <n v="0.28999999999999998"/>
    <n v="1"/>
    <n v="1"/>
    <n v="101428"/>
    <m/>
    <n v="29599.719999999998"/>
    <m/>
    <m/>
    <x v="4"/>
    <d v="2024-07-15T00:00:00"/>
    <m/>
    <n v="-45488"/>
    <m/>
    <m/>
    <d v="1899-12-30T00:00:00"/>
    <m/>
    <d v="2024-12-02T00:00:00"/>
    <d v="2024-07-15T00:00:00"/>
    <d v="2024-12-02T00:00:00"/>
    <n v="5"/>
    <n v="45628"/>
    <s v="PROYECTO REGIONAL"/>
    <m/>
    <m/>
    <m/>
  </r>
  <r>
    <s v="2024"/>
    <x v="1"/>
    <s v="Agregadores"/>
    <s v="Integración Directo a Agregadores KFC"/>
    <s v="MXP LEGACY_x000a_MXP 2.0_x000a_"/>
    <s v="Envío Menús Agregadores KFC"/>
    <s v="ALTA"/>
    <s v="REGIONAL"/>
    <s v="Integración con Agregadores (Regional)"/>
    <s v="DSI"/>
    <m/>
    <m/>
    <s v="Colombia"/>
    <s v="William Villegas"/>
    <s v="william.villegas@kfc.co"/>
    <x v="20"/>
    <s v="APROBADO"/>
    <s v="No iniciado"/>
    <m/>
    <s v="Q2"/>
    <s v="p38"/>
    <s v="MEDIA"/>
    <n v="0.27"/>
    <n v="1"/>
    <n v="1"/>
    <n v="101428"/>
    <m/>
    <n v="27558.36"/>
    <m/>
    <m/>
    <x v="1"/>
    <d v="2024-05-20T00:00:00"/>
    <m/>
    <n v="-45432"/>
    <m/>
    <m/>
    <d v="1899-12-30T00:00:00"/>
    <m/>
    <d v="2024-08-26T00:00:00"/>
    <d v="2024-05-20T00:00:00"/>
    <d v="2024-08-26T00:00:00"/>
    <n v="3.5"/>
    <n v="45530"/>
    <s v="PROYECTO REGIONAL"/>
    <m/>
    <m/>
    <m/>
  </r>
  <r>
    <s v="2024"/>
    <x v="1"/>
    <s v="Agregadores"/>
    <s v="Integración Maxpoint con Agregadores (Yummy)"/>
    <s v="MXP LEGACY_x000a_MXP 2.0_x000a_"/>
    <s v="Homologar integración a través de trade.  (Integraccion Agregador Yummy)"/>
    <s v="BAJA"/>
    <s v="LOCAL"/>
    <s v="Funcionalidades Locales"/>
    <s v="DSI"/>
    <m/>
    <m/>
    <s v="Venezuela"/>
    <s v="Jhustin Vergara"/>
    <s v="jhustin.vergara@kfc.com.ve"/>
    <x v="20"/>
    <s v="APROBADO"/>
    <s v="No iniciado"/>
    <m/>
    <s v="Q2"/>
    <s v="p45"/>
    <s v="MEDIA"/>
    <m/>
    <n v="2"/>
    <n v="1"/>
    <n v="550"/>
    <m/>
    <n v="1740"/>
    <m/>
    <m/>
    <x v="0"/>
    <d v="2024-05-28T00:00:00"/>
    <d v="2024-05-28T00:00:00"/>
    <d v="1899-12-30T00:00:00"/>
    <d v="2024-05-28T00:00:00"/>
    <d v="2024-06-04T00:00:00"/>
    <d v="2895-04-19T00:00:00"/>
    <d v="2024-06-04T00:00:00"/>
    <d v="2024-06-11T00:00:00"/>
    <d v="2024-06-01T00:00:00"/>
    <d v="2024-06-15T00:00:00"/>
    <n v="0.5"/>
    <n v="7"/>
    <m/>
    <m/>
    <m/>
    <m/>
  </r>
  <r>
    <s v="2024"/>
    <x v="1"/>
    <s v="Agregadores"/>
    <s v="Integraciones Automáticas- Agregadores"/>
    <s v="MXP LEGACY_x000a_MXP 2.0_x000a_"/>
    <s v="Compromiso Matriz Regional  (Argentina)_x000a_- + Justo​+Trade"/>
    <s v="MEDIA"/>
    <s v="REGIONAL"/>
    <s v="Funcionalidades Regionales"/>
    <s v="DSI"/>
    <m/>
    <m/>
    <s v="Argentina"/>
    <s v="Adrian Gadja"/>
    <s v="adrian.gajda@degasa.com.ar"/>
    <x v="16"/>
    <s v="APROBADO"/>
    <s v="No iniciado"/>
    <m/>
    <s v="Q2"/>
    <s v="p39"/>
    <s v="MEDIA"/>
    <n v="1"/>
    <n v="4"/>
    <n v="1"/>
    <n v="550"/>
    <m/>
    <n v="2840"/>
    <m/>
    <m/>
    <x v="0"/>
    <d v="2024-05-13T00:00:00"/>
    <d v="2024-05-27T00:00:00"/>
    <d v="1900-01-13T00:00:00"/>
    <d v="2024-05-27T00:00:00"/>
    <d v="2024-06-03T00:00:00"/>
    <d v="2895-04-11T00:00:00"/>
    <d v="2024-06-03T00:00:00"/>
    <d v="2024-06-10T00:00:00"/>
    <d v="2024-06-01T00:00:00"/>
    <d v="2024-06-29T00:00:00"/>
    <n v="1"/>
    <n v="7"/>
    <s v="PROYECTO REGIONAL"/>
    <m/>
    <m/>
    <m/>
  </r>
  <r>
    <s v="2024"/>
    <x v="1"/>
    <s v="API Inyección v3"/>
    <s v="Integraciones Automáticas- Agregadores"/>
    <s v="MXP LEGACY_x000a_TRADE"/>
    <s v="Compromiso Matriz Regional  (Colombia)_x000a_ - + TicTuk + Trade​"/>
    <s v="MEDIA"/>
    <s v="REGIONAL"/>
    <s v="Funcionalidades Regionales"/>
    <s v="DSI"/>
    <m/>
    <m/>
    <s v="Colombia"/>
    <s v="William Villegas"/>
    <s v="william.villegas@kfc.co"/>
    <x v="16"/>
    <s v="APROBADO"/>
    <s v="En curso"/>
    <m/>
    <s v="Q2"/>
    <m/>
    <s v="MEDIA"/>
    <n v="1"/>
    <n v="2"/>
    <n v="1"/>
    <n v="550"/>
    <m/>
    <n v="1740"/>
    <m/>
    <m/>
    <x v="0"/>
    <d v="2024-05-13T00:00:00"/>
    <d v="2024-05-13T00:00:00"/>
    <d v="1899-12-30T00:00:00"/>
    <d v="2024-05-13T00:00:00"/>
    <d v="2024-05-20T00:00:00"/>
    <d v="2894-12-20T00:00:00"/>
    <d v="2024-05-20T00:00:00"/>
    <d v="2024-05-27T00:00:00"/>
    <d v="2024-05-01T00:00:00"/>
    <d v="2024-05-15T00:00:00"/>
    <n v="0.5"/>
    <n v="7"/>
    <s v="PROYECTO REGIONAL"/>
    <m/>
    <m/>
    <m/>
  </r>
  <r>
    <s v="2024"/>
    <x v="1"/>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s v="DSI"/>
    <m/>
    <m/>
    <s v="Venezuela"/>
    <s v="Jhustin Vergara"/>
    <m/>
    <x v="16"/>
    <s v="APROBADO"/>
    <s v="No iniciado"/>
    <m/>
    <s v="Q1"/>
    <m/>
    <s v="MEDIA"/>
    <n v="1"/>
    <n v="4"/>
    <n v="1"/>
    <n v="550"/>
    <m/>
    <n v="2840"/>
    <m/>
    <m/>
    <x v="10"/>
    <d v="2024-03-04T00:00:00"/>
    <d v="2024-04-01T00:00:00"/>
    <d v="1900-01-27T00:00:00"/>
    <d v="2024-04-01T00:00:00"/>
    <d v="2024-04-08T00:00:00"/>
    <d v="2894-01-18T00:00:00"/>
    <d v="2024-04-08T00:00:00"/>
    <d v="2024-04-15T00:00:00"/>
    <d v="2024-08-01T00:00:00"/>
    <d v="2024-08-29T00:00:00"/>
    <n v="1"/>
    <n v="7"/>
    <m/>
    <m/>
    <s v="x"/>
    <m/>
  </r>
  <r>
    <s v="2024"/>
    <x v="1"/>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s v="DSI"/>
    <m/>
    <m/>
    <s v="Colombia"/>
    <s v="William Villegas"/>
    <m/>
    <x v="16"/>
    <s v="APROBADO"/>
    <s v="No iniciado"/>
    <s v="Q1"/>
    <s v="Q1"/>
    <m/>
    <s v="MEDIA"/>
    <n v="1"/>
    <n v="12"/>
    <n v="1"/>
    <n v="550"/>
    <m/>
    <n v="7240"/>
    <m/>
    <m/>
    <x v="4"/>
    <d v="2024-03-04T00:00:00"/>
    <d v="2024-04-29T00:00:00"/>
    <d v="1900-02-24T00:00:00"/>
    <d v="2024-04-29T00:00:00"/>
    <d v="2024-05-13T00:00:00"/>
    <d v="2894-09-06T00:00:00"/>
    <d v="2024-05-13T00:00:00"/>
    <d v="2024-05-27T00:00:00"/>
    <d v="2024-07-01T00:00:00"/>
    <d v="2024-09-23T00:00:00"/>
    <n v="3"/>
    <n v="14"/>
    <s v="PROYECTO REGIONAL"/>
    <m/>
    <s v="x"/>
    <m/>
  </r>
  <r>
    <s v="2024"/>
    <x v="1"/>
    <s v="Formas de Pago"/>
    <s v="Api Core Formas de Pago"/>
    <s v="MXP LEGACY"/>
    <s v="Integrar el API Formas de Pago en Maxpoint de todos los países para usar las Wallets, en CL, CO y EC prioridad 1, Mercado Pago Pay , Daviplata Colombia, Nequi Colombia, Edenred Chile, Sodexo Chile, Amipass Chile, Deuna Banco Pichincha Ecuador"/>
    <s v="ALTA"/>
    <s v="REGIONAL"/>
    <s v="Funcionalidades Regionales"/>
    <s v="DSI"/>
    <m/>
    <m/>
    <s v="Ecuador"/>
    <s v="Jaime Rodriguez"/>
    <m/>
    <x v="16"/>
    <s v="APROBADO"/>
    <s v="No iniciado"/>
    <s v="Q1"/>
    <s v="Q1"/>
    <m/>
    <s v="MEDIA"/>
    <n v="1"/>
    <n v="6"/>
    <n v="1"/>
    <n v="550"/>
    <m/>
    <n v="3940"/>
    <m/>
    <m/>
    <x v="4"/>
    <d v="2024-03-04T00:00:00"/>
    <d v="2024-03-18T00:00:00"/>
    <d v="1900-01-13T00:00:00"/>
    <d v="2024-03-18T00:00:00"/>
    <d v="2024-03-25T00:00:00"/>
    <d v="2893-09-28T00:00:00"/>
    <d v="2024-03-25T00:00:00"/>
    <d v="2024-04-08T00:00:00"/>
    <d v="2024-07-01T00:00:00"/>
    <d v="2024-08-12T00:00:00"/>
    <n v="1.5"/>
    <n v="14"/>
    <s v="PROYECTO REGIONAL"/>
    <m/>
    <s v="x"/>
    <m/>
  </r>
  <r>
    <s v="2024"/>
    <x v="1"/>
    <s v="Kioscos"/>
    <s v="Kioskos (KFC, WENDYS)"/>
    <s v="MXP LEGACY_x000a_TRADE"/>
    <s v="Implementación de kioskos en todas las tiendas KFC "/>
    <s v="MEDIA"/>
    <s v="REGIONAL"/>
    <s v="Funcionalidades Regionales"/>
    <s v="DSI"/>
    <m/>
    <m/>
    <s v="Argentina"/>
    <s v="Adrian Gadja"/>
    <s v="adrian.gajda@degasa.com.ar"/>
    <x v="20"/>
    <s v="APROBADO"/>
    <s v="En curso"/>
    <s v="Q1"/>
    <s v="Q2"/>
    <s v="p32"/>
    <s v="MEDIA"/>
    <n v="1"/>
    <n v="8"/>
    <n v="1"/>
    <n v="550"/>
    <m/>
    <n v="5040"/>
    <m/>
    <m/>
    <x v="0"/>
    <d v="2024-03-18T00:00:00"/>
    <d v="2024-04-15T00:00:00"/>
    <d v="1900-01-27T00:00:00"/>
    <d v="2024-04-15T00:00:00"/>
    <d v="2024-04-29T00:00:00"/>
    <d v="2894-05-17T00:00:00"/>
    <d v="2024-04-29T00:00:00"/>
    <d v="2024-05-13T00:00:00"/>
    <d v="2024-05-01T00:00:00"/>
    <d v="2024-06-26T00:00:00"/>
    <n v="2"/>
    <n v="14"/>
    <s v="PROYECTO REGIONAL"/>
    <m/>
    <s v="x"/>
    <m/>
  </r>
  <r>
    <s v="2024"/>
    <x v="1"/>
    <s v="Kioscos"/>
    <s v="Kioskos (KFC, WENDYS)"/>
    <s v="MXP LEGACY_x000a_TRADE"/>
    <s v="Implementación de kioskos en todas las tiendas Wendys"/>
    <s v="MEDIA"/>
    <s v="REGIONAL"/>
    <s v="Funcionalidades Regionales"/>
    <s v="DSI"/>
    <m/>
    <m/>
    <s v="Argentina"/>
    <s v="Adrian Gadja"/>
    <s v="adrian.gajda@degasa.com.ar"/>
    <x v="20"/>
    <s v="APROBADO"/>
    <s v="No iniciado"/>
    <m/>
    <s v="Q2"/>
    <s v="p35"/>
    <s v="MEDIA"/>
    <n v="1"/>
    <n v="8"/>
    <n v="2"/>
    <n v="550"/>
    <m/>
    <n v="9440"/>
    <m/>
    <m/>
    <x v="0"/>
    <d v="2024-03-18T00:00:00"/>
    <d v="2024-04-15T00:00:00"/>
    <d v="1900-01-27T00:00:00"/>
    <d v="2024-04-15T00:00:00"/>
    <d v="2024-04-29T00:00:00"/>
    <d v="2894-05-17T00:00:00"/>
    <d v="2024-04-29T00:00:00"/>
    <d v="2024-05-13T00:00:00"/>
    <d v="2024-05-01T00:00:00"/>
    <d v="2024-06-26T00:00:00"/>
    <n v="2"/>
    <n v="14"/>
    <s v="PROYECTO REGIONAL"/>
    <m/>
    <s v="x"/>
    <m/>
  </r>
  <r>
    <s v="2024"/>
    <x v="1"/>
    <s v="Cupones"/>
    <s v="Cupones QR - Cupones por horario"/>
    <s v="MXP LEGACY_x000a_TRADE"/>
    <s v="Compromiso Matriz Regional  (Argentina)_x000a_Integrar las pantallas del backoffice de Mxp_x000a_"/>
    <s v="ALTA"/>
    <s v="REGIONAL"/>
    <s v="Funcionalidades Regionales"/>
    <s v="DSI"/>
    <m/>
    <m/>
    <s v="Colombia"/>
    <s v="William Villegas"/>
    <s v="william.villegas@kfc.co"/>
    <x v="16"/>
    <s v="APROBADO"/>
    <s v="Finalizado"/>
    <s v="Q1"/>
    <s v="Q2"/>
    <s v="p33"/>
    <s v="MEDIA"/>
    <n v="1"/>
    <n v="2"/>
    <n v="1"/>
    <n v="550"/>
    <m/>
    <n v="1260"/>
    <m/>
    <m/>
    <x v="7"/>
    <d v="2024-03-04T00:00:00"/>
    <d v="2024-04-01T00:00:00"/>
    <d v="1900-01-27T00:00:00"/>
    <d v="2024-04-01T00:00:00"/>
    <d v="2024-04-08T00:00:00"/>
    <d v="2894-01-18T00:00:00"/>
    <d v="2024-04-08T00:00:00"/>
    <d v="2024-05-31T00:00:00"/>
    <d v="2024-04-01T00:00:00"/>
    <d v="2024-04-15T00:00:00"/>
    <n v="0.5"/>
    <n v="53"/>
    <s v="PROYECTO REGIONAL"/>
    <m/>
    <s v="x"/>
    <s v="Confirmar con Darwin o con el equipo de Colombia si se tiene esta funcionalidad en Colombia"/>
  </r>
  <r>
    <s v="2024"/>
    <x v="1"/>
    <s v="Cupones"/>
    <s v="Cupones QR - Cupones por horario"/>
    <s v="MXP LEGACY_x000a_TRADE"/>
    <s v="Compromiso Matriz Regional  (Argentina)_x000a_Integrar las pantallas del backoffice de Mxp_x000a_"/>
    <s v="ALTA"/>
    <s v="REGIONAL"/>
    <s v="Funcionalidades Regionales"/>
    <s v="DSI"/>
    <m/>
    <m/>
    <s v="Chile"/>
    <s v="Davis Nuñez"/>
    <s v="davis.nunez@degasa.cl"/>
    <x v="16"/>
    <s v="APROBADO"/>
    <s v="No iniciado"/>
    <s v="Q1"/>
    <s v="Q1"/>
    <s v="p33"/>
    <s v="MEDIA"/>
    <n v="1"/>
    <n v="2"/>
    <n v="1"/>
    <n v="550"/>
    <m/>
    <n v="1260"/>
    <m/>
    <m/>
    <x v="4"/>
    <d v="2024-03-04T00:00:00"/>
    <d v="2024-04-01T00:00:00"/>
    <d v="1900-01-27T00:00:00"/>
    <d v="2024-04-01T00:00:00"/>
    <d v="2024-04-08T00:00:00"/>
    <d v="2894-01-18T00:00:00"/>
    <d v="2024-04-08T00:00:00"/>
    <d v="2024-05-31T00:00:00"/>
    <d v="2024-05-01T00:00:00"/>
    <d v="2024-05-15T00:00:00"/>
    <n v="0.5"/>
    <n v="53"/>
    <s v="PROYECTO REGIONAL"/>
    <m/>
    <s v="x"/>
    <m/>
  </r>
  <r>
    <s v="2024"/>
    <x v="1"/>
    <s v="Cupones"/>
    <s v="Cupones QR - Cupones por horario"/>
    <s v="MXP LEGACY_x000a_TRADE"/>
    <s v="Compromiso Matriz Regional  (Argentina)_x000a_Integrar las pantallas del backoffice de Mxp_x000a_"/>
    <s v="ALTA"/>
    <s v="REGIONAL"/>
    <s v="Funcionalidades Regionales"/>
    <s v="DSI"/>
    <m/>
    <m/>
    <s v="Venezuela"/>
    <s v="Jhustin Vergara"/>
    <s v="jhustin.vergara@kfc.com.ve"/>
    <x v="16"/>
    <s v="APROBADO"/>
    <s v="En curso"/>
    <s v="Q1"/>
    <s v="Q2"/>
    <s v="p33"/>
    <s v="MEDIA"/>
    <n v="1"/>
    <n v="2"/>
    <n v="1"/>
    <n v="550"/>
    <m/>
    <n v="1260"/>
    <m/>
    <m/>
    <x v="7"/>
    <d v="2024-03-04T00:00:00"/>
    <d v="2024-04-01T00:00:00"/>
    <d v="1900-01-27T00:00:00"/>
    <d v="2024-04-01T00:00:00"/>
    <d v="2024-04-08T00:00:00"/>
    <d v="2894-01-18T00:00:00"/>
    <d v="2024-04-08T00:00:00"/>
    <d v="2024-05-31T00:00:00"/>
    <d v="2024-04-01T00:00:00"/>
    <d v="2024-04-15T00:00:00"/>
    <n v="0.5"/>
    <n v="53"/>
    <s v="PROYECTO REGIONAL"/>
    <m/>
    <s v="x"/>
    <m/>
  </r>
  <r>
    <s v="2024"/>
    <x v="1"/>
    <s v="Cupones"/>
    <s v="Cupones QR - Cupones por horario"/>
    <s v="MXP LEGACY_x000a_TRADE"/>
    <s v="Compromiso Matriz Regional  (Argentina)_x000a_Integrar las pantallas del backoffice de Mxp_x000a_"/>
    <s v="ALTA"/>
    <s v="REGIONAL"/>
    <s v="Funcionalidades Regionales"/>
    <s v="DSI"/>
    <m/>
    <m/>
    <s v="Argentina"/>
    <s v="Adrian Gadja"/>
    <s v="adrian.gajda@degasa.com.ar"/>
    <x v="16"/>
    <s v="APROBADO"/>
    <s v="No iniciado"/>
    <s v="Q1"/>
    <s v="Q1"/>
    <s v="p33"/>
    <s v="MEDIA"/>
    <n v="1"/>
    <n v="2"/>
    <n v="1"/>
    <n v="550"/>
    <m/>
    <n v="1260"/>
    <m/>
    <m/>
    <x v="4"/>
    <d v="2024-03-04T00:00:00"/>
    <d v="2024-04-01T00:00:00"/>
    <d v="1900-01-27T00:00:00"/>
    <d v="2024-04-01T00:00:00"/>
    <d v="2024-04-08T00:00:00"/>
    <d v="2894-01-18T00:00:00"/>
    <d v="2024-04-08T00:00:00"/>
    <d v="2024-05-31T00:00:00"/>
    <d v="2024-05-01T00:00:00"/>
    <d v="2024-05-15T00:00:00"/>
    <n v="0.5"/>
    <n v="53"/>
    <s v="PROYECTO REGIONAL"/>
    <m/>
    <s v="x"/>
    <m/>
  </r>
  <r>
    <s v="2023"/>
    <x v="3"/>
    <m/>
    <s v="LOPDP - Adaptación del proceso de cupones app a la master data de clientes"/>
    <m/>
    <m/>
    <m/>
    <m/>
    <m/>
    <s v="DSI"/>
    <m/>
    <m/>
    <s v="Ecuador"/>
    <m/>
    <m/>
    <x v="16"/>
    <s v="APROBADO"/>
    <m/>
    <m/>
    <s v="Q1"/>
    <m/>
    <s v="BAJA"/>
    <m/>
    <m/>
    <m/>
    <m/>
    <m/>
    <n v="580"/>
    <m/>
    <m/>
    <x v="2"/>
    <m/>
    <m/>
    <e v="#REF!"/>
    <m/>
    <m/>
    <d v="1899-12-30T00:00:00"/>
    <m/>
    <m/>
    <d v="1899-12-30T00:00:00"/>
    <d v="1899-12-30T00:00:00"/>
    <n v="0"/>
    <n v="0"/>
    <m/>
    <m/>
    <m/>
    <m/>
  </r>
  <r>
    <s v="2023"/>
    <x v="3"/>
    <m/>
    <s v="LOPDP - Adaptación del proceso de motorizados a la master data de clientes"/>
    <m/>
    <m/>
    <m/>
    <m/>
    <m/>
    <s v="DSI"/>
    <m/>
    <m/>
    <s v="Ecuador"/>
    <m/>
    <m/>
    <x v="16"/>
    <s v="APROBADO"/>
    <m/>
    <m/>
    <s v="Q1"/>
    <m/>
    <s v="BAJA"/>
    <m/>
    <m/>
    <m/>
    <m/>
    <m/>
    <n v="580"/>
    <m/>
    <m/>
    <x v="2"/>
    <m/>
    <m/>
    <e v="#REF!"/>
    <m/>
    <m/>
    <d v="1899-12-30T00:00:00"/>
    <m/>
    <m/>
    <d v="1899-12-30T00:00:00"/>
    <d v="1899-12-30T00:00:00"/>
    <n v="0"/>
    <n v="0"/>
    <m/>
    <m/>
    <m/>
    <m/>
  </r>
  <r>
    <s v="2024"/>
    <x v="0"/>
    <m/>
    <s v="Mantenimiento"/>
    <m/>
    <m/>
    <m/>
    <s v="LOCAL"/>
    <s v="Mantenimiento"/>
    <s v="DSI"/>
    <m/>
    <m/>
    <s v="Ecuador"/>
    <s v="Vanessa Soria"/>
    <s v="vanessa.soria@degasa.cl"/>
    <x v="16"/>
    <s v="APROBADO"/>
    <m/>
    <m/>
    <s v="Q4"/>
    <m/>
    <m/>
    <m/>
    <n v="40"/>
    <n v="1"/>
    <n v="190"/>
    <m/>
    <n v="8240"/>
    <m/>
    <m/>
    <x v="2"/>
    <d v="2024-03-01T00:00:00"/>
    <d v="2024-12-31T00:00:00"/>
    <e v="#REF!"/>
    <m/>
    <m/>
    <d v="1899-12-30T00:00:00"/>
    <m/>
    <m/>
    <d v="2024-03-01T00:00:00"/>
    <d v="1899-12-30T00:00:00"/>
    <n v="10"/>
    <n v="0"/>
    <m/>
    <m/>
    <m/>
    <m/>
  </r>
  <r>
    <s v="2024"/>
    <x v="3"/>
    <m/>
    <s v="Mantenimiento Legacy Ecuador 2024"/>
    <m/>
    <s v="Ver Anexo A3"/>
    <m/>
    <m/>
    <s v="Mantenimiento"/>
    <s v="DSI"/>
    <m/>
    <m/>
    <s v="Ecuador"/>
    <s v="José Fernández"/>
    <s v="jose.fernandez@kfc.com.ec"/>
    <x v="16"/>
    <s v="APROBADO"/>
    <s v="No iniciado"/>
    <m/>
    <s v="Q2"/>
    <m/>
    <s v="ALTA"/>
    <n v="1"/>
    <n v="20"/>
    <n v="8"/>
    <n v="550"/>
    <m/>
    <n v="88580"/>
    <m/>
    <m/>
    <x v="0"/>
    <d v="2024-06-15T00:00:00"/>
    <d v="2024-07-06T00:00:00"/>
    <d v="2024-07-07T00:00:00"/>
    <d v="2024-07-21T00:00:00"/>
    <d v="2024-07-22T00:00:00"/>
    <d v="2024-08-05T00:00:00"/>
    <d v="2024-03-10T00:00:00"/>
    <d v="2024-12-31T00:00:00"/>
    <d v="2024-06-15T00:00:00"/>
    <d v="2024-12-31T00:00:00"/>
    <n v="5"/>
    <n v="296"/>
    <s v="Identificado Grupo de Soporte"/>
    <m/>
    <m/>
    <m/>
  </r>
  <r>
    <s v="2024"/>
    <x v="3"/>
    <m/>
    <s v="Mantenimiento Maxpoint"/>
    <m/>
    <s v="Correcciones y mejoras en MaxPoint"/>
    <m/>
    <s v="LOCAL"/>
    <s v="Mantenimiento"/>
    <s v="DSI"/>
    <m/>
    <m/>
    <s v="Venezuela"/>
    <s v="Jhustin Vergara"/>
    <m/>
    <x v="19"/>
    <s v="APROBADO"/>
    <s v="En curso"/>
    <m/>
    <s v="Q1"/>
    <m/>
    <s v="ALTA"/>
    <n v="1"/>
    <n v="8"/>
    <n v="3"/>
    <n v="550"/>
    <m/>
    <n v="13200"/>
    <m/>
    <m/>
    <x v="2"/>
    <d v="2024-01-01T00:00:00"/>
    <d v="2024-03-14T00:00:00"/>
    <e v="#REF!"/>
    <d v="2024-03-18T00:00:00"/>
    <d v="2024-03-22T00:00:00"/>
    <d v="2893-09-25T00:00:00"/>
    <d v="2024-03-25T00:00:00"/>
    <d v="2024-03-27T00:00:00"/>
    <d v="2024-01-01T00:00:00"/>
    <d v="2024-03-27T00:00:00"/>
    <n v="2"/>
    <n v="2"/>
    <m/>
    <m/>
    <m/>
    <m/>
  </r>
  <r>
    <s v="2024"/>
    <x v="3"/>
    <m/>
    <s v="Mantenimiento Maxpoint"/>
    <m/>
    <s v="Mejoras y corrección bugs"/>
    <m/>
    <s v="LOCAL"/>
    <s v="Mantenimiento"/>
    <s v="DSI"/>
    <m/>
    <m/>
    <s v="Argentina"/>
    <s v="Adrian Gadja"/>
    <m/>
    <x v="22"/>
    <s v="APROBADO"/>
    <s v="En curso"/>
    <m/>
    <s v="Q1"/>
    <m/>
    <s v="MEDIA"/>
    <n v="1"/>
    <n v="8"/>
    <n v="3"/>
    <n v="550"/>
    <m/>
    <n v="13200"/>
    <m/>
    <m/>
    <x v="2"/>
    <d v="2024-01-01T00:00:00"/>
    <d v="2024-04-12T00:00:00"/>
    <e v="#REF!"/>
    <d v="2024-04-15T00:00:00"/>
    <d v="2024-04-19T00:00:00"/>
    <d v="2894-05-07T00:00:00"/>
    <d v="2024-04-22T00:00:00"/>
    <d v="2024-04-26T00:00:00"/>
    <d v="2024-01-01T00:00:00"/>
    <d v="2024-04-26T00:00:00"/>
    <n v="2"/>
    <n v="4"/>
    <m/>
    <m/>
    <m/>
    <m/>
  </r>
  <r>
    <s v="2024"/>
    <x v="3"/>
    <m/>
    <s v="Mantenimiento MaxPoint"/>
    <m/>
    <s v="Mantenimiento y remediaciones en MaxPoint"/>
    <m/>
    <s v="LOCAL"/>
    <s v="Mantenimiento"/>
    <s v="DSI"/>
    <m/>
    <m/>
    <s v="Colombia"/>
    <s v="William Villegas"/>
    <m/>
    <x v="23"/>
    <s v="APROBADO"/>
    <s v="En curso"/>
    <m/>
    <s v="Q1"/>
    <m/>
    <s v="ALTA"/>
    <n v="1"/>
    <n v="8"/>
    <n v="3"/>
    <n v="625"/>
    <m/>
    <n v="15000"/>
    <m/>
    <m/>
    <x v="2"/>
    <d v="2024-01-01T00:00:00"/>
    <d v="2024-02-15T00:00:00"/>
    <e v="#REF!"/>
    <d v="2024-02-04T00:00:00"/>
    <d v="2024-02-09T00:00:00"/>
    <d v="2892-10-17T00:00:00"/>
    <d v="2024-02-11T00:00:00"/>
    <d v="2024-02-15T00:00:00"/>
    <d v="2024-01-01T00:00:00"/>
    <d v="2024-02-15T00:00:00"/>
    <n v="2"/>
    <n v="4"/>
    <m/>
    <m/>
    <m/>
    <m/>
  </r>
  <r>
    <s v="2024"/>
    <x v="3"/>
    <m/>
    <s v="Maxpoint Delivery CW"/>
    <m/>
    <s v="Terminar implementación y corrección de bug"/>
    <m/>
    <s v="LOCAL"/>
    <s v="Mantenimiento"/>
    <s v="DSI"/>
    <m/>
    <m/>
    <s v="Chile"/>
    <s v="Davis Nuñez"/>
    <m/>
    <x v="21"/>
    <s v="APROBADO"/>
    <s v="En curso"/>
    <m/>
    <s v="Q1"/>
    <s v="Dependencia estabilización en KFC"/>
    <s v="ALTA"/>
    <n v="1"/>
    <n v="1"/>
    <n v="2"/>
    <n v="625"/>
    <m/>
    <n v="1250"/>
    <m/>
    <m/>
    <x v="2"/>
    <d v="2024-03-04T00:00:00"/>
    <d v="2024-03-08T00:00:00"/>
    <e v="#REF!"/>
    <d v="2024-03-11T00:00:00"/>
    <d v="2024-03-15T00:00:00"/>
    <d v="2893-07-31T00:00:00"/>
    <d v="2024-03-18T00:00:00"/>
    <d v="2024-03-22T00:00:00"/>
    <d v="2024-03-04T00:00:00"/>
    <d v="2024-03-22T00:00:00"/>
    <n v="0.25"/>
    <n v="4"/>
    <m/>
    <m/>
    <m/>
    <m/>
  </r>
  <r>
    <s v="2024"/>
    <x v="0"/>
    <m/>
    <s v="Mayores Contables por Cco"/>
    <m/>
    <s v="Alcance presupuesto anterior mejoras contabilidad- pedido equipo ERP"/>
    <m/>
    <s v="LOCAL"/>
    <s v="Mantenimiento"/>
    <s v="DSI"/>
    <m/>
    <m/>
    <s v="Ecuador"/>
    <s v="Juan Alejandro"/>
    <s v="juan.alejandro@kfc.com.ec"/>
    <x v="16"/>
    <s v="IDENTIFICADO"/>
    <s v="Iniciado "/>
    <m/>
    <s v="Q2"/>
    <m/>
    <s v="BAJA"/>
    <m/>
    <n v="2"/>
    <n v="2"/>
    <n v="400"/>
    <m/>
    <n v="2240"/>
    <m/>
    <m/>
    <x v="1"/>
    <d v="2024-04-29T00:00:00"/>
    <m/>
    <e v="#REF!"/>
    <m/>
    <m/>
    <d v="1899-12-30T00:00:00"/>
    <d v="2024-05-28T00:00:00"/>
    <d v="2024-05-28T00:00:00"/>
    <d v="2024-04-29T00:00:00"/>
    <d v="2024-05-28T00:00:00"/>
    <n v="0.5"/>
    <n v="0"/>
    <m/>
    <m/>
    <m/>
    <m/>
  </r>
  <r>
    <s v="2024"/>
    <x v="1"/>
    <s v="Cupones"/>
    <s v="Cupones QR - Empresariales"/>
    <s v="MXP LEGACY_x000a_TRADE"/>
    <s v="Compromiso Matriz Regional  (Ecuador) (api v3 cupones)"/>
    <s v="MEDIA"/>
    <s v="REGIONAL"/>
    <s v="Funcionalidades Regionales"/>
    <s v="DSI"/>
    <m/>
    <m/>
    <s v="Ecuador"/>
    <s v="Jaime Rodriguez"/>
    <m/>
    <x v="16"/>
    <s v="APROBADO"/>
    <s v="No iniciado"/>
    <m/>
    <s v="Q2"/>
    <s v="P37"/>
    <s v="MEDIA"/>
    <n v="1"/>
    <n v="2"/>
    <n v="1"/>
    <n v="550"/>
    <m/>
    <n v="1420"/>
    <m/>
    <m/>
    <x v="4"/>
    <d v="2024-04-01T00:00:00"/>
    <d v="2024-04-15T00:00:00"/>
    <d v="1900-01-13T00:00:00"/>
    <d v="2024-04-15T00:00:00"/>
    <d v="2024-04-22T00:00:00"/>
    <d v="2894-05-10T00:00:00"/>
    <d v="2024-04-22T00:00:00"/>
    <d v="2025-01-31T00:00:00"/>
    <d v="2024-07-01T00:00:00"/>
    <d v="2024-07-15T00:00:00"/>
    <n v="0.5"/>
    <n v="284"/>
    <s v="PROYECTO REGIONAL"/>
    <m/>
    <m/>
    <m/>
  </r>
  <r>
    <s v="2024"/>
    <x v="2"/>
    <m/>
    <s v="Migración de Aplicativo de Reclutamiento a AKS"/>
    <m/>
    <s v="Coordinar en un AKS"/>
    <m/>
    <s v="LOCAL"/>
    <s v="Funcionalidades Locales"/>
    <s v="DSI"/>
    <m/>
    <m/>
    <s v="Venezuela"/>
    <s v="Jhustin Vergara"/>
    <m/>
    <x v="19"/>
    <s v="APROBADO"/>
    <s v="No iniciado"/>
    <m/>
    <s v="Q2"/>
    <m/>
    <s v="BAJA"/>
    <n v="1"/>
    <n v="2"/>
    <n v="1"/>
    <n v="550"/>
    <m/>
    <n v="1740"/>
    <m/>
    <m/>
    <x v="2"/>
    <d v="2024-04-01T00:00:00"/>
    <d v="2024-04-07T00:00:00"/>
    <e v="#REF!"/>
    <d v="2024-04-07T00:00:00"/>
    <d v="2024-04-10T00:00:00"/>
    <d v="2894-03-03T00:00:00"/>
    <d v="2024-04-10T00:00:00"/>
    <d v="2024-04-14T00:00:00"/>
    <d v="2024-04-01T00:00:00"/>
    <d v="2024-04-14T00:00:00"/>
    <n v="0.5"/>
    <n v="4"/>
    <m/>
    <m/>
    <m/>
    <m/>
  </r>
  <r>
    <n v="2024"/>
    <x v="4"/>
    <m/>
    <s v="Migración Plataforma B2b a Genexus"/>
    <m/>
    <s v="Migrar plataforma B2B a Genexus"/>
    <m/>
    <s v="LOCAL"/>
    <s v="Mejoras B2B - Finanzas"/>
    <s v="DSI"/>
    <m/>
    <m/>
    <s v="Colombia"/>
    <m/>
    <m/>
    <x v="23"/>
    <s v="APROBADO"/>
    <s v="En curso"/>
    <s v="Q2"/>
    <s v="Q3"/>
    <m/>
    <s v="MEDIA"/>
    <n v="0.15"/>
    <n v="4"/>
    <n v="1"/>
    <n v="1600"/>
    <m/>
    <n v="960"/>
    <m/>
    <m/>
    <x v="2"/>
    <m/>
    <m/>
    <m/>
    <m/>
    <m/>
    <m/>
    <m/>
    <m/>
    <d v="1899-12-30T00:00:00"/>
    <d v="1899-12-30T00:00:00"/>
    <n v="1"/>
    <m/>
    <m/>
    <m/>
    <m/>
    <m/>
  </r>
  <r>
    <n v="2024"/>
    <x v="4"/>
    <m/>
    <s v="Migración Plataforma B2b a Genexus"/>
    <m/>
    <s v="Migrar plataforma B2B a Genexus"/>
    <m/>
    <s v="LOCAL"/>
    <s v="Mejoras B2B - Finanzas"/>
    <s v="DSI"/>
    <m/>
    <m/>
    <s v="Chile"/>
    <m/>
    <m/>
    <x v="21"/>
    <s v="APROBADO"/>
    <s v="En curso"/>
    <s v="Q2"/>
    <s v="Q3"/>
    <m/>
    <s v="MEDIA"/>
    <n v="0.05"/>
    <n v="4"/>
    <n v="1"/>
    <n v="1600"/>
    <m/>
    <n v="320"/>
    <m/>
    <m/>
    <x v="2"/>
    <m/>
    <m/>
    <m/>
    <m/>
    <m/>
    <m/>
    <m/>
    <m/>
    <d v="1899-12-30T00:00:00"/>
    <d v="1899-12-30T00:00:00"/>
    <n v="1"/>
    <m/>
    <m/>
    <m/>
    <m/>
    <m/>
  </r>
  <r>
    <s v="2024"/>
    <x v="1"/>
    <s v="Motorizado Delivery"/>
    <s v="Monitor de Pedidos Motorizados DY Propios"/>
    <s v="MXP LEGACY_x000a_TRADE"/>
    <s v="Nuevo Requerimiento"/>
    <s v="MEDIA"/>
    <s v="LOCAL"/>
    <s v="Funcionalidades Locales"/>
    <s v="DSI"/>
    <m/>
    <m/>
    <s v="Chile"/>
    <s v="Davis Nuñez"/>
    <m/>
    <x v="20"/>
    <s v="APROBADO"/>
    <s v="No iniciado"/>
    <m/>
    <s v="Q4"/>
    <s v="p77"/>
    <s v="MEDIA"/>
    <m/>
    <n v="9"/>
    <n v="1"/>
    <n v="550"/>
    <m/>
    <n v="5590"/>
    <m/>
    <m/>
    <x v="3"/>
    <d v="2024-10-14T00:00:00"/>
    <d v="2024-11-11T00:00:00"/>
    <d v="1900-01-27T00:00:00"/>
    <d v="2024-11-11T00:00:00"/>
    <d v="2024-11-25T00:00:00"/>
    <d v="2898-12-22T00:00:00"/>
    <d v="2024-11-25T00:00:00"/>
    <d v="2024-12-16T00:00:00"/>
    <d v="2024-10-01T00:00:00"/>
    <d v="2024-12-03T00:00:00"/>
    <n v="2.25"/>
    <n v="21"/>
    <s v="Contexto."/>
    <m/>
    <m/>
    <m/>
  </r>
  <r>
    <s v="2024"/>
    <x v="1"/>
    <s v="Multinube"/>
    <s v="Multinube para pedidos de domicilio"/>
    <s v="MXP LEGACY_x000a_TRADE"/>
    <s v="Implmentación de redundancia en servicio de nube de Google"/>
    <s v="BAJA"/>
    <s v="LOCAL"/>
    <s v="Funcionalidades Locales"/>
    <s v="DSI"/>
    <m/>
    <m/>
    <s v="Colombia"/>
    <s v="William Villegas"/>
    <s v="william.villegas@kfc.co"/>
    <x v="20"/>
    <s v="APROBADO"/>
    <s v="No iniciado"/>
    <m/>
    <s v="Q1"/>
    <s v="p31"/>
    <s v="MEDIA"/>
    <m/>
    <n v="2"/>
    <n v="1"/>
    <n v="550"/>
    <m/>
    <n v="1740"/>
    <m/>
    <m/>
    <x v="0"/>
    <d v="2024-03-04T00:00:00"/>
    <d v="2024-03-11T00:00:00"/>
    <d v="1900-01-06T00:00:00"/>
    <d v="2024-03-11T00:00:00"/>
    <d v="2024-03-18T00:00:00"/>
    <d v="2893-08-03T00:00:00"/>
    <d v="2024-03-18T00:00:00"/>
    <d v="2024-03-18T00:00:00"/>
    <d v="2024-06-01T00:00:00"/>
    <d v="2024-06-15T00:00:00"/>
    <n v="0.5"/>
    <n v="0"/>
    <m/>
    <m/>
    <m/>
    <m/>
  </r>
  <r>
    <s v="2023"/>
    <x v="3"/>
    <m/>
    <s v="Mxp - Impresión v2.1 NETCORE"/>
    <m/>
    <s v="Compromiso Matriz Regional  (Ecuador, Colombia, Chile y Argentina)"/>
    <m/>
    <m/>
    <s v="Pendientes Matriz Regional 2023"/>
    <s v="DSI"/>
    <m/>
    <m/>
    <s v="Ecuador"/>
    <s v="José Fernandez - Darwin Mora"/>
    <m/>
    <x v="16"/>
    <s v="APROBADO"/>
    <s v="Finalizado"/>
    <m/>
    <s v="Q1"/>
    <m/>
    <s v="BAJA"/>
    <m/>
    <m/>
    <m/>
    <m/>
    <m/>
    <n v="580"/>
    <m/>
    <m/>
    <x v="2"/>
    <m/>
    <m/>
    <m/>
    <m/>
    <m/>
    <d v="1899-12-30T00:00:00"/>
    <m/>
    <m/>
    <d v="1899-12-30T00:00:00"/>
    <d v="1899-12-30T00:00:00"/>
    <n v="0"/>
    <n v="0"/>
    <s v="PROYECTO REGIONAL"/>
    <m/>
    <m/>
    <m/>
  </r>
  <r>
    <s v="2024"/>
    <x v="1"/>
    <s v="Cupones"/>
    <s v="Cupones QR - Empresariales"/>
    <s v="MXP LEGACY_x000a_TRADE"/>
    <s v="Compromiso Matriz Regional  (Argentina) (api v3 cupones)"/>
    <s v="MEDIA"/>
    <s v="REGIONAL"/>
    <s v="Funcionalidades Regionales"/>
    <s v="DSI"/>
    <m/>
    <m/>
    <s v="Argentina"/>
    <s v="Adrian Gadja"/>
    <m/>
    <x v="16"/>
    <s v="APROBADO"/>
    <s v="En curso"/>
    <m/>
    <s v="Q2"/>
    <s v="P37"/>
    <s v="MEDIA"/>
    <n v="1"/>
    <n v="2"/>
    <n v="1"/>
    <n v="550"/>
    <m/>
    <n v="1420"/>
    <m/>
    <m/>
    <x v="10"/>
    <d v="2024-04-01T00:00:00"/>
    <d v="2024-04-15T00:00:00"/>
    <d v="1900-01-13T00:00:00"/>
    <d v="2024-04-15T00:00:00"/>
    <d v="2024-04-22T00:00:00"/>
    <d v="2894-05-10T00:00:00"/>
    <d v="2024-04-22T00:00:00"/>
    <d v="2025-01-31T00:00:00"/>
    <d v="2024-08-01T00:00:00"/>
    <d v="2024-08-15T00:00:00"/>
    <n v="0.5"/>
    <n v="284"/>
    <s v="PROYECTO REGIONAL"/>
    <m/>
    <m/>
    <m/>
  </r>
  <r>
    <s v="2024"/>
    <x v="1"/>
    <s v="Cupones"/>
    <s v="Cupones QR - V3 Centralizada (App KFC) "/>
    <s v="MXP LEGACY_x000a_TRADE"/>
    <s v="Compromiso Matriz Regional  ( venezuela)"/>
    <s v="MEDIA"/>
    <s v="REGIONAL"/>
    <s v="Funcionalidades Regionales"/>
    <s v="DSI"/>
    <m/>
    <m/>
    <s v="Venezuela"/>
    <s v="Jhustin Vergara"/>
    <s v="jhustin.vergara@kfc.com.ve"/>
    <x v="16"/>
    <s v="APROBADO"/>
    <s v="No iniciado"/>
    <m/>
    <s v="Q1"/>
    <m/>
    <s v="MEDIA"/>
    <n v="1"/>
    <n v="6"/>
    <n v="1"/>
    <n v="550"/>
    <m/>
    <n v="3940"/>
    <m/>
    <m/>
    <x v="0"/>
    <d v="2024-03-04T00:00:00"/>
    <d v="2024-04-01T00:00:00"/>
    <d v="1900-01-27T00:00:00"/>
    <d v="2024-04-01T00:00:00"/>
    <d v="2024-04-08T00:00:00"/>
    <d v="2894-01-18T00:00:00"/>
    <d v="2024-04-08T00:00:00"/>
    <d v="2025-01-31T00:00:00"/>
    <d v="2024-06-01T00:00:00"/>
    <d v="2024-07-13T00:00:00"/>
    <n v="1.5"/>
    <n v="298"/>
    <s v="PROYECTO REGIONAL"/>
    <m/>
    <m/>
    <m/>
  </r>
  <r>
    <s v="2024"/>
    <x v="1"/>
    <s v="DragonTail"/>
    <s v="Mxp Delivery - Dragon Tail"/>
    <s v="MXP LEGACY_x000a_MXP 2.0"/>
    <s v="Mxp Delivery - Dragon Tail (Integración)_x000a_Compromiso Matriz Regional  (Venezuela, Ecuador, Chile, Colombia y Argentina)   _x000a_Implementación de KDS en el counter con dragontale para todos los pedido, envío de tracking ID."/>
    <s v="ALTA"/>
    <s v="REGIONAL"/>
    <s v="Proyectos TD 2024"/>
    <s v="DSI"/>
    <m/>
    <m/>
    <s v="Chile"/>
    <s v="Davis Nuñez"/>
    <m/>
    <x v="16"/>
    <s v="APROBADO"/>
    <s v="No iniciado"/>
    <m/>
    <s v="Q4"/>
    <s v="p8"/>
    <s v="ALTA"/>
    <n v="1"/>
    <n v="15"/>
    <n v="1"/>
    <n v="550"/>
    <m/>
    <n v="8890"/>
    <m/>
    <m/>
    <x v="3"/>
    <d v="2024-10-07T00:00:00"/>
    <d v="2024-11-04T00:00:00"/>
    <d v="1900-01-27T00:00:00"/>
    <d v="2024-11-04T00:00:00"/>
    <d v="2024-11-18T00:00:00"/>
    <d v="2898-10-27T00:00:00"/>
    <d v="2024-11-18T00:00:00"/>
    <d v="2024-12-09T00:00:00"/>
    <d v="2024-10-01T00:00:00"/>
    <d v="2025-01-14T00:00:00"/>
    <n v="3.75"/>
    <n v="21"/>
    <s v="PROYECTO REGIONAL"/>
    <m/>
    <m/>
    <m/>
  </r>
  <r>
    <s v="2024"/>
    <x v="1"/>
    <s v="Agregadores"/>
    <s v="Integración Directo a Agregadores KFC"/>
    <s v="MXP LEGACY_x000a_MXP 2.0_x000a_"/>
    <s v="Envío Menús Agregadores KFC"/>
    <s v="ALTA"/>
    <s v="REGIONAL"/>
    <s v="Integración con Agregadores (Regional)"/>
    <s v="DSI"/>
    <m/>
    <m/>
    <s v="Ecuador"/>
    <s v="Jaime Rodriguez"/>
    <s v="jaime.rodriguez@kfc.com.ec"/>
    <x v="16"/>
    <s v="APROBADO"/>
    <s v="En curso"/>
    <m/>
    <s v="Q3"/>
    <s v="p38"/>
    <s v="MEDIA"/>
    <n v="0.28999999999999998"/>
    <n v="1"/>
    <n v="1"/>
    <n v="101428"/>
    <m/>
    <n v="29599.719999999998"/>
    <m/>
    <m/>
    <x v="7"/>
    <d v="2024-03-25T00:00:00"/>
    <m/>
    <n v="-45376"/>
    <m/>
    <m/>
    <d v="1899-12-30T00:00:00"/>
    <m/>
    <d v="2024-08-12T00:00:00"/>
    <d v="2024-03-25T00:00:00"/>
    <d v="2024-08-12T00:00:00"/>
    <n v="5"/>
    <n v="45516"/>
    <s v="PROYECTO REGIONAL"/>
    <m/>
    <m/>
    <m/>
  </r>
  <r>
    <s v="2024"/>
    <x v="1"/>
    <s v="Menú V3"/>
    <s v="Menu V3 - Envio de Descuentos desde MXP"/>
    <s v="MXP LEGACY_x000a_TRADE"/>
    <s v="Compromiso Matriz Regional  (Falta Argentina - 2023)"/>
    <s v="ALTA"/>
    <s v="REGIONAL"/>
    <s v="Funcionalidades Regionales"/>
    <s v="DSI"/>
    <m/>
    <m/>
    <s v="Argentina"/>
    <s v="Adrian Gadja"/>
    <s v="adrian.gajda@degasa.com.ar"/>
    <x v="16"/>
    <s v="APROBADO"/>
    <s v="En curso"/>
    <m/>
    <s v="Q2"/>
    <s v="p15"/>
    <s v="ALTA"/>
    <n v="1"/>
    <n v="2"/>
    <n v="1"/>
    <n v="550"/>
    <m/>
    <n v="1740"/>
    <m/>
    <m/>
    <x v="1"/>
    <d v="2024-03-04T00:00:00"/>
    <d v="2024-03-11T00:00:00"/>
    <d v="1900-01-06T00:00:00"/>
    <d v="2024-03-11T00:00:00"/>
    <d v="2024-03-18T00:00:00"/>
    <d v="2893-08-03T00:00:00"/>
    <d v="2024-03-18T00:00:00"/>
    <d v="2024-03-25T00:00:00"/>
    <d v="2024-04-01T00:00:00"/>
    <d v="2024-04-15T00:00:00"/>
    <n v="0.5"/>
    <n v="7"/>
    <s v="PROYECTO REGIONAL"/>
    <m/>
    <m/>
    <s v="Validar con Mike porque se esta ejecutando esta HU para Venezuela"/>
  </r>
  <r>
    <s v="2024"/>
    <x v="4"/>
    <m/>
    <s v="Optimizacion de desarrollos Z en SAP Regional"/>
    <m/>
    <s v="Mejorar los desarrollos en SAP"/>
    <m/>
    <m/>
    <s v="Mejorar los desarrollos en SAP"/>
    <s v="DSI"/>
    <m/>
    <m/>
    <s v="Ecuador"/>
    <s v="Juan Alejadro"/>
    <m/>
    <x v="16"/>
    <s v="IDENTIFICADO"/>
    <s v="No iniciado"/>
    <s v="Q3"/>
    <s v="Q3"/>
    <m/>
    <s v="ALTA"/>
    <n v="1"/>
    <n v="24"/>
    <n v="2"/>
    <n v="500"/>
    <m/>
    <n v="24000"/>
    <m/>
    <m/>
    <x v="2"/>
    <d v="2024-02-28T00:00:00"/>
    <d v="2024-08-28T00:00:00"/>
    <d v="1900-06-30T00:00:00"/>
    <m/>
    <m/>
    <d v="1899-12-30T00:00:00"/>
    <m/>
    <m/>
    <d v="2024-02-28T00:00:00"/>
    <d v="1899-12-30T00:00:00"/>
    <n v="6"/>
    <n v="0"/>
    <s v="PROYECTO REGIONAL"/>
    <m/>
    <m/>
    <m/>
  </r>
  <r>
    <s v="2024"/>
    <x v="2"/>
    <m/>
    <s v="Payrol: Integración Venezuela"/>
    <m/>
    <s v="Implementación de Payrol e Integraciones, Se puso un macro pero este proyecto maneja los costos de Dennis y Sabri"/>
    <m/>
    <s v="LOCAL"/>
    <s v="Funcionalidades Locales"/>
    <s v="DSI"/>
    <m/>
    <m/>
    <s v="Venezuela"/>
    <s v="Jhustin Vergara"/>
    <m/>
    <x v="19"/>
    <s v="APROBADO"/>
    <s v="En curso"/>
    <m/>
    <s v="Q2"/>
    <m/>
    <s v="ALTA"/>
    <n v="0"/>
    <n v="32"/>
    <n v="2"/>
    <n v="700"/>
    <m/>
    <n v="0"/>
    <m/>
    <m/>
    <x v="2"/>
    <d v="2024-04-01T00:00:00"/>
    <d v="2024-12-14T00:00:00"/>
    <e v="#REF!"/>
    <d v="2024-12-14T00:00:00"/>
    <d v="2024-12-21T00:00:00"/>
    <d v="2899-09-05T00:00:00"/>
    <d v="2024-12-21T00:00:00"/>
    <d v="2024-12-28T00:00:00"/>
    <d v="2024-04-01T00:00:00"/>
    <d v="2024-12-28T00:00:00"/>
    <d v="1900-01-07T00:00:00"/>
    <n v="7"/>
    <s v="Cancelado el 40%"/>
    <m/>
    <m/>
    <m/>
  </r>
  <r>
    <s v="2024"/>
    <x v="1"/>
    <s v="Motorizado Delivery"/>
    <s v="Control Motorizados/Agregadores [2] - Picking Agregadores QR V2"/>
    <s v="MXP LEGACY_x000a_TRADE"/>
    <s v="Nuevo Requerimiento (Ya levantado a Juan Daniel, documentación adjunta)"/>
    <s v="MEDIA"/>
    <s v="LOCAL"/>
    <s v="Funcionalidades Regionales"/>
    <s v="DSI"/>
    <m/>
    <m/>
    <s v="Chile"/>
    <s v="Davis Nuñez"/>
    <s v="davis.nunez@degasa.cl"/>
    <x v="20"/>
    <s v="APROBADO"/>
    <s v="No iniciado"/>
    <m/>
    <s v="Q3"/>
    <m/>
    <s v="ALTA"/>
    <n v="1"/>
    <n v="10"/>
    <n v="3"/>
    <n v="625"/>
    <m/>
    <n v="18750"/>
    <m/>
    <m/>
    <x v="0"/>
    <d v="2024-07-15T00:00:00"/>
    <d v="2024-07-22T00:00:00"/>
    <d v="1900-01-06T00:00:00"/>
    <d v="2024-07-22T00:00:00"/>
    <d v="2024-07-29T00:00:00"/>
    <d v="2896-07-02T00:00:00"/>
    <d v="2024-07-29T00:00:00"/>
    <d v="2024-08-19T00:00:00"/>
    <d v="2024-06-01T00:00:00"/>
    <d v="2024-08-10T00:00:00"/>
    <n v="2.5"/>
    <n v="21"/>
    <m/>
    <m/>
    <m/>
    <m/>
  </r>
  <r>
    <s v="2024"/>
    <x v="2"/>
    <m/>
    <s v="Plataforma Elearning: Paises Venezuela"/>
    <m/>
    <s v="Fase de despliegue a Paises para E-Learning"/>
    <m/>
    <s v="LOCAL"/>
    <s v="Funcionalidades Locales"/>
    <s v="DSI"/>
    <m/>
    <m/>
    <s v="Venezuela"/>
    <s v="Jhustin Vergara"/>
    <m/>
    <x v="19"/>
    <s v="APROBADO"/>
    <s v="No iniciado"/>
    <m/>
    <s v="Q4"/>
    <m/>
    <s v="ALTA"/>
    <n v="1"/>
    <n v="6"/>
    <n v="1"/>
    <n v="550"/>
    <m/>
    <n v="3940"/>
    <n v="364"/>
    <m/>
    <x v="2"/>
    <d v="2024-10-01T00:00:00"/>
    <d v="2025-11-01T00:00:00"/>
    <e v="#REF!"/>
    <d v="2024-11-01T00:00:00"/>
    <d v="2024-11-07T00:00:00"/>
    <d v="2898-09-25T00:00:00"/>
    <d v="2024-11-07T00:00:00"/>
    <d v="2024-11-07T00:00:00"/>
    <d v="2024-10-01T00:00:00"/>
    <d v="2024-11-07T00:00:00"/>
    <d v="1899-12-31T12:00:00"/>
    <n v="0"/>
    <m/>
    <m/>
    <m/>
    <m/>
  </r>
  <r>
    <s v="2024"/>
    <x v="0"/>
    <m/>
    <s v="Proceso de Cuadre de información ventas"/>
    <m/>
    <m/>
    <m/>
    <m/>
    <s v="Mantenimiento"/>
    <s v="DSI"/>
    <m/>
    <m/>
    <s v="Ecuador"/>
    <s v="Amarilis Loor"/>
    <s v="amarilis.loor@kfc.com.ec"/>
    <x v="24"/>
    <s v="APROBADO"/>
    <s v="No iniciado"/>
    <m/>
    <s v="Q3"/>
    <m/>
    <s v="ALTA"/>
    <m/>
    <n v="6"/>
    <n v="2"/>
    <n v="450"/>
    <m/>
    <n v="6040"/>
    <m/>
    <m/>
    <x v="2"/>
    <d v="2024-08-19T00:00:00"/>
    <d v="2024-09-27T00:00:00"/>
    <e v="#REF!"/>
    <d v="2024-10-01T00:00:00"/>
    <d v="2024-10-07T00:00:00"/>
    <d v="2898-01-20T00:00:00"/>
    <m/>
    <m/>
    <d v="2024-08-19T00:00:00"/>
    <d v="1899-12-30T00:00:00"/>
    <n v="1.5"/>
    <n v="0"/>
    <m/>
    <m/>
    <m/>
    <m/>
  </r>
  <r>
    <s v="2024"/>
    <x v="1"/>
    <s v="DragonTail"/>
    <s v="Mxp Delivery - Dragon Tail"/>
    <s v="MXP LEGACY_x000a_MXP 2.0_x000a_TRADE"/>
    <s v="Mxp Delivery - Dragon Tail (Envío de TrackingID)_x000a_Envío del  trackingID hacia TRADE para que se muestre el mapa de seguimiento de dragonTail desde la App"/>
    <s v="ALTA"/>
    <s v="REGIONAL"/>
    <s v="Funcionalidades Locales"/>
    <s v="DSI"/>
    <m/>
    <m/>
    <s v="Colombia"/>
    <s v="William Villegas"/>
    <s v="william.villegas@kfc.co"/>
    <x v="16"/>
    <s v="APROBADO"/>
    <s v="En curso"/>
    <m/>
    <s v="Q2"/>
    <s v="p8"/>
    <s v="ALTA"/>
    <n v="1"/>
    <n v="1"/>
    <n v="1"/>
    <n v="550"/>
    <m/>
    <n v="1190"/>
    <m/>
    <m/>
    <x v="7"/>
    <d v="2024-02-05T00:00:00"/>
    <d v="2024-03-04T00:00:00"/>
    <n v="28"/>
    <d v="2024-03-11T00:00:00"/>
    <d v="2024-03-11T00:00:00"/>
    <n v="362896"/>
    <d v="2024-03-18T00:00:00"/>
    <d v="2024-04-01T00:00:00"/>
    <d v="2024-04-01T00:00:00"/>
    <d v="2024-04-08T00:00:00"/>
    <n v="0.25"/>
    <n v="14"/>
    <s v="PROYECTO REGIONAL"/>
    <m/>
    <m/>
    <m/>
  </r>
  <r>
    <s v="2024"/>
    <x v="1"/>
    <s v="DragonTail"/>
    <s v="Mxp Delivery - Dragon Tail"/>
    <s v="MXP LEGACY_x000a_MXP 2.0"/>
    <s v="Mxp Delivery - Dragon Tail (Integración)_x000a_Compromiso Matriz Regional  (Venezuela, Ecuador, Chile, Colombia y Argentina)_x000a_Implementación de KDS en el counter con dragontale para todos los pedido"/>
    <s v="ALTA"/>
    <s v="REGIONAL"/>
    <s v="Funcionalidades Locales"/>
    <s v="OPER"/>
    <m/>
    <m/>
    <s v="Ecuador"/>
    <s v="Vladimir Salazar"/>
    <s v="vladimir.salazar@kfc.com.ec"/>
    <x v="16"/>
    <s v="APROBADO"/>
    <s v="En curso"/>
    <m/>
    <s v="Q2"/>
    <s v="p8"/>
    <s v="ALTA"/>
    <n v="1"/>
    <n v="6"/>
    <n v="2"/>
    <n v="550"/>
    <m/>
    <n v="7240"/>
    <m/>
    <m/>
    <x v="9"/>
    <d v="2024-02-05T00:00:00"/>
    <d v="2024-03-11T00:00:00"/>
    <n v="35"/>
    <d v="2024-03-11T00:00:00"/>
    <d v="2024-03-18T00:00:00"/>
    <n v="362903"/>
    <d v="2024-03-18T00:00:00"/>
    <d v="2024-04-01T00:00:00"/>
    <d v="2024-04-01T00:00:00"/>
    <d v="2024-05-13T00:00:00"/>
    <n v="1.5"/>
    <n v="14"/>
    <s v="PROYECTO REGIONAL"/>
    <m/>
    <m/>
    <m/>
  </r>
  <r>
    <s v="2024"/>
    <x v="1"/>
    <s v="DragonTail"/>
    <s v="Mxp Delivery - Dragon Tail"/>
    <s v="MXP LEGACY_x000a_MXP 2.0"/>
    <s v="Mxp Delivery - Dragon Tail (Seguimiento)_x000a_Compromiso Matriz Regional  (Venezuela, Ecuador, Chile, Colombia y Argentina)_x000a_Implementación de KDS en el counter con dragontale para todos los pedido_x000a_"/>
    <s v="ALTA"/>
    <s v="REGIONAL"/>
    <s v="Funcionalidades Locales"/>
    <s v="DSI"/>
    <m/>
    <m/>
    <s v="Venezuela"/>
    <s v="Jhustin Vergara"/>
    <s v="jhustin.vergara@kfc.com.ve"/>
    <x v="16"/>
    <s v="APROBADO"/>
    <s v="En curso"/>
    <m/>
    <s v="Q3"/>
    <s v="p8"/>
    <s v="ALTA"/>
    <n v="1"/>
    <n v="1"/>
    <n v="1"/>
    <n v="550"/>
    <m/>
    <n v="1190"/>
    <m/>
    <m/>
    <x v="11"/>
    <d v="2024-02-05T00:00:00"/>
    <d v="2024-03-04T00:00:00"/>
    <n v="28"/>
    <d v="2024-03-04T00:00:00"/>
    <d v="2024-03-11T00:00:00"/>
    <n v="362847"/>
    <d v="2024-03-11T00:00:00"/>
    <d v="2024-03-25T00:00:00"/>
    <d v="2024-09-01T00:00:00"/>
    <d v="2024-09-08T00:00:00"/>
    <n v="0.25"/>
    <n v="14"/>
    <s v="PROYECTO REGIONAL"/>
    <m/>
    <m/>
    <m/>
  </r>
  <r>
    <s v="2024"/>
    <x v="1"/>
    <s v="Ultimas millas"/>
    <s v="Mxp Delivery - FLY Delivery"/>
    <s v="MXP LEGACY_x000a_TRADE"/>
    <s v="Compromiso Matriz Regional  (Ecuador)"/>
    <s v="BAJA"/>
    <s v="REGIONAL"/>
    <s v="Proyectos TD 2024"/>
    <s v="OPER"/>
    <m/>
    <m/>
    <s v="Ecuador"/>
    <s v="Andrés Campos"/>
    <s v="carlos.campo@kfc.com.ec"/>
    <x v="13"/>
    <s v="APROBADO"/>
    <s v="Finalizado"/>
    <m/>
    <s v="Q2"/>
    <s v="p9"/>
    <s v="MEDIA"/>
    <n v="1"/>
    <n v="3"/>
    <n v="1"/>
    <n v="550"/>
    <m/>
    <n v="2290"/>
    <m/>
    <m/>
    <x v="0"/>
    <d v="2024-02-12T00:00:00"/>
    <d v="2024-02-26T00:00:00"/>
    <n v="14"/>
    <d v="2024-02-26T00:00:00"/>
    <d v="2024-03-04T00:00:00"/>
    <n v="362791"/>
    <d v="2024-03-04T00:00:00"/>
    <d v="2024-03-11T00:00:00"/>
    <d v="2024-06-01T00:00:00"/>
    <d v="2024-06-22T00:00:00"/>
    <n v="0.75"/>
    <n v="7"/>
    <s v="Operaciones Multimarca"/>
    <m/>
    <m/>
    <m/>
  </r>
  <r>
    <s v="2024"/>
    <x v="1"/>
    <s v="API Inyección v3"/>
    <s v="Recepción de Descuentos - Offering/Agregadores Trade"/>
    <s v="MXP LEGACY_x000a_TRADE"/>
    <m/>
    <s v="ALTA"/>
    <s v="REGIONAL"/>
    <s v="Funcionalidades Regionales"/>
    <s v="DSI"/>
    <m/>
    <m/>
    <s v="Ecuador"/>
    <s v="Jaime Rodriguez"/>
    <s v="jaime.rodriguez@kfc.com.ec"/>
    <x v="16"/>
    <s v="APROBADO"/>
    <s v="En curso"/>
    <m/>
    <s v="Q1"/>
    <s v="p11"/>
    <s v="ALTA"/>
    <n v="1"/>
    <n v="3"/>
    <n v="1"/>
    <n v="550"/>
    <m/>
    <n v="2290"/>
    <m/>
    <m/>
    <x v="0"/>
    <d v="2024-02-05T00:00:00"/>
    <d v="2024-02-05T00:00:00"/>
    <n v="0"/>
    <d v="2024-02-05T00:00:00"/>
    <d v="2024-02-19T00:00:00"/>
    <n v="362630"/>
    <d v="2024-02-19T00:00:00"/>
    <d v="2024-02-26T00:00:00"/>
    <d v="2024-05-01T00:00:00"/>
    <d v="2024-05-22T00:00:00"/>
    <n v="0.75"/>
    <n v="7"/>
    <s v="PROYECTO REGIONAL"/>
    <m/>
    <m/>
    <m/>
  </r>
  <r>
    <s v="2024"/>
    <x v="1"/>
    <s v="API Inyección v3"/>
    <s v="Recepción de Descuentos - Offering/Agregadores Trade"/>
    <s v="MXP LEGACY_x000a_TRADE"/>
    <m/>
    <s v="ALTA"/>
    <s v="REGIONAL"/>
    <s v="Funcionalidades Regionales"/>
    <s v="DSI"/>
    <m/>
    <m/>
    <s v="Venezuela"/>
    <s v="Jhustin Vergara"/>
    <s v="jhustin.vergara@kfc.com.ve"/>
    <x v="16"/>
    <s v="APROBADO"/>
    <s v="No iniciado"/>
    <m/>
    <s v="Q1"/>
    <s v="p11"/>
    <s v="ALTA"/>
    <n v="1"/>
    <n v="3"/>
    <n v="1"/>
    <n v="550"/>
    <m/>
    <n v="2290"/>
    <m/>
    <m/>
    <x v="0"/>
    <d v="2024-03-04T00:00:00"/>
    <d v="2024-03-04T00:00:00"/>
    <n v="0"/>
    <d v="2024-03-04T00:00:00"/>
    <d v="2024-03-18T00:00:00"/>
    <n v="362854"/>
    <d v="2024-03-18T00:00:00"/>
    <d v="2024-03-25T00:00:00"/>
    <d v="2024-06-01T00:00:00"/>
    <d v="2024-06-22T00:00:00"/>
    <n v="0.75"/>
    <n v="7"/>
    <s v="PROYECTO REGIONAL"/>
    <m/>
    <s v="x"/>
    <m/>
  </r>
  <r>
    <s v="2024"/>
    <x v="1"/>
    <s v="API Inyección v3"/>
    <s v="Recepción de Descuentos - Offering/Agregadores Trade"/>
    <s v="MXP LEGACY_x000a_TRADE"/>
    <m/>
    <s v="ALTA"/>
    <s v="REGIONAL"/>
    <s v="Funcionalidades Regionales"/>
    <s v="DSI"/>
    <m/>
    <m/>
    <s v="Argentina"/>
    <s v="Adrian Gadja"/>
    <s v="adrian.gajda@degasa.com.ar"/>
    <x v="16"/>
    <s v="APROBADO"/>
    <s v="No iniciado"/>
    <m/>
    <s v="Q1"/>
    <s v="p11"/>
    <s v="ALTA"/>
    <n v="1"/>
    <n v="3"/>
    <n v="1"/>
    <n v="550"/>
    <m/>
    <n v="2290"/>
    <m/>
    <m/>
    <x v="0"/>
    <d v="2024-03-18T00:00:00"/>
    <d v="2024-03-18T00:00:00"/>
    <n v="0"/>
    <d v="2024-03-18T00:00:00"/>
    <d v="2024-03-25T00:00:00"/>
    <n v="362959"/>
    <d v="2024-03-25T00:00:00"/>
    <d v="2024-04-01T00:00:00"/>
    <d v="2024-06-01T00:00:00"/>
    <d v="2024-06-22T00:00:00"/>
    <n v="0.75"/>
    <n v="7"/>
    <s v="PROYECTO REGIONAL"/>
    <m/>
    <m/>
    <m/>
  </r>
  <r>
    <s v="2024"/>
    <x v="1"/>
    <s v="API Inyección v3"/>
    <s v="Recepciones de Pedidos V3 - Maxpoint Rastreo Pedidos Panel domicilio v2.0.4.2"/>
    <s v="MXP LEGACY_x000a_TRADE"/>
    <s v="Compromiso Matriz Regional  (Argentina"/>
    <s v="MEDIA"/>
    <s v="REGIONAL"/>
    <s v="Funcionalidades Regionales"/>
    <s v="DSI"/>
    <m/>
    <m/>
    <s v="Argentina"/>
    <s v="Adrian Gadja"/>
    <s v="adrian.gajda@degasa.com.ar"/>
    <x v="16"/>
    <s v="APROBADO"/>
    <s v="Finalizado"/>
    <m/>
    <s v="Q1"/>
    <s v="p12"/>
    <s v="MEDIA"/>
    <n v="1"/>
    <n v="4"/>
    <n v="1"/>
    <n v="550"/>
    <m/>
    <n v="2840"/>
    <m/>
    <m/>
    <x v="0"/>
    <d v="2024-03-04T00:00:00"/>
    <d v="2024-03-18T00:00:00"/>
    <n v="14"/>
    <d v="2024-03-18T00:00:00"/>
    <d v="2024-03-25T00:00:00"/>
    <n v="362959"/>
    <d v="2024-03-25T00:00:00"/>
    <d v="2024-04-01T00:00:00"/>
    <d v="2024-06-01T00:00:00"/>
    <d v="2024-06-29T00:00:00"/>
    <n v="1"/>
    <n v="7"/>
    <s v="PROYECTO REGIONAL"/>
    <m/>
    <m/>
    <m/>
  </r>
  <r>
    <s v="2024"/>
    <x v="1"/>
    <s v="API Inyección v3"/>
    <s v="Recepciones de Pedidos V3 - Monitor  de transacciones (Tracking) de Pedidos"/>
    <s v="MXP LEGACY_x000a_TRADE"/>
    <s v="Compromiso Matriz Regional  (Argentina - 2023"/>
    <s v="ALTA"/>
    <s v="REGIONAL"/>
    <s v="Funcionalidades Regionales"/>
    <s v="DSI"/>
    <m/>
    <m/>
    <s v="Argentina"/>
    <s v="Adrian Gadja"/>
    <s v="adrian.gajda@degasa.com.ar"/>
    <x v="16"/>
    <s v="APROBADO"/>
    <s v="No iniciado"/>
    <m/>
    <s v="Q2"/>
    <m/>
    <s v="ALTA"/>
    <n v="1"/>
    <n v="6"/>
    <n v="1"/>
    <n v="550"/>
    <m/>
    <n v="3940"/>
    <m/>
    <m/>
    <x v="0"/>
    <d v="2024-03-18T00:00:00"/>
    <d v="2024-04-15T00:00:00"/>
    <n v="28"/>
    <d v="2024-04-15T00:00:00"/>
    <d v="2024-04-22T00:00:00"/>
    <n v="363183"/>
    <d v="2024-04-22T00:00:00"/>
    <d v="2024-04-29T00:00:00"/>
    <d v="2024-05-01T00:00:00"/>
    <d v="2024-06-12T00:00:00"/>
    <n v="1.5"/>
    <n v="7"/>
    <s v="PROYECTO REGIONAL"/>
    <m/>
    <m/>
    <m/>
  </r>
  <r>
    <s v="2024"/>
    <x v="3"/>
    <m/>
    <s v="Remedación Dynatrace"/>
    <m/>
    <s v="Nuevo Requerimiento de mejoras de rendimiento y seguridades."/>
    <m/>
    <s v="REGIONAL "/>
    <s v="Mantenimiento"/>
    <s v="DSI"/>
    <m/>
    <m/>
    <s v="Chile"/>
    <s v="Davis Nuñez"/>
    <m/>
    <x v="21"/>
    <s v="APROBADO"/>
    <s v="En curso"/>
    <m/>
    <s v="Q2"/>
    <s v="Depende del análisis ed Dytrace, para establecer el plan. Validar si es a nivel de server o caja."/>
    <s v="ALTA"/>
    <n v="1"/>
    <n v="1"/>
    <n v="10"/>
    <n v="625"/>
    <m/>
    <n v="6250"/>
    <m/>
    <m/>
    <x v="2"/>
    <d v="2024-04-01T00:00:00"/>
    <d v="2024-05-17T00:00:00"/>
    <e v="#REF!"/>
    <d v="2024-05-20T00:00:00"/>
    <d v="2024-05-24T00:00:00"/>
    <d v="2895-02-11T00:00:00"/>
    <d v="2024-05-27T00:00:00"/>
    <d v="2024-05-31T00:00:00"/>
    <d v="2024-04-01T00:00:00"/>
    <d v="2024-05-31T00:00:00"/>
    <n v="0.25"/>
    <n v="4"/>
    <m/>
    <m/>
    <m/>
    <m/>
  </r>
  <r>
    <s v="2024"/>
    <x v="3"/>
    <m/>
    <s v="Remedación Dynatrace"/>
    <m/>
    <s v="Implementación de Dynatrace, analisis  de resultados y ejecución del plan de acción."/>
    <m/>
    <s v="REGIONAL"/>
    <s v="Mantenimiento"/>
    <s v="DSI"/>
    <m/>
    <m/>
    <s v="Venezuela"/>
    <s v="Jhustin Vergara"/>
    <m/>
    <x v="19"/>
    <s v="APROBADO"/>
    <s v="No iniciado"/>
    <m/>
    <s v="Q3"/>
    <m/>
    <s v="ALTA"/>
    <n v="1"/>
    <n v="8"/>
    <n v="1"/>
    <n v="550"/>
    <m/>
    <n v="4400"/>
    <m/>
    <m/>
    <x v="2"/>
    <d v="2024-07-01T00:00:00"/>
    <d v="2024-08-16T00:00:00"/>
    <e v="#REF!"/>
    <d v="2024-08-19T00:00:00"/>
    <d v="2024-08-23T00:00:00"/>
    <d v="2897-02-08T00:00:00"/>
    <d v="2024-08-26T00:00:00"/>
    <d v="2024-08-28T00:00:00"/>
    <d v="2024-07-01T00:00:00"/>
    <d v="2024-08-28T00:00:00"/>
    <n v="2"/>
    <n v="2"/>
    <m/>
    <m/>
    <m/>
    <m/>
  </r>
  <r>
    <n v="2024"/>
    <x v="3"/>
    <m/>
    <s v="Remedación Dynatrace"/>
    <m/>
    <s v="Implementación de Dynatrace, analisis  de resultados y ejecución del plan de acción."/>
    <m/>
    <s v="REGIONAL"/>
    <s v="Mantenimiento"/>
    <s v="DSI"/>
    <m/>
    <m/>
    <s v="Argentina"/>
    <s v="Adrian Gadja"/>
    <m/>
    <x v="22"/>
    <s v="APROBADO"/>
    <s v="No iniciado"/>
    <m/>
    <s v="Q3"/>
    <m/>
    <s v="ALTA"/>
    <n v="1"/>
    <n v="8"/>
    <n v="1"/>
    <n v="550"/>
    <m/>
    <n v="4400"/>
    <m/>
    <m/>
    <x v="2"/>
    <d v="2024-06-03T00:00:00"/>
    <d v="2024-07-26T00:00:00"/>
    <e v="#REF!"/>
    <d v="2024-07-29T00:00:00"/>
    <d v="2024-08-02T00:00:00"/>
    <d v="2896-08-24T00:00:00"/>
    <d v="2024-08-05T00:00:00"/>
    <d v="2024-08-09T00:00:00"/>
    <d v="2024-06-03T00:00:00"/>
    <d v="2024-08-09T00:00:00"/>
    <d v="1900-01-01T00:00:00"/>
    <n v="4"/>
    <m/>
    <m/>
    <m/>
    <m/>
  </r>
  <r>
    <s v="2024"/>
    <x v="3"/>
    <m/>
    <s v="Remediación MaxPoint"/>
    <m/>
    <s v="Correcciones y mejoras de estabilización del proceso de facturación counter y delivery."/>
    <m/>
    <s v="LOCAL"/>
    <s v="Mantenimiento"/>
    <s v="DSI"/>
    <m/>
    <m/>
    <s v="Chile"/>
    <s v="Vanessa Soria"/>
    <s v="vanessa.soria@degasa.cl"/>
    <x v="21"/>
    <s v="APROBADO"/>
    <s v="En curso"/>
    <m/>
    <s v="Q1"/>
    <m/>
    <s v="ALTA"/>
    <n v="1"/>
    <n v="3"/>
    <n v="13"/>
    <n v="625"/>
    <m/>
    <n v="24375"/>
    <m/>
    <m/>
    <x v="2"/>
    <d v="2024-01-01T00:00:00"/>
    <d v="2024-03-22T00:00:00"/>
    <e v="#REF!"/>
    <d v="2024-03-25T00:00:00"/>
    <d v="2024-03-29T00:00:00"/>
    <d v="2893-11-20T00:00:00"/>
    <d v="2024-04-01T00:00:00"/>
    <d v="2024-04-12T00:00:00"/>
    <d v="2024-01-01T00:00:00"/>
    <d v="2024-04-12T00:00:00"/>
    <n v="0.75"/>
    <n v="11"/>
    <m/>
    <m/>
    <m/>
    <m/>
  </r>
  <r>
    <s v="2024"/>
    <x v="3"/>
    <m/>
    <s v="Replica de información v2.0"/>
    <m/>
    <s v="Compromiso Matriz Regional  (Ecuador)"/>
    <m/>
    <s v="LOCAL"/>
    <s v="Funcionalidades País"/>
    <s v="DSI"/>
    <m/>
    <m/>
    <s v="Ecuador"/>
    <s v="José Fernández"/>
    <s v="jose.fernandez@kfc.com.ec"/>
    <x v="16"/>
    <s v="IDENTIFICADO"/>
    <s v="No iniciado"/>
    <m/>
    <s v="Q2"/>
    <m/>
    <s v="BAJA"/>
    <m/>
    <n v="8"/>
    <n v="2"/>
    <n v="550"/>
    <m/>
    <n v="9380"/>
    <m/>
    <m/>
    <x v="0"/>
    <d v="2024-06-03T00:00:00"/>
    <d v="2024-05-27T00:00:00"/>
    <m/>
    <d v="2024-05-28T00:00:00"/>
    <d v="2024-06-11T00:00:00"/>
    <d v="2895-04-26T00:00:00"/>
    <d v="2024-06-12T00:00:00"/>
    <d v="2024-07-28T00:00:00"/>
    <d v="2024-06-03T00:00:00"/>
    <d v="2024-07-28T00:00:00"/>
    <n v="2"/>
    <n v="46"/>
    <s v="PROYECTO REGIONAL"/>
    <m/>
    <m/>
    <m/>
  </r>
  <r>
    <s v="2024"/>
    <x v="4"/>
    <m/>
    <s v="SAP Disaster Recovery"/>
    <m/>
    <s v="CONTAR CON UN PLAN DE RECUPERACION ANTE DESASTERES Y PLAN DE CONTINUIDAD DE NEGOCIO "/>
    <m/>
    <m/>
    <s v="Implementar DRP / BCP SAP Países"/>
    <s v="DSI"/>
    <m/>
    <m/>
    <s v="Ecuador"/>
    <m/>
    <m/>
    <x v="16"/>
    <s v="IDENTIFICADO"/>
    <s v="En curso"/>
    <s v="Q2"/>
    <s v="Q3"/>
    <m/>
    <s v="ALTA"/>
    <n v="0.8"/>
    <n v="12"/>
    <n v="10"/>
    <n v="1221"/>
    <m/>
    <n v="117216"/>
    <n v="108310.40000000001"/>
    <m/>
    <x v="2"/>
    <d v="2024-02-21T00:00:00"/>
    <d v="2024-05-21T00:00:00"/>
    <n v="90"/>
    <d v="2024-03-21T00:00:00"/>
    <d v="2024-03-28T00:00:00"/>
    <n v="7"/>
    <d v="2024-03-21T00:00:00"/>
    <d v="2024-03-28T00:00:00"/>
    <d v="2024-02-21T00:00:00"/>
    <d v="2024-03-28T00:00:00"/>
    <n v="3"/>
    <n v="7"/>
    <s v="PROYECTO REGIONAL"/>
    <m/>
    <m/>
    <m/>
  </r>
  <r>
    <s v="2024"/>
    <x v="4"/>
    <m/>
    <s v="SAP(Licencias, Servicios Externos)"/>
    <m/>
    <s v="PAM Basis"/>
    <m/>
    <m/>
    <s v="SAP(Licencias, Servicios Externos)"/>
    <s v="DSI"/>
    <m/>
    <m/>
    <s v="Ecuador"/>
    <s v="Juan Alejadro"/>
    <m/>
    <x v="16"/>
    <s v="APROBADO"/>
    <s v="No iniciado"/>
    <s v="Q3"/>
    <s v="Q3"/>
    <m/>
    <s v="ALTA"/>
    <n v="0.8"/>
    <n v="3"/>
    <n v="24"/>
    <n v="500"/>
    <m/>
    <n v="289120"/>
    <m/>
    <m/>
    <x v="2"/>
    <d v="2024-02-28T00:00:00"/>
    <d v="2024-08-28T00:00:00"/>
    <n v="182"/>
    <m/>
    <m/>
    <n v="0"/>
    <m/>
    <m/>
    <d v="2024-02-28T00:00:00"/>
    <d v="1899-12-30T00:00:00"/>
    <n v="0.75"/>
    <n v="0"/>
    <s v="PROYECTO REGIONAL"/>
    <m/>
    <m/>
    <m/>
  </r>
  <r>
    <s v="2024"/>
    <x v="4"/>
    <m/>
    <s v="SAP(Licencias, Servicios Externos)"/>
    <m/>
    <s v="PAM Basis"/>
    <m/>
    <s v="REGIONAL"/>
    <s v="SAP(Licencias, Servicios Externos)"/>
    <s v="DSI"/>
    <m/>
    <m/>
    <s v="Colombia"/>
    <s v="Juan Alejadro"/>
    <m/>
    <x v="23"/>
    <s v="APROBADO"/>
    <s v="No iniciado"/>
    <s v="Q3"/>
    <s v="Q3"/>
    <m/>
    <s v="ALTA"/>
    <n v="0.15"/>
    <n v="3"/>
    <n v="24"/>
    <n v="500"/>
    <m/>
    <n v="22692"/>
    <m/>
    <m/>
    <x v="2"/>
    <d v="2024-02-28T00:00:00"/>
    <d v="2024-08-28T00:00:00"/>
    <n v="182"/>
    <m/>
    <m/>
    <n v="0"/>
    <m/>
    <m/>
    <d v="2024-02-28T00:00:00"/>
    <d v="1899-12-30T00:00:00"/>
    <n v="0.75"/>
    <n v="0"/>
    <s v="PROYECTO REGIONAL"/>
    <m/>
    <m/>
    <m/>
  </r>
  <r>
    <s v="2024"/>
    <x v="4"/>
    <m/>
    <s v="SAP(Licencias, Servicios Externos)"/>
    <m/>
    <s v="PAM Basis"/>
    <m/>
    <s v="REGIONAL"/>
    <s v="SAP(Licencias, Servicios Externos)"/>
    <s v="DSI"/>
    <m/>
    <m/>
    <s v="Chile"/>
    <s v="Juan Alejadro"/>
    <m/>
    <x v="21"/>
    <s v="APROBADO"/>
    <s v="No iniciado"/>
    <s v="Q2"/>
    <s v="Q3"/>
    <m/>
    <s v="ALTA"/>
    <n v="0.05"/>
    <n v="3"/>
    <n v="24"/>
    <n v="500"/>
    <m/>
    <n v="25219"/>
    <m/>
    <m/>
    <x v="2"/>
    <d v="2024-02-28T00:00:00"/>
    <d v="2024-08-28T00:00:00"/>
    <n v="182"/>
    <m/>
    <m/>
    <n v="0"/>
    <m/>
    <m/>
    <d v="2024-02-28T00:00:00"/>
    <d v="1899-12-30T00:00:00"/>
    <n v="0.75"/>
    <n v="0"/>
    <s v="PROYECTO REGIONAL"/>
    <m/>
    <m/>
    <m/>
  </r>
  <r>
    <s v="2024"/>
    <x v="0"/>
    <m/>
    <s v="Sitio SIR Historico"/>
    <m/>
    <m/>
    <m/>
    <s v="LOCAL"/>
    <s v="Mantenimiento"/>
    <s v="DSI"/>
    <m/>
    <m/>
    <s v="Ecuador"/>
    <s v="Vanessa Soria"/>
    <s v="vanessa.soria@degasa.cl"/>
    <x v="16"/>
    <s v="APROBADO"/>
    <s v="No iniciado"/>
    <m/>
    <s v="Q2"/>
    <m/>
    <s v="BAJA"/>
    <m/>
    <n v="2"/>
    <n v="2"/>
    <n v="400"/>
    <m/>
    <n v="2240"/>
    <m/>
    <m/>
    <x v="1"/>
    <d v="2024-04-29T00:00:00"/>
    <m/>
    <e v="#REF!"/>
    <m/>
    <m/>
    <d v="1899-12-30T00:00:00"/>
    <d v="2024-06-25T00:00:00"/>
    <d v="2024-06-25T00:00:00"/>
    <d v="2024-04-29T00:00:00"/>
    <d v="2024-06-25T00:00:00"/>
    <n v="0.5"/>
    <n v="0"/>
    <m/>
    <m/>
    <m/>
    <m/>
  </r>
  <r>
    <s v="2024"/>
    <x v="3"/>
    <m/>
    <s v="Upgrade de versión a .net 8 del aplicativo de impresión"/>
    <m/>
    <m/>
    <m/>
    <m/>
    <s v="DSI"/>
    <s v="DSI"/>
    <m/>
    <m/>
    <s v="Ecuador"/>
    <s v="José Fernández"/>
    <s v="jose.fernandez@kfc.com.ec"/>
    <x v="16"/>
    <s v="IDENTIFICADO"/>
    <s v="No iniciado"/>
    <m/>
    <s v="Q2"/>
    <m/>
    <s v="ALTA"/>
    <m/>
    <n v="4"/>
    <n v="1"/>
    <n v="550"/>
    <m/>
    <n v="2780"/>
    <m/>
    <m/>
    <x v="1"/>
    <d v="2024-04-29T00:00:00"/>
    <m/>
    <e v="#REF!"/>
    <m/>
    <d v="2024-05-14T00:00:00"/>
    <d v="2024-05-14T00:00:00"/>
    <d v="2024-05-15T00:00:00"/>
    <d v="2024-05-29T00:00:00"/>
    <d v="2024-04-29T00:00:00"/>
    <d v="2024-05-29T00:00:00"/>
    <d v="1899-12-31T00:00:00"/>
    <n v="14"/>
    <m/>
    <m/>
    <m/>
    <m/>
  </r>
  <r>
    <s v="2024"/>
    <x v="0"/>
    <m/>
    <s v="Cupones de Cortesía, Dinero y Empleados"/>
    <s v="consultar requerimiento "/>
    <s v="Digitalización de cupones de cortesía, dinero y empleados desde SIR"/>
    <m/>
    <s v="REGIONAL"/>
    <s v="Funcionalidades Locales"/>
    <s v="Funcionalidades Locales"/>
    <m/>
    <m/>
    <s v="Chile"/>
    <s v="William Villegas"/>
    <s v="william.villegas@kfc.co"/>
    <x v="22"/>
    <s v="APROBADO"/>
    <s v="En curso"/>
    <m/>
    <m/>
    <m/>
    <m/>
    <m/>
    <m/>
    <m/>
    <m/>
    <m/>
    <n v="640"/>
    <m/>
    <m/>
    <x v="2"/>
    <m/>
    <m/>
    <e v="#REF!"/>
    <m/>
    <m/>
    <d v="1899-12-30T00:00:00"/>
    <m/>
    <m/>
    <m/>
    <m/>
    <n v="0"/>
    <n v="0"/>
    <m/>
    <m/>
    <m/>
    <m/>
  </r>
  <r>
    <s v="2024"/>
    <x v="0"/>
    <m/>
    <s v="Cupones de Cortesía, Dinero y Empleados"/>
    <m/>
    <s v="Digitalización de cupones de cortesía, dinero y empleados desde SIR"/>
    <m/>
    <s v="REGIONAL"/>
    <s v="Funcionalidades Locales"/>
    <s v="Funcionalidades Locales"/>
    <m/>
    <m/>
    <s v="Colombia"/>
    <s v="William Villegas"/>
    <s v="william.villegas@kfc.co"/>
    <x v="23"/>
    <s v="APROBADO"/>
    <s v="En curso"/>
    <m/>
    <s v="Q2"/>
    <m/>
    <s v="ALTA"/>
    <m/>
    <n v="3"/>
    <n v="2"/>
    <n v="450"/>
    <m/>
    <n v="3340"/>
    <m/>
    <m/>
    <x v="2"/>
    <d v="2024-03-14T00:00:00"/>
    <m/>
    <e v="#REF!"/>
    <d v="2024-03-14T00:00:00"/>
    <m/>
    <d v="2769-06-07T00:00:00"/>
    <m/>
    <d v="2024-04-26T00:00:00"/>
    <d v="2024-03-14T00:00:00"/>
    <d v="2024-04-26T00:00:00"/>
    <n v="0.75"/>
    <n v="45408"/>
    <m/>
    <m/>
    <m/>
    <m/>
  </r>
  <r>
    <s v="2024"/>
    <x v="3"/>
    <m/>
    <s v=" La digitación es muy lenta  para digital posible problema de de red"/>
    <m/>
    <s v="Ver Anexo A2_x000a_ La digitación es muy lenta  para digital posible problema de de red"/>
    <m/>
    <s v="LOCAL"/>
    <s v="Celula Operaciones Maxpoint 2024"/>
    <s v="OPER"/>
    <m/>
    <m/>
    <s v="Ecuador"/>
    <s v="Sandra Paillacho"/>
    <s v="sandra.paillacho@kfc.com.ec"/>
    <x v="15"/>
    <s v="SUSPENDIDO"/>
    <s v="No iniciado"/>
    <n v="4"/>
    <s v="Q3"/>
    <m/>
    <s v="BAJA"/>
    <n v="1"/>
    <n v="0"/>
    <n v="0"/>
    <n v="550"/>
    <m/>
    <n v="580"/>
    <m/>
    <m/>
    <x v="2"/>
    <d v="2024-08-12T00:00:00"/>
    <d v="2024-08-26T00:00:00"/>
    <e v="#REF!"/>
    <d v="2024-08-27T00:00:00"/>
    <d v="2024-09-10T00:00:00"/>
    <d v="2897-04-23T00:00:00"/>
    <d v="2024-09-11T00:00:00"/>
    <d v="2024-09-25T00:00:00"/>
    <d v="2024-08-12T00:00:00"/>
    <d v="2024-09-25T00:00:00"/>
    <n v="0"/>
    <n v="14"/>
    <s v="Célula Operaciones_x000a_Es un requerimiento de configuraciones_x000a_Proceso ya realizado en el 2023"/>
    <m/>
    <m/>
    <m/>
  </r>
  <r>
    <s v="2023"/>
    <x v="0"/>
    <m/>
    <s v="52 semanas diario y semanal"/>
    <s v="UAT - BI"/>
    <s v="Ver Anexo A4"/>
    <m/>
    <s v="LOCAL"/>
    <s v="Célula de Operaciones SIR 2023"/>
    <s v="OPER"/>
    <m/>
    <m/>
    <s v="Ecuador"/>
    <s v="Sandra Pailacho"/>
    <m/>
    <x v="15"/>
    <s v="APROBADO"/>
    <s v="Finalizado"/>
    <n v="1"/>
    <s v="Q1"/>
    <m/>
    <s v="MEDIA"/>
    <m/>
    <n v="4"/>
    <n v="1"/>
    <n v="400"/>
    <m/>
    <n v="2240"/>
    <m/>
    <m/>
    <x v="7"/>
    <d v="2024-02-19T00:00:00"/>
    <d v="2024-03-15T00:00:00"/>
    <e v="#REF!"/>
    <d v="2024-03-19T00:00:00"/>
    <d v="2024-03-26T00:00:00"/>
    <d v="2893-10-06T00:00:00"/>
    <m/>
    <m/>
    <d v="2024-02-19T00:00:00"/>
    <d v="1899-12-30T00:00:00"/>
    <n v="1"/>
    <n v="0"/>
    <s v="Célula Operaciones"/>
    <m/>
    <m/>
    <m/>
  </r>
  <r>
    <s v="2024"/>
    <x v="3"/>
    <m/>
    <s v="Activar en todas las marcas los descuentos que ya utiliza El Español"/>
    <m/>
    <s v="Ver Anexo A2"/>
    <m/>
    <s v="LOCAL"/>
    <s v="Celula Operaciones Maxpoint 2024"/>
    <s v="OPER"/>
    <m/>
    <m/>
    <s v="Ecuador"/>
    <s v="Sandra Paillacho"/>
    <s v="sandra.paillacho@kfc.com.ec"/>
    <x v="15"/>
    <s v="SUSPENDIDO"/>
    <s v="No iniciado"/>
    <n v="3"/>
    <s v="Q3"/>
    <s v="Se necesita mayor contexto del cliente"/>
    <s v="BAJA"/>
    <n v="1"/>
    <n v="0"/>
    <n v="0"/>
    <n v="550"/>
    <m/>
    <n v="580"/>
    <m/>
    <m/>
    <x v="2"/>
    <d v="2024-09-11T00:00:00"/>
    <d v="2024-10-02T00:00:00"/>
    <e v="#REF!"/>
    <d v="2024-10-03T00:00:00"/>
    <d v="2024-10-17T00:00:00"/>
    <d v="2898-02-13T00:00:00"/>
    <d v="2024-10-18T00:00:00"/>
    <d v="2024-11-01T00:00:00"/>
    <d v="2024-09-11T00:00:00"/>
    <d v="2024-11-01T00:00:00"/>
    <n v="0"/>
    <n v="14"/>
    <s v="Célula Operaciones_x000a_Es un requerimiento de configuraciones"/>
    <m/>
    <m/>
    <m/>
  </r>
  <r>
    <s v="2024"/>
    <x v="3"/>
    <m/>
    <s v="Agregar número de ficha la orden de la cocina y en el RIDE que sea el mismo número"/>
    <s v="MXP 2.0"/>
    <s v="Ver Anexo A2"/>
    <m/>
    <s v="LOCAL"/>
    <s v="Celula Operaciones Maxpoint 2024"/>
    <s v="OPER"/>
    <m/>
    <m/>
    <s v="Ecuador"/>
    <s v="Sandra Paillacho"/>
    <s v="sandra.paillacho@kfc.com.ec"/>
    <x v="15"/>
    <s v="IDENTIFICADO"/>
    <s v="No iniciado"/>
    <n v="3"/>
    <s v="Q2"/>
    <m/>
    <s v="BAJA"/>
    <n v="1"/>
    <n v="2"/>
    <n v="1"/>
    <n v="550"/>
    <m/>
    <n v="1680"/>
    <m/>
    <m/>
    <x v="1"/>
    <d v="2024-04-29T00:00:00"/>
    <d v="2024-05-28T00:00:00"/>
    <d v="2024-06-04T00:00:00"/>
    <d v="2024-06-01T00:00:00"/>
    <d v="2024-06-09T00:00:00"/>
    <d v="2024-07-03T00:00:00"/>
    <d v="2024-06-01T00:00:00"/>
    <d v="2024-06-15T00:00:00"/>
    <d v="2024-04-29T00:00:00"/>
    <d v="2024-06-15T00:00:00"/>
    <n v="0.5"/>
    <n v="14"/>
    <s v="Célula Operaciones"/>
    <m/>
    <m/>
    <m/>
  </r>
  <r>
    <s v="2024"/>
    <x v="0"/>
    <m/>
    <s v="Alertas de caducidad para productos inventario restaurante"/>
    <m/>
    <s v="Revisar con los pedidos ingresados con planta y operaciones (Socializar desarrollo SIR)"/>
    <m/>
    <s v="LOCAL"/>
    <s v="Célula de Operaciones SIR 2024"/>
    <s v="OPER"/>
    <m/>
    <m/>
    <s v="Ecuador"/>
    <s v="José Luis Tello"/>
    <s v="joseluis.tello@kfc.com.ec"/>
    <x v="25"/>
    <s v="SUSPENDIDO"/>
    <s v="En curso"/>
    <n v="1"/>
    <s v="Q3"/>
    <m/>
    <s v="BAJA"/>
    <m/>
    <m/>
    <m/>
    <m/>
    <m/>
    <m/>
    <m/>
    <m/>
    <x v="2"/>
    <m/>
    <m/>
    <e v="#REF!"/>
    <m/>
    <m/>
    <d v="1899-12-30T00:00:00"/>
    <m/>
    <m/>
    <d v="1899-12-30T00:00:00"/>
    <d v="1899-12-30T00:00:00"/>
    <n v="0"/>
    <n v="0"/>
    <m/>
    <m/>
    <m/>
    <m/>
  </r>
  <r>
    <s v="2023"/>
    <x v="0"/>
    <m/>
    <s v="Automatización de Compras Automaticas PLT-TIENDAS"/>
    <s v="UAT"/>
    <s v="Ver Anexo A4"/>
    <m/>
    <s v="LOCAL"/>
    <s v="Célula de Operaciones SIR 2023"/>
    <s v="OPER"/>
    <m/>
    <m/>
    <s v="Ecuador"/>
    <s v="Sandra Pailacho"/>
    <m/>
    <x v="15"/>
    <s v="APROBADO"/>
    <s v="En curso"/>
    <n v="2"/>
    <s v="Q2"/>
    <m/>
    <s v="ALTA"/>
    <m/>
    <n v="5"/>
    <n v="2"/>
    <n v="450"/>
    <m/>
    <n v="5140"/>
    <m/>
    <m/>
    <x v="1"/>
    <m/>
    <m/>
    <e v="#REF!"/>
    <d v="2024-04-24T00:00:00"/>
    <d v="2024-05-08T00:00:00"/>
    <d v="2894-07-28T00:00:00"/>
    <d v="2024-05-14T00:00:00"/>
    <m/>
    <d v="1899-12-30T00:00:00"/>
    <d v="1899-12-30T00:00:00"/>
    <n v="1.25"/>
    <n v="-45426"/>
    <s v="Célula Operaciones"/>
    <m/>
    <m/>
    <m/>
  </r>
  <r>
    <s v="2023"/>
    <x v="0"/>
    <m/>
    <s v="Cambio de costo maximo y minimo costo configurado en artículo y Usos y Consumos"/>
    <s v="N/A"/>
    <s v="Ver Anexo A4"/>
    <m/>
    <s v="LOCAL"/>
    <s v="Otros - Presupuesto 2023"/>
    <s v="OPER"/>
    <m/>
    <m/>
    <s v="Ecuador"/>
    <s v="Sandra Pailacho"/>
    <m/>
    <x v="15"/>
    <s v="APROBADO"/>
    <s v="Finalizado"/>
    <n v="12"/>
    <s v="Q1"/>
    <m/>
    <s v="BAJA"/>
    <m/>
    <n v="2"/>
    <n v="2"/>
    <n v="400"/>
    <m/>
    <n v="2240"/>
    <m/>
    <m/>
    <x v="5"/>
    <d v="2024-01-15T00:00:00"/>
    <d v="2024-01-26T00:00:00"/>
    <e v="#REF!"/>
    <d v="2024-03-05T00:00:00"/>
    <d v="2024-03-12T00:00:00"/>
    <d v="2893-06-16T00:00:00"/>
    <m/>
    <m/>
    <d v="2024-01-15T00:00:00"/>
    <d v="1899-12-30T00:00:00"/>
    <n v="0.5"/>
    <n v="0"/>
    <s v="Presupuesto 2023"/>
    <m/>
    <m/>
    <m/>
  </r>
  <r>
    <s v="2024"/>
    <x v="0"/>
    <m/>
    <s v="Cambio en Reportes (Pedidos, Usos&amp;Consumos, Listado de Articulos)"/>
    <m/>
    <s v="Ver Anexo A4"/>
    <m/>
    <s v="LOCAL"/>
    <s v="Célula de Operaciones SIR 2024"/>
    <s v="OPER"/>
    <m/>
    <m/>
    <s v="Ecuador"/>
    <s v="Sandra Pailacho"/>
    <s v="sandra.paillacho@kfc.com.ec"/>
    <x v="15"/>
    <s v="IDENTIFICADO"/>
    <s v="No iniciado"/>
    <n v="20"/>
    <s v="Q4"/>
    <m/>
    <s v="BAJA"/>
    <m/>
    <n v="6"/>
    <n v="2"/>
    <n v="450"/>
    <m/>
    <n v="6040"/>
    <m/>
    <m/>
    <x v="2"/>
    <d v="2024-11-11T00:00:00"/>
    <d v="2024-12-20T00:00:00"/>
    <e v="#REF!"/>
    <d v="2025-01-07T00:00:00"/>
    <d v="2025-01-10T00:00:00"/>
    <d v="2900-03-12T00:00:00"/>
    <m/>
    <m/>
    <d v="2024-11-11T00:00:00"/>
    <d v="1899-12-30T00:00:00"/>
    <n v="1.5"/>
    <n v="0"/>
    <s v="Célula Operaciones"/>
    <m/>
    <m/>
    <m/>
  </r>
  <r>
    <s v="2023"/>
    <x v="3"/>
    <m/>
    <s v="Cashless multiples formas de pago"/>
    <m/>
    <s v="A cargo de Javier Sánchez, se tiene un avance del 70%. Se ofreció entregar para  el 2 de enero."/>
    <m/>
    <s v="LOCAL"/>
    <s v="Operaciones Aeropuerto 2024"/>
    <s v="OPER"/>
    <m/>
    <m/>
    <s v="Ecuador"/>
    <s v="Operaciones Aeropuerto"/>
    <m/>
    <x v="26"/>
    <s v="SUSPENDIDO"/>
    <s v="En curso"/>
    <n v="4"/>
    <s v="Q1"/>
    <s v="Veronica Jácome indica que este proceso se encuentra suspendido por temas legales."/>
    <s v="BAJA"/>
    <n v="1"/>
    <n v="0"/>
    <n v="0"/>
    <n v="550"/>
    <m/>
    <n v="580"/>
    <m/>
    <m/>
    <x v="2"/>
    <d v="2024-02-26T00:00:00"/>
    <d v="2024-03-01T00:00:00"/>
    <d v="1900-01-03T00:00:00"/>
    <d v="2024-03-11T00:00:00"/>
    <d v="2024-03-22T00:00:00"/>
    <d v="2893-08-07T00:00:00"/>
    <d v="2024-03-25T00:00:00"/>
    <d v="2024-04-05T00:00:00"/>
    <d v="2024-02-26T00:00:00"/>
    <d v="2024-04-05T00:00:00"/>
    <n v="0"/>
    <n v="11"/>
    <s v="Eliminar"/>
    <m/>
    <m/>
    <m/>
  </r>
  <r>
    <s v="2024"/>
    <x v="0"/>
    <m/>
    <s v="Cierre automático de Pedidos segun Configuracion por Proveedor"/>
    <m/>
    <s v="Ver Anexo A4"/>
    <m/>
    <s v="LOCAL"/>
    <s v="Célula de Operaciones SIR 2024"/>
    <s v="OPER"/>
    <m/>
    <m/>
    <s v="Ecuador"/>
    <s v="Sandra Pailacho"/>
    <s v="sandra.paillacho@kfc.com.ec"/>
    <x v="15"/>
    <s v="IDENTIFICADO"/>
    <s v="No iniciado"/>
    <n v="26"/>
    <s v="Q4"/>
    <m/>
    <s v="MEDIA"/>
    <m/>
    <n v="4"/>
    <n v="2"/>
    <n v="400"/>
    <m/>
    <n v="3840"/>
    <m/>
    <m/>
    <x v="2"/>
    <d v="2024-11-18T00:00:00"/>
    <d v="2024-12-13T00:00:00"/>
    <e v="#REF!"/>
    <d v="2024-12-17T00:00:00"/>
    <d v="2024-12-23T00:00:00"/>
    <d v="2899-09-28T00:00:00"/>
    <m/>
    <m/>
    <d v="2024-11-18T00:00:00"/>
    <d v="1899-12-30T00:00:00"/>
    <n v="1"/>
    <n v="0"/>
    <s v="Célula Operaciones"/>
    <m/>
    <m/>
    <m/>
  </r>
  <r>
    <s v="2024"/>
    <x v="0"/>
    <m/>
    <s v="Código de Barras ( Español)"/>
    <m/>
    <s v="Ver Anexo A4"/>
    <m/>
    <s v="LOCAL"/>
    <s v="Célula de Operaciones SIR 2024"/>
    <s v="OPER"/>
    <m/>
    <m/>
    <s v="Ecuador"/>
    <s v="Sandra Pailacho"/>
    <s v="sandra.paillacho@kfc.com.ec"/>
    <x v="15"/>
    <s v="IDENTIFICADO"/>
    <s v="No iniciado"/>
    <n v="17"/>
    <s v="Q3"/>
    <m/>
    <s v="BAJA"/>
    <m/>
    <n v="3"/>
    <n v="2"/>
    <n v="400"/>
    <m/>
    <n v="3040"/>
    <m/>
    <m/>
    <x v="2"/>
    <d v="2024-07-01T00:00:00"/>
    <d v="2024-07-20T00:00:00"/>
    <e v="#REF!"/>
    <d v="2024-04-23T00:00:00"/>
    <d v="2024-07-30T00:00:00"/>
    <d v="2894-10-12T00:00:00"/>
    <m/>
    <m/>
    <d v="2024-07-01T00:00:00"/>
    <d v="1899-12-30T00:00:00"/>
    <n v="0.75"/>
    <n v="0"/>
    <s v="Célula Operaciones"/>
    <m/>
    <m/>
    <m/>
  </r>
  <r>
    <s v="2024"/>
    <x v="0"/>
    <m/>
    <s v="Cupones de Dinero y Descuentos"/>
    <s v="MXP LEGACY"/>
    <s v="Ver Anexo A4"/>
    <m/>
    <s v="LOCAL"/>
    <s v="Célula de Operaciones SIR 2024"/>
    <s v="OPER"/>
    <m/>
    <m/>
    <s v="Ecuador"/>
    <s v="Sandra Pailacho"/>
    <s v="sandra.paillacho@kfc.com.ec"/>
    <x v="15"/>
    <s v="IDENTIFICADO"/>
    <s v="Iniciado "/>
    <n v="15"/>
    <s v="Q2"/>
    <m/>
    <s v="MEDIA"/>
    <m/>
    <n v="2"/>
    <n v="2"/>
    <n v="400"/>
    <m/>
    <n v="2240"/>
    <m/>
    <m/>
    <x v="0"/>
    <d v="2024-05-27T00:00:00"/>
    <m/>
    <e v="#REF!"/>
    <m/>
    <m/>
    <d v="1899-12-30T00:00:00"/>
    <d v="2024-06-25T00:00:00"/>
    <d v="2024-07-24T00:00:00"/>
    <d v="2024-05-27T00:00:00"/>
    <d v="2024-07-24T00:00:00"/>
    <n v="0.5"/>
    <n v="29"/>
    <s v="Célula Operaciones"/>
    <m/>
    <m/>
    <m/>
  </r>
  <r>
    <s v="2024"/>
    <x v="0"/>
    <m/>
    <s v="Definir Modelo de Costos en SIR ( Sug. Promedio ponderado similar a SAP)"/>
    <m/>
    <s v="Ver Anexo A4"/>
    <m/>
    <s v="LOCAL"/>
    <s v="Célula de Operaciones SIR 2024"/>
    <s v="OPER"/>
    <m/>
    <m/>
    <s v="Ecuador"/>
    <s v="Sandra Pailacho"/>
    <s v="sandra.paillacho@kfc.com.ec"/>
    <x v="15"/>
    <s v="IDENTIFICADO"/>
    <s v="No iniciado"/>
    <n v="18"/>
    <s v="Q4"/>
    <m/>
    <s v="ALTA"/>
    <m/>
    <n v="6"/>
    <n v="2"/>
    <n v="450"/>
    <m/>
    <n v="6040"/>
    <m/>
    <m/>
    <x v="2"/>
    <d v="2024-11-04T00:00:00"/>
    <d v="2024-12-13T00:00:00"/>
    <e v="#REF!"/>
    <d v="2025-01-07T00:00:00"/>
    <d v="2025-01-15T00:00:00"/>
    <d v="2900-03-17T00:00:00"/>
    <m/>
    <m/>
    <d v="2024-11-04T00:00:00"/>
    <d v="1899-12-30T00:00:00"/>
    <n v="1.5"/>
    <n v="0"/>
    <s v="Célula Operaciones"/>
    <m/>
    <m/>
    <m/>
  </r>
  <r>
    <s v="2024"/>
    <x v="0"/>
    <m/>
    <s v="Digitalización de Toma Fisica de Inventario"/>
    <m/>
    <s v="Ver Anexo A4"/>
    <m/>
    <s v="LOCAL"/>
    <s v="Célula de Operaciones SIR 2024"/>
    <s v="OPER"/>
    <m/>
    <m/>
    <s v="Ecuador"/>
    <s v="Sandra Pailacho"/>
    <s v="sandra.paillacho@kfc.com.ec"/>
    <x v="15"/>
    <s v="IDENTIFICADO"/>
    <s v="No iniciado"/>
    <n v="13"/>
    <s v="Q3"/>
    <m/>
    <s v="BAJA"/>
    <m/>
    <n v="3"/>
    <n v="2"/>
    <n v="400"/>
    <m/>
    <n v="3040"/>
    <m/>
    <m/>
    <x v="2"/>
    <d v="2024-06-17T00:00:00"/>
    <d v="2024-07-05T00:00:00"/>
    <e v="#REF!"/>
    <d v="2024-09-09T00:00:00"/>
    <d v="2024-07-16T00:00:00"/>
    <d v="2897-05-28T00:00:00"/>
    <m/>
    <m/>
    <d v="2024-06-17T00:00:00"/>
    <d v="1899-12-30T00:00:00"/>
    <n v="0.75"/>
    <n v="0"/>
    <s v="Célula Operaciones"/>
    <m/>
    <m/>
    <m/>
  </r>
  <r>
    <s v="2024"/>
    <x v="3"/>
    <m/>
    <s v="Digitalización del Proceso de Canje de Cupones para Socios Corporativos en el Aeropuerto"/>
    <m/>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s v="LOCAL"/>
    <s v="Validar con ambos aeropuertos, pendiente confirmacion Jose Luis Tello"/>
    <s v="OPER"/>
    <m/>
    <m/>
    <s v="Ecuador"/>
    <s v="Jorge Samaniego / Estefanía Viteri"/>
    <s v="jorge.samaniego@kfc.com.ec, estefania.viteri@kfc.com.ec"/>
    <x v="26"/>
    <s v="IDENTIFICADO"/>
    <s v="No iniciado"/>
    <m/>
    <s v="Q3"/>
    <m/>
    <s v="MEDIA"/>
    <m/>
    <n v="5"/>
    <n v="1"/>
    <n v="550"/>
    <m/>
    <n v="3330"/>
    <m/>
    <m/>
    <x v="6"/>
    <d v="2024-07-01T00:00:00"/>
    <d v="2024-08-05T00:00:00"/>
    <d v="2024-12-01T00:00:00"/>
    <d v="2024-08-06T00:00:00"/>
    <d v="2024-08-20T00:00:00"/>
    <d v="2024-12-07T00:00:00"/>
    <d v="2024-08-21T00:00:00"/>
    <d v="2024-09-04T00:00:00"/>
    <d v="2024-07-01T00:00:00"/>
    <d v="2024-09-04T00:00:00"/>
    <n v="1.25"/>
    <n v="14"/>
    <s v="Pendiente definición de Aereopuertos Quito / Gye"/>
    <m/>
    <m/>
    <m/>
  </r>
  <r>
    <s v="2024"/>
    <x v="0"/>
    <m/>
    <s v="Digitalizar toma fisica de activos fijos"/>
    <m/>
    <s v="Ver Anexo A4"/>
    <m/>
    <s v="LOCAL"/>
    <s v="Célula de Operaciones SIR 2024"/>
    <s v="OPER"/>
    <m/>
    <m/>
    <s v="Ecuador"/>
    <s v="Sandra Pailacho"/>
    <s v="sandra.paillacho@kfc.com.ec"/>
    <x v="15"/>
    <s v="IDENTIFICADO"/>
    <s v="No iniciado"/>
    <n v="20"/>
    <s v="Q3"/>
    <m/>
    <s v="MEDIA"/>
    <m/>
    <n v="5"/>
    <n v="2"/>
    <n v="450"/>
    <m/>
    <n v="5140"/>
    <m/>
    <m/>
    <x v="2"/>
    <d v="2024-07-15T00:00:00"/>
    <d v="2024-08-16T00:00:00"/>
    <e v="#REF!"/>
    <d v="2024-08-20T00:00:00"/>
    <d v="2024-08-27T00:00:00"/>
    <d v="2897-02-19T00:00:00"/>
    <m/>
    <m/>
    <d v="2024-07-15T00:00:00"/>
    <d v="1899-12-30T00:00:00"/>
    <n v="1.25"/>
    <n v="0"/>
    <s v="Célula Operaciones"/>
    <m/>
    <m/>
    <m/>
  </r>
  <r>
    <n v="2024"/>
    <x v="3"/>
    <m/>
    <s v="Estabilización proceso de fidelizacion juan valdez"/>
    <m/>
    <m/>
    <m/>
    <s v="LOCAL"/>
    <s v="Celula Operaciones Maxpoint 2024"/>
    <s v="OPER"/>
    <m/>
    <m/>
    <s v="Ecuador"/>
    <s v="Renato Loayza"/>
    <s v="renato.loayza@kfc.com.ec"/>
    <x v="15"/>
    <s v="IDENTIFICADO"/>
    <s v="No iniciado"/>
    <m/>
    <s v="Q3"/>
    <m/>
    <s v="BAJA"/>
    <n v="1"/>
    <n v="4"/>
    <n v="1"/>
    <n v="550"/>
    <m/>
    <n v="2780"/>
    <m/>
    <m/>
    <x v="6"/>
    <d v="2024-07-01T00:00:00"/>
    <d v="2024-07-29T00:00:00"/>
    <d v="2024-09-26T00:00:00"/>
    <d v="2024-07-30T00:00:00"/>
    <d v="2024-08-13T00:00:00"/>
    <d v="2024-10-25T00:00:00"/>
    <d v="2024-08-14T00:00:00"/>
    <d v="2024-08-28T00:00:00"/>
    <d v="2024-07-01T00:00:00"/>
    <d v="2024-08-28T00:00:00"/>
    <d v="1899-12-31T00:00:00"/>
    <n v="14"/>
    <m/>
    <m/>
    <m/>
    <m/>
  </r>
  <r>
    <s v="2023"/>
    <x v="0"/>
    <m/>
    <s v="Flujo Pedido productos No Despachados ( Restaurantes)"/>
    <m/>
    <s v="Ver Anexo A4 - Espera de nueva definición "/>
    <m/>
    <s v="LOCAL"/>
    <s v="Célula de Operaciones SIR 2023"/>
    <s v="OPER"/>
    <m/>
    <m/>
    <s v="Ecuador"/>
    <s v="Sandra Pailacho"/>
    <m/>
    <x v="15"/>
    <s v="APROBADO"/>
    <s v="Finalizado"/>
    <n v="4"/>
    <s v="Q2"/>
    <m/>
    <s v="ALTA"/>
    <m/>
    <n v="2"/>
    <n v="3"/>
    <n v="400"/>
    <m/>
    <n v="3040"/>
    <m/>
    <m/>
    <x v="5"/>
    <m/>
    <m/>
    <e v="#REF!"/>
    <m/>
    <m/>
    <d v="1899-12-30T00:00:00"/>
    <m/>
    <m/>
    <d v="1899-12-30T00:00:00"/>
    <d v="1899-12-30T00:00:00"/>
    <n v="0.5"/>
    <n v="0"/>
    <s v="Célula Operaciones"/>
    <m/>
    <m/>
    <m/>
  </r>
  <r>
    <s v="2024"/>
    <x v="3"/>
    <m/>
    <s v="Habilitar completamente el proceso de desasignado del cajero en el backoffice de la tienda"/>
    <m/>
    <s v="Ver Anexo A2"/>
    <m/>
    <s v="LOCAL"/>
    <s v="Celula Operaciones Maxpoint 2024"/>
    <s v="OPER"/>
    <m/>
    <m/>
    <s v="Ecuador"/>
    <s v="Sandra Paillacho"/>
    <s v="sandra.paillacho@kfc.com.ec"/>
    <x v="15"/>
    <s v="IDENTIFICADO"/>
    <s v="No iniciado"/>
    <m/>
    <s v="Q2"/>
    <m/>
    <s v="MEDIA"/>
    <n v="1"/>
    <n v="3"/>
    <n v="2"/>
    <n v="550"/>
    <m/>
    <n v="3880"/>
    <m/>
    <m/>
    <x v="0"/>
    <d v="2024-06-03T00:00:00"/>
    <d v="2024-06-24T00:00:00"/>
    <d v="2024-06-25T00:00:00"/>
    <d v="2024-07-09T00:00:00"/>
    <d v="2024-07-10T00:00:00"/>
    <d v="2024-07-24T00:00:00"/>
    <d v="2024-07-10T00:00:00"/>
    <d v="2024-07-24T00:00:00"/>
    <d v="2024-06-03T00:00:00"/>
    <d v="2024-07-24T00:00:00"/>
    <n v="0.75"/>
    <n v="14"/>
    <m/>
    <m/>
    <m/>
    <m/>
  </r>
  <r>
    <s v="2023"/>
    <x v="0"/>
    <m/>
    <s v="Hoja de Proyeccion de Pre-Producción Articulos Materia primas"/>
    <m/>
    <s v="Ver Anexo A4"/>
    <m/>
    <s v="LOCAL"/>
    <s v="Célula de Operaciones SIR 2023"/>
    <s v="OPER"/>
    <m/>
    <m/>
    <s v="Ecuador"/>
    <s v="Sandra Pailacho"/>
    <m/>
    <x v="15"/>
    <s v="APROBADO"/>
    <s v="No iniciado"/>
    <n v="5"/>
    <s v="Q2"/>
    <m/>
    <s v="MEDIA"/>
    <m/>
    <n v="2"/>
    <n v="4"/>
    <n v="400"/>
    <m/>
    <n v="3840"/>
    <m/>
    <m/>
    <x v="1"/>
    <d v="2024-04-29T00:00:00"/>
    <d v="2024-05-24T00:00:00"/>
    <e v="#REF!"/>
    <m/>
    <m/>
    <d v="1899-12-30T00:00:00"/>
    <d v="2024-05-30T00:00:00"/>
    <m/>
    <d v="2024-04-29T00:00:00"/>
    <d v="1899-12-30T00:00:00"/>
    <n v="0.5"/>
    <n v="-45442"/>
    <s v="Célula Operaciones"/>
    <m/>
    <m/>
    <m/>
  </r>
  <r>
    <s v="2024"/>
    <x v="3"/>
    <m/>
    <s v="Homologar la versión del maxpoint en la cadena de dolce incontro"/>
    <m/>
    <s v="Implementar versión de maxpoint domicilio para dolce;"/>
    <m/>
    <s v="LOCAL"/>
    <s v="Celula Operaciones Maxpoint 2024"/>
    <s v="OPER"/>
    <m/>
    <m/>
    <s v="Ecuador"/>
    <s v="Sebastián Jara"/>
    <s v="sebastian.jara@kfc.com.ec"/>
    <x v="15"/>
    <s v="IDENTIFICADO"/>
    <s v="No iniciado"/>
    <m/>
    <s v="Q2"/>
    <m/>
    <s v="ALTA"/>
    <n v="1"/>
    <n v="4"/>
    <n v="2"/>
    <n v="550"/>
    <m/>
    <n v="4980"/>
    <m/>
    <m/>
    <x v="0"/>
    <d v="2024-06-03T00:00:00"/>
    <d v="2024-07-01T00:00:00"/>
    <e v="#REF!"/>
    <d v="2024-07-02T00:00:00"/>
    <d v="2024-07-16T00:00:00"/>
    <d v="2896-01-31T00:00:00"/>
    <d v="2024-07-17T00:00:00"/>
    <d v="2024-07-31T00:00:00"/>
    <d v="2024-06-03T00:00:00"/>
    <d v="2024-07-31T00:00:00"/>
    <n v="1"/>
    <n v="14"/>
    <m/>
    <m/>
    <m/>
    <m/>
  </r>
  <r>
    <s v="2024"/>
    <x v="3"/>
    <m/>
    <s v="Identificar en la impresión de la comanda a los pedidos de salón y llevar"/>
    <s v="REVISAR DARWIN"/>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s v="LOCAL"/>
    <s v="Celula Operaciones Maxpoint 2024"/>
    <s v="OPER"/>
    <m/>
    <m/>
    <s v="Ecuador"/>
    <s v="Sebastián Jara"/>
    <s v="sebastian.jara@kfc.com.ec"/>
    <x v="15"/>
    <s v="IDENTIFICADO"/>
    <s v="No iniciado"/>
    <m/>
    <s v="Q2"/>
    <s v="Se necesita mayor contexto del cliente"/>
    <s v="BAJA"/>
    <n v="1"/>
    <n v="3"/>
    <n v="1"/>
    <n v="550"/>
    <m/>
    <n v="2230"/>
    <m/>
    <m/>
    <x v="1"/>
    <d v="2024-04-29T00:00:00"/>
    <d v="2024-05-23T00:00:00"/>
    <e v="#REF!"/>
    <d v="2024-05-24T00:00:00"/>
    <d v="2024-06-07T00:00:00"/>
    <d v="2895-03-25T00:00:00"/>
    <d v="2024-06-08T00:00:00"/>
    <d v="2024-06-22T00:00:00"/>
    <d v="2024-04-29T00:00:00"/>
    <d v="2024-06-22T00:00:00"/>
    <n v="0.75"/>
    <n v="14"/>
    <m/>
    <m/>
    <m/>
    <m/>
  </r>
  <r>
    <s v="2024"/>
    <x v="3"/>
    <m/>
    <s v="Identificar extras/modificadores asociados al producto padre en la pantalla de toma de pedido y la impresión de la orden de la cocina"/>
    <s v="MXP 2.0"/>
    <s v="Ver Anexo A2"/>
    <m/>
    <s v="LOCAL"/>
    <s v="Celula Operaciones Maxpoint 2024"/>
    <s v="OPER"/>
    <m/>
    <m/>
    <s v="Ecuador"/>
    <s v="Sandra Paillacho"/>
    <s v="sandra.paillacho@kfc.com.ec"/>
    <x v="15"/>
    <s v="IDENTIFICADO"/>
    <s v="No iniciado"/>
    <n v="1"/>
    <s v="Q2"/>
    <m/>
    <s v="BAJA"/>
    <n v="1"/>
    <n v="3"/>
    <n v="1"/>
    <n v="550"/>
    <m/>
    <n v="2230"/>
    <m/>
    <m/>
    <x v="1"/>
    <d v="2024-04-29T00:00:00"/>
    <d v="2024-05-23T00:00:00"/>
    <d v="2024-04-23T00:00:00"/>
    <d v="2024-05-24T00:00:00"/>
    <d v="2024-06-07T00:00:00"/>
    <d v="2024-06-08T00:00:00"/>
    <d v="2024-06-08T00:00:00"/>
    <d v="2024-06-22T00:00:00"/>
    <d v="2024-04-29T00:00:00"/>
    <d v="2024-06-22T00:00:00"/>
    <n v="0.75"/>
    <n v="14"/>
    <s v="Célula Operaciones"/>
    <m/>
    <m/>
    <m/>
  </r>
  <r>
    <s v="2024"/>
    <x v="3"/>
    <m/>
    <s v="Imprimir reporte de desmontado de cajero en la impresora de la caja cuando se realice el proceso desde el backoffice"/>
    <s v="MXP 2.0"/>
    <s v="Ver Anexo A2_x000a_Arqueo, Retiros, proceso de cuadre de caja se lo haga en la oficina y no el en fronting POS, pero Imprimir la cinta en el POS caja, agrupador UX de formas de pago, BACK y Front"/>
    <m/>
    <s v="LOCAL"/>
    <s v="Celula Operaciones Maxpoint 2024"/>
    <s v="OPER"/>
    <m/>
    <m/>
    <s v="Ecuador"/>
    <s v="Sandra Paillacho"/>
    <s v="sandra.paillacho@kfc.com.ec"/>
    <x v="15"/>
    <s v="IDENTIFICADO"/>
    <s v="No iniciado"/>
    <n v="2"/>
    <s v="Q2"/>
    <m/>
    <s v="BAJA"/>
    <n v="1"/>
    <n v="3"/>
    <n v="1"/>
    <n v="550"/>
    <m/>
    <n v="2230"/>
    <m/>
    <m/>
    <x v="0"/>
    <d v="2024-06-01T00:00:00"/>
    <d v="2024-06-28T00:00:00"/>
    <d v="2024-04-23T00:00:00"/>
    <d v="2024-07-01T00:00:00"/>
    <d v="2024-07-20T00:00:00"/>
    <d v="2024-05-22T00:00:00"/>
    <d v="2024-07-22T00:00:00"/>
    <d v="2024-08-05T00:00:00"/>
    <d v="2024-06-01T00:00:00"/>
    <d v="2024-08-05T00:00:00"/>
    <d v="1899-12-30T18:00:00"/>
    <n v="14"/>
    <s v="Célula Operaciones"/>
    <m/>
    <m/>
    <m/>
  </r>
  <r>
    <s v="2024"/>
    <x v="0"/>
    <m/>
    <s v="Inclusión de PLUS en LUNCH, MERMAS y  DEGUSTACIÓN"/>
    <m/>
    <s v="Ver Anexo A4"/>
    <m/>
    <s v="LOCAL"/>
    <s v="Célula de Operaciones SIR 2024"/>
    <s v="OPER"/>
    <m/>
    <m/>
    <s v="Ecuador"/>
    <s v="Sandra Pailacho"/>
    <s v="sandra.paillacho@kfc.com.ec"/>
    <x v="15"/>
    <s v="IDENTIFICADO"/>
    <s v="No iniciado"/>
    <n v="14"/>
    <s v="Q3"/>
    <m/>
    <s v="ALTA"/>
    <m/>
    <n v="6"/>
    <n v="2"/>
    <n v="450"/>
    <m/>
    <n v="6040"/>
    <m/>
    <m/>
    <x v="2"/>
    <d v="2024-07-08T00:00:00"/>
    <d v="2024-08-16T00:00:00"/>
    <e v="#REF!"/>
    <d v="2024-08-22T00:00:00"/>
    <d v="2024-09-02T00:00:00"/>
    <d v="2897-03-11T00:00:00"/>
    <m/>
    <m/>
    <d v="2024-07-08T00:00:00"/>
    <d v="1899-12-30T00:00:00"/>
    <n v="1.5"/>
    <n v="0"/>
    <s v="Célula Operaciones"/>
    <m/>
    <m/>
    <m/>
  </r>
  <r>
    <s v="2024"/>
    <x v="0"/>
    <m/>
    <s v="Ingreso de Proyeccion Ventas y Gastos (pyg) - Real y avance"/>
    <m/>
    <s v="Ver Anexo A4"/>
    <m/>
    <s v="LOCAL"/>
    <s v="Célula de Operaciones SIR 2024"/>
    <s v="OPER"/>
    <m/>
    <m/>
    <s v="Ecuador"/>
    <s v="Sandra Pailacho"/>
    <s v="sandra.paillacho@kfc.com.ec"/>
    <x v="15"/>
    <s v="IDENTIFICADO"/>
    <s v="No iniciado"/>
    <n v="9"/>
    <s v="Q2"/>
    <m/>
    <s v="MEDIA"/>
    <m/>
    <n v="4"/>
    <n v="2"/>
    <n v="400"/>
    <m/>
    <n v="3840"/>
    <m/>
    <m/>
    <x v="1"/>
    <d v="2024-05-13T00:00:00"/>
    <m/>
    <e v="#REF!"/>
    <m/>
    <m/>
    <d v="1899-12-30T00:00:00"/>
    <d v="2024-06-18T00:00:00"/>
    <d v="2024-06-18T00:00:00"/>
    <d v="2024-05-13T00:00:00"/>
    <d v="2024-06-18T00:00:00"/>
    <n v="1"/>
    <n v="0"/>
    <s v="Célula Operaciones"/>
    <m/>
    <m/>
    <m/>
  </r>
  <r>
    <s v="2024"/>
    <x v="3"/>
    <m/>
    <s v="Integración de cupones empresariales"/>
    <s v="MXP 2.0"/>
    <s v="Se debe integrar a la versión de Ecuador la funcionalidad de cupones digitales desde la versión de Colombia_x000a_Compromiso Matriz Regional  (Ecuador)"/>
    <m/>
    <s v="LOCAL"/>
    <s v="Funcionalidades País"/>
    <s v="OPER"/>
    <m/>
    <m/>
    <s v="Ecuador"/>
    <m/>
    <m/>
    <x v="15"/>
    <s v="IDENTIFICADO"/>
    <s v="No iniciado"/>
    <m/>
    <s v="Q3"/>
    <s v="A pesar de ser un requerimiento del 2023 y asociado a la matriz regional sin embargo, ya no existe fondos en este proyecto razón por la cual se debe incluir en la matriz de operaciones ?"/>
    <m/>
    <m/>
    <n v="8"/>
    <n v="1"/>
    <n v="550"/>
    <m/>
    <n v="4980"/>
    <m/>
    <m/>
    <x v="12"/>
    <d v="2024-08-05T00:00:00"/>
    <d v="2024-09-09T00:00:00"/>
    <d v="2024-08-06T00:00:00"/>
    <d v="2024-09-10T00:00:00"/>
    <d v="2024-09-24T00:00:00"/>
    <d v="2024-09-04T00:00:00"/>
    <d v="2024-09-25T00:00:00"/>
    <d v="2024-10-09T00:00:00"/>
    <d v="2024-08-05T00:00:00"/>
    <d v="2024-10-09T00:00:00"/>
    <n v="2"/>
    <n v="14"/>
    <m/>
    <m/>
    <m/>
    <m/>
  </r>
  <r>
    <s v="2024"/>
    <x v="7"/>
    <m/>
    <s v="Modelar la selección del canal en una misma transacción por producto"/>
    <m/>
    <s v="Ver Anexo A2_x000a_Desglosar el pedido y mediante popup seleccionar el medio del producto"/>
    <m/>
    <s v="LOCAL"/>
    <s v="Celula Operaciones Maxpoint 2024"/>
    <s v="OPER"/>
    <m/>
    <m/>
    <s v="Ecuador"/>
    <s v="Sandra Paillacho"/>
    <m/>
    <x v="15"/>
    <s v="SUSPENDIDO"/>
    <s v="No iniciado"/>
    <n v="1"/>
    <s v="Q1"/>
    <s v="Se necesita mayor contexto del cliente"/>
    <s v="MEDIA"/>
    <n v="1"/>
    <n v="1"/>
    <n v="4"/>
    <n v="550"/>
    <m/>
    <n v="2200"/>
    <m/>
    <m/>
    <x v="2"/>
    <d v="2024-02-26T00:00:00"/>
    <d v="2024-03-25T00:00:00"/>
    <e v="#REF!"/>
    <d v="2024-03-26T00:00:00"/>
    <d v="2024-04-09T00:00:00"/>
    <d v="2893-12-08T00:00:00"/>
    <d v="2024-04-10T00:00:00"/>
    <d v="2024-04-24T00:00:00"/>
    <d v="2024-02-26T00:00:00"/>
    <d v="2024-04-24T00:00:00"/>
    <n v="0.25"/>
    <n v="14"/>
    <s v="Célula Operaciones"/>
    <m/>
    <m/>
    <m/>
  </r>
  <r>
    <s v="2024"/>
    <x v="7"/>
    <m/>
    <s v="Asignacion de Modificadores mendiante Popup y otros como la división de sándwiches"/>
    <m/>
    <s v="Ver Anexo A2"/>
    <m/>
    <s v="LOCAL"/>
    <s v="Celula Operaciones Maxpoint 2024"/>
    <s v="OPER"/>
    <m/>
    <m/>
    <s v="Ecuador"/>
    <s v="Sandra Paillacho"/>
    <m/>
    <x v="15"/>
    <s v="SUSPENDIDO"/>
    <s v="No iniciado"/>
    <n v="1"/>
    <s v="Q1"/>
    <m/>
    <s v="BAJA"/>
    <n v="1"/>
    <n v="1"/>
    <n v="3"/>
    <n v="550"/>
    <m/>
    <n v="1650"/>
    <m/>
    <m/>
    <x v="2"/>
    <d v="2024-03-18T00:00:00"/>
    <d v="2024-04-08T00:00:00"/>
    <e v="#REF!"/>
    <d v="2024-04-09T00:00:00"/>
    <d v="2024-04-23T00:00:00"/>
    <d v="2894-03-30T00:00:00"/>
    <d v="2024-04-24T00:00:00"/>
    <d v="2024-05-08T00:00:00"/>
    <d v="2024-03-18T00:00:00"/>
    <d v="2024-05-08T00:00:00"/>
    <n v="0.25"/>
    <n v="14"/>
    <s v="Célula Operaciones"/>
    <m/>
    <m/>
    <m/>
  </r>
  <r>
    <s v="2024"/>
    <x v="7"/>
    <m/>
    <s v=" Desacoplar las preguntas de los productos, y crear preguntas del macro al micro por categorías y subcategorías de forma general para poder asociar los modificadores"/>
    <m/>
    <s v="Ver Anexo A2"/>
    <m/>
    <s v="LOCAL"/>
    <s v="Celula Operaciones Maxpoint 2024"/>
    <s v="OPER"/>
    <m/>
    <m/>
    <s v="Ecuador"/>
    <s v="Sandra Paillacho"/>
    <m/>
    <x v="15"/>
    <s v="SUSPENDIDO"/>
    <s v="No iniciado"/>
    <n v="1"/>
    <s v="Q1"/>
    <m/>
    <s v="ALTA"/>
    <n v="1"/>
    <n v="1"/>
    <n v="5"/>
    <n v="550"/>
    <m/>
    <n v="2750"/>
    <m/>
    <m/>
    <x v="2"/>
    <d v="2024-03-25T00:00:00"/>
    <d v="2024-04-29T00:00:00"/>
    <e v="#REF!"/>
    <d v="2024-04-30T00:00:00"/>
    <d v="2024-05-14T00:00:00"/>
    <d v="2894-09-14T00:00:00"/>
    <d v="2024-05-15T00:00:00"/>
    <d v="2024-05-29T00:00:00"/>
    <d v="2024-03-25T00:00:00"/>
    <d v="2024-05-29T00:00:00"/>
    <n v="0.25"/>
    <n v="14"/>
    <s v="Célula Operaciones"/>
    <m/>
    <m/>
    <m/>
  </r>
  <r>
    <s v="2024"/>
    <x v="7"/>
    <m/>
    <s v="Ordenar botones por reglas de negocio por definirse"/>
    <m/>
    <s v="Ver Anexo A2"/>
    <m/>
    <s v="LOCAL"/>
    <s v="Celula Operaciones Maxpoint 2024"/>
    <s v="OPER"/>
    <m/>
    <m/>
    <s v="Ecuador"/>
    <s v="Sandra Paillacho"/>
    <m/>
    <x v="15"/>
    <s v="SUSPENDIDO"/>
    <s v="No iniciado"/>
    <n v="1"/>
    <s v="Q2"/>
    <m/>
    <s v="MEDIA"/>
    <n v="1"/>
    <n v="1"/>
    <n v="4"/>
    <n v="550"/>
    <m/>
    <n v="2200"/>
    <m/>
    <m/>
    <x v="2"/>
    <d v="2024-04-01T00:00:00"/>
    <d v="2024-04-29T00:00:00"/>
    <e v="#REF!"/>
    <d v="2024-04-30T00:00:00"/>
    <d v="2024-05-14T00:00:00"/>
    <d v="2894-09-14T00:00:00"/>
    <d v="2024-05-15T00:00:00"/>
    <d v="2024-05-29T00:00:00"/>
    <d v="2024-04-01T00:00:00"/>
    <d v="2024-05-29T00:00:00"/>
    <n v="0.25"/>
    <n v="14"/>
    <s v="Célula Operaciones"/>
    <m/>
    <m/>
    <m/>
  </r>
  <r>
    <s v="2024"/>
    <x v="7"/>
    <m/>
    <s v="Que aparezcan en las pantallas de publicidad el valor de la factura a  pagar"/>
    <m/>
    <s v="Ver Anexo A2"/>
    <m/>
    <s v="LOCAL"/>
    <s v="Celula Operaciones Maxpoint 2024"/>
    <s v="OPER"/>
    <m/>
    <m/>
    <s v="Ecuador"/>
    <s v="Sandra Paillacho"/>
    <m/>
    <x v="15"/>
    <s v="SUSPENDIDO"/>
    <s v="No iniciado"/>
    <n v="2"/>
    <s v="Q2"/>
    <m/>
    <s v="MEDIA"/>
    <n v="1"/>
    <n v="1"/>
    <n v="4"/>
    <n v="550"/>
    <m/>
    <n v="2200"/>
    <m/>
    <m/>
    <x v="2"/>
    <d v="2024-04-15T00:00:00"/>
    <d v="2024-05-13T00:00:00"/>
    <e v="#REF!"/>
    <d v="2024-05-14T00:00:00"/>
    <d v="2024-05-28T00:00:00"/>
    <d v="2895-01-04T00:00:00"/>
    <d v="2024-05-29T00:00:00"/>
    <d v="2024-06-12T00:00:00"/>
    <d v="2024-04-15T00:00:00"/>
    <d v="2024-06-12T00:00:00"/>
    <n v="0.25"/>
    <n v="14"/>
    <s v="Célula Operaciones"/>
    <m/>
    <m/>
    <m/>
  </r>
  <r>
    <s v="2024"/>
    <x v="7"/>
    <m/>
    <s v="Asignación de tamaños a de productividad ctos a botones para selección mediante popup de tamanos (Ej.: Café 8onz 12Onz 16Onz., Cola 12onz 16onz 22onz."/>
    <m/>
    <s v="Ver Anexo A2"/>
    <m/>
    <s v="LOCAL"/>
    <s v="Celula Operaciones Maxpoint 2024"/>
    <s v="OPER"/>
    <m/>
    <m/>
    <s v="Ecuador"/>
    <s v="Sandra Paillacho"/>
    <m/>
    <x v="15"/>
    <s v="SUSPENDIDO"/>
    <s v="No iniciado"/>
    <n v="2"/>
    <s v="Q2"/>
    <m/>
    <s v="MEDIA"/>
    <n v="1"/>
    <n v="2"/>
    <n v="4"/>
    <n v="550"/>
    <m/>
    <n v="4400"/>
    <m/>
    <m/>
    <x v="2"/>
    <d v="2024-04-01T00:00:00"/>
    <d v="2024-04-29T00:00:00"/>
    <d v="2024-04-30T00:00:00"/>
    <d v="2024-05-14T00:00:00"/>
    <d v="2024-05-15T00:00:00"/>
    <d v="2024-05-29T00:00:00"/>
    <d v="2024-06-19T00:00:00"/>
    <d v="2024-07-03T00:00:00"/>
    <d v="2024-04-01T00:00:00"/>
    <d v="2024-07-03T00:00:00"/>
    <n v="0.5"/>
    <n v="14"/>
    <s v="Célula Operaciones"/>
    <m/>
    <m/>
    <m/>
  </r>
  <r>
    <s v="2024"/>
    <x v="7"/>
    <m/>
    <s v="Al momento de cobrar el sistema  tiene muchas preguntas / simplificar"/>
    <m/>
    <s v="Ver Anexo A2"/>
    <m/>
    <s v="LOCAL"/>
    <s v="Celula Operaciones Maxpoint 2024"/>
    <s v="OPER"/>
    <m/>
    <m/>
    <s v="Ecuador"/>
    <s v="Sandra Paillacho"/>
    <m/>
    <x v="15"/>
    <s v="SUSPENDIDO"/>
    <s v="No iniciado"/>
    <n v="3"/>
    <s v="Q2"/>
    <m/>
    <s v="MEDIA"/>
    <n v="1"/>
    <n v="2"/>
    <n v="4"/>
    <n v="550"/>
    <m/>
    <n v="4400"/>
    <m/>
    <m/>
    <x v="2"/>
    <d v="2024-05-02T00:00:00"/>
    <d v="2024-05-16T00:00:00"/>
    <d v="2024-05-17T00:00:00"/>
    <d v="2024-05-31T00:00:00"/>
    <d v="2024-06-01T00:00:00"/>
    <d v="2024-06-15T00:00:00"/>
    <d v="2024-06-19T00:00:00"/>
    <d v="2024-07-03T00:00:00"/>
    <d v="2024-05-02T00:00:00"/>
    <d v="2024-07-03T00:00:00"/>
    <n v="0.5"/>
    <n v="14"/>
    <s v="Célula Operaciones"/>
    <m/>
    <m/>
    <m/>
  </r>
  <r>
    <s v="2024"/>
    <x v="7"/>
    <m/>
    <s v="Incorporar venta detallada de complementos (productos) por cajeros"/>
    <m/>
    <s v="Ver Anexo A2"/>
    <m/>
    <s v="LOCAL"/>
    <s v="Celula Operaciones Maxpoint 2024"/>
    <s v="OPER"/>
    <m/>
    <m/>
    <s v="Ecuador"/>
    <s v="Sandra Paillacho"/>
    <m/>
    <x v="15"/>
    <s v="SUSPENDIDO"/>
    <s v="No iniciado"/>
    <n v="3"/>
    <s v="Q3"/>
    <m/>
    <s v="BAJA"/>
    <n v="1"/>
    <n v="2"/>
    <n v="3"/>
    <n v="550"/>
    <m/>
    <n v="3300"/>
    <m/>
    <m/>
    <x v="2"/>
    <d v="2024-08-12T00:00:00"/>
    <d v="2024-08-26T00:00:00"/>
    <d v="2024-08-27T00:00:00"/>
    <d v="2024-09-10T00:00:00"/>
    <d v="2024-09-11T00:00:00"/>
    <d v="2024-09-25T00:00:00"/>
    <d v="2024-07-19T00:00:00"/>
    <d v="2024-08-02T00:00:00"/>
    <d v="2024-08-12T00:00:00"/>
    <d v="2024-08-02T00:00:00"/>
    <n v="0.5"/>
    <n v="14"/>
    <s v="Célula Operaciones"/>
    <m/>
    <m/>
    <m/>
  </r>
  <r>
    <s v="2024"/>
    <x v="7"/>
    <m/>
    <s v="Poder imprimir en la orden el canal SALÓN - LLEVAR de forma separada e identificada con trazabilidad al BI"/>
    <m/>
    <s v="Ver Anexo A2"/>
    <m/>
    <s v="LOCAL"/>
    <s v="Celula Operaciones Maxpoint 2024"/>
    <s v="OPER"/>
    <m/>
    <m/>
    <s v="Ecuador"/>
    <s v="Sandra Paillacho"/>
    <m/>
    <x v="15"/>
    <s v="SUSPENDIDO"/>
    <s v="No iniciado"/>
    <n v="4"/>
    <s v="Q3"/>
    <m/>
    <s v="BAJA"/>
    <n v="1"/>
    <n v="2"/>
    <n v="2"/>
    <n v="550"/>
    <m/>
    <n v="2200"/>
    <m/>
    <m/>
    <x v="2"/>
    <d v="2024-08-05T00:00:00"/>
    <d v="2024-09-09T00:00:00"/>
    <d v="2024-09-10T00:00:00"/>
    <d v="2024-09-24T00:00:00"/>
    <d v="2024-09-25T00:00:00"/>
    <d v="2024-10-09T00:00:00"/>
    <d v="2024-07-26T00:00:00"/>
    <d v="2024-08-09T00:00:00"/>
    <d v="2024-08-05T00:00:00"/>
    <d v="2024-08-09T00:00:00"/>
    <n v="0.5"/>
    <n v="14"/>
    <s v="Célula Operaciones"/>
    <m/>
    <m/>
    <m/>
  </r>
  <r>
    <s v="2024"/>
    <x v="7"/>
    <m/>
    <s v="Semáforo venta inteligente en los Menús, Se desea colocar colores en los botones por relevancia de venta de PODUCTIVIDAD ctos por venta inteligente VERDE&gt; contribución AMARILLO = ROJO &lt; contribución (actualmente hay muchos colores)"/>
    <m/>
    <s v="Ver Anexo A2"/>
    <m/>
    <s v="LOCAL"/>
    <s v="Celula Operaciones Maxpoint 2024"/>
    <s v="OPER"/>
    <m/>
    <m/>
    <s v="Ecuador"/>
    <s v="Sandra Paillacho"/>
    <m/>
    <x v="15"/>
    <s v="SUSPENDIDO"/>
    <s v="No iniciado"/>
    <n v="4"/>
    <s v="Q2"/>
    <m/>
    <s v="ALTA"/>
    <n v="1"/>
    <n v="2"/>
    <n v="5"/>
    <n v="550"/>
    <m/>
    <n v="5500"/>
    <m/>
    <m/>
    <x v="2"/>
    <d v="2024-04-01T00:00:00"/>
    <d v="2024-05-06T00:00:00"/>
    <d v="2024-05-07T00:00:00"/>
    <d v="2024-05-21T00:00:00"/>
    <d v="2024-05-22T00:00:00"/>
    <d v="2024-06-05T00:00:00"/>
    <d v="2024-08-23T00:00:00"/>
    <d v="2024-09-06T00:00:00"/>
    <d v="2024-04-01T00:00:00"/>
    <d v="2024-09-06T00:00:00"/>
    <n v="0.5"/>
    <n v="14"/>
    <s v="Célula Operaciones"/>
    <m/>
    <m/>
    <m/>
  </r>
  <r>
    <s v="2024"/>
    <x v="7"/>
    <m/>
    <s v="Toma de pedido en Tablet debe ser amigable, rehacer repensar todo el sistema para lograr el efecto"/>
    <m/>
    <s v="Ver Anexo A2"/>
    <m/>
    <s v="LOCAL"/>
    <s v="Celula Operaciones Maxpoint 2024"/>
    <s v="OPER"/>
    <m/>
    <m/>
    <s v="Ecuador"/>
    <s v="Sandra Paillacho"/>
    <m/>
    <x v="15"/>
    <s v="SUSPENDIDO"/>
    <s v="No iniciado"/>
    <s v="3T 24"/>
    <s v="Q2"/>
    <m/>
    <s v="BAJA"/>
    <n v="1"/>
    <n v="0"/>
    <n v="0"/>
    <n v="550"/>
    <m/>
    <n v="0"/>
    <m/>
    <m/>
    <x v="2"/>
    <d v="2024-05-02T00:00:00"/>
    <d v="2024-05-23T00:00:00"/>
    <d v="2024-05-24T00:00:00"/>
    <d v="2024-06-07T00:00:00"/>
    <d v="2024-06-08T00:00:00"/>
    <d v="2024-06-22T00:00:00"/>
    <d v="2024-09-15T00:00:00"/>
    <d v="2024-09-29T00:00:00"/>
    <d v="2024-05-02T00:00:00"/>
    <d v="2024-09-29T00:00:00"/>
    <n v="0"/>
    <n v="14"/>
    <s v="Célula Operaciones"/>
    <m/>
    <m/>
    <m/>
  </r>
  <r>
    <s v="2024"/>
    <x v="7"/>
    <m/>
    <s v="Agrupación de Plus para armar picadas (El Español)"/>
    <m/>
    <s v="Ver Anexo A4"/>
    <m/>
    <s v="LOCAL"/>
    <s v="Restructura de manejo de Plu´s y MasterPlu"/>
    <s v="OPER"/>
    <m/>
    <m/>
    <s v="Ecuador"/>
    <s v="Sandra Pailacho"/>
    <m/>
    <x v="15"/>
    <s v="IDENTIFICADO"/>
    <s v="No iniciado"/>
    <n v="22"/>
    <m/>
    <m/>
    <m/>
    <m/>
    <m/>
    <m/>
    <n v="550"/>
    <m/>
    <m/>
    <m/>
    <m/>
    <x v="2"/>
    <m/>
    <m/>
    <e v="#REF!"/>
    <m/>
    <m/>
    <d v="1899-12-30T00:00:00"/>
    <m/>
    <m/>
    <d v="1899-12-30T00:00:00"/>
    <d v="1899-12-30T00:00:00"/>
    <n v="0"/>
    <n v="0"/>
    <s v="Jaime va a evaluar el proceso (MAXPOINT)_x000a_No se tiene contexto del requerimiento, evaluar si se lo realiza en nuevo maxpoint"/>
    <m/>
    <m/>
    <m/>
  </r>
  <r>
    <s v="2024"/>
    <x v="7"/>
    <m/>
    <s v="Desarrollo PMV "/>
    <m/>
    <s v="Desarrollo PMV "/>
    <m/>
    <s v="LOCAL"/>
    <m/>
    <s v="OPER"/>
    <m/>
    <m/>
    <s v="Ecuador"/>
    <s v="Juan Estevez"/>
    <m/>
    <x v="15"/>
    <s v="SUSPENDIDO"/>
    <s v="En curso"/>
    <m/>
    <m/>
    <m/>
    <m/>
    <m/>
    <m/>
    <m/>
    <m/>
    <m/>
    <n v="640"/>
    <m/>
    <m/>
    <x v="2"/>
    <m/>
    <m/>
    <e v="#REF!"/>
    <m/>
    <m/>
    <d v="1899-12-30T00:00:00"/>
    <m/>
    <m/>
    <d v="1899-12-30T00:00:00"/>
    <d v="1899-12-30T00:00:00"/>
    <n v="0"/>
    <n v="0"/>
    <m/>
    <m/>
    <m/>
    <m/>
  </r>
  <r>
    <s v="2023"/>
    <x v="0"/>
    <m/>
    <s v="Mayores contables - mensaje de ejecución"/>
    <s v="N/A"/>
    <s v="Ver Anexo A4"/>
    <m/>
    <s v="LOCAL"/>
    <s v="Otros - Presupuesto 2023"/>
    <s v="OPER"/>
    <m/>
    <m/>
    <s v="Ecuador"/>
    <s v="Byron Realpe"/>
    <m/>
    <x v="15"/>
    <s v="APROBADO"/>
    <s v="Finalizado"/>
    <m/>
    <s v="Q1"/>
    <m/>
    <s v="BAJA"/>
    <m/>
    <m/>
    <m/>
    <m/>
    <m/>
    <m/>
    <m/>
    <m/>
    <x v="5"/>
    <m/>
    <m/>
    <e v="#REF!"/>
    <m/>
    <m/>
    <d v="1899-12-30T00:00:00"/>
    <d v="2024-02-01T00:00:00"/>
    <m/>
    <d v="1899-12-30T00:00:00"/>
    <d v="1899-12-30T00:00:00"/>
    <n v="0"/>
    <n v="-45323"/>
    <s v="Proyecto 2023"/>
    <m/>
    <m/>
    <m/>
  </r>
  <r>
    <s v="2024"/>
    <x v="3"/>
    <m/>
    <s v="Mejora de UX de pantalla de datos en toma de pedido (landing page)"/>
    <m/>
    <s v="Ver Anexo A2_x000a_Eliminar la pantallla de Datos de Delivery CONFIGURACION"/>
    <m/>
    <s v="LOCAL"/>
    <s v="Celula Operaciones Maxpoint 2024"/>
    <s v="OPER"/>
    <m/>
    <m/>
    <s v="Ecuador"/>
    <s v="Sandra Paillacho"/>
    <s v="sandra.paillacho@kfc.com.ec"/>
    <x v="15"/>
    <s v="IDENTIFICADO"/>
    <s v="No iniciado"/>
    <n v="3"/>
    <s v="Q2"/>
    <m/>
    <s v="BAJA"/>
    <n v="1"/>
    <n v="4"/>
    <n v="1"/>
    <n v="550"/>
    <m/>
    <n v="2780"/>
    <m/>
    <m/>
    <x v="1"/>
    <d v="2024-04-29T00:00:00"/>
    <d v="2024-05-28T00:00:00"/>
    <d v="2024-06-25T00:00:00"/>
    <d v="2024-06-03T00:00:00"/>
    <d v="2024-06-15T00:00:00"/>
    <d v="2024-07-24T00:00:00"/>
    <d v="2024-06-20T00:00:00"/>
    <d v="2024-06-28T00:00:00"/>
    <d v="2024-04-29T00:00:00"/>
    <d v="2024-06-28T00:00:00"/>
    <n v="1"/>
    <n v="8"/>
    <s v="Célula Operaciones"/>
    <m/>
    <m/>
    <m/>
  </r>
  <r>
    <s v="2024"/>
    <x v="3"/>
    <m/>
    <s v="Nueva Versión Turnero v.3"/>
    <s v="MXP 2.0"/>
    <s v="Mejora de UX del Turnero para estandarización regional_x000a_Mejoras en turnero_x000a_Uso en modo vertical_x000a_Turnero en pantalla completa._x000a__x000a__x000a_"/>
    <m/>
    <s v="LOCAL"/>
    <s v="Celula Operaciones Maxpoint 2024"/>
    <s v="OPER"/>
    <m/>
    <m/>
    <s v="Ecuador"/>
    <s v="Francisco López"/>
    <s v="francisco.lopez@kfc.com.ec"/>
    <x v="15"/>
    <s v="IDENTIFICADO"/>
    <s v="No iniciado"/>
    <m/>
    <s v="Q2"/>
    <m/>
    <s v="MEDIA"/>
    <m/>
    <n v="6"/>
    <n v="1"/>
    <n v="550"/>
    <m/>
    <n v="3880"/>
    <m/>
    <m/>
    <x v="0"/>
    <d v="2024-06-03T00:00:00"/>
    <d v="2024-07-15T00:00:00"/>
    <e v="#REF!"/>
    <d v="2024-07-16T00:00:00"/>
    <d v="2024-07-30T00:00:00"/>
    <m/>
    <d v="2024-07-31T00:00:00"/>
    <d v="2024-08-14T00:00:00"/>
    <d v="2024-06-03T00:00:00"/>
    <d v="2024-08-14T00:00:00"/>
    <n v="1.5"/>
    <n v="14"/>
    <m/>
    <m/>
    <m/>
    <m/>
  </r>
  <r>
    <s v="2024"/>
    <x v="3"/>
    <m/>
    <s v="Mejora de UX para agilizar selección de menú en moódulo de toma de pedido"/>
    <s v="MXP 2.0"/>
    <s v="Ver Anexo A2"/>
    <m/>
    <s v="LOCAL"/>
    <s v="Celula Operaciones Maxpoint 2024"/>
    <s v="OPER"/>
    <m/>
    <m/>
    <s v="Ecuador"/>
    <s v="Sandra Paillacho"/>
    <s v="sandra.paillacho@kfc.com.ec"/>
    <x v="15"/>
    <s v="IDENTIFICADO"/>
    <s v="No iniciado"/>
    <n v="4"/>
    <s v="Q2"/>
    <m/>
    <s v="BAJA"/>
    <n v="1"/>
    <n v="3"/>
    <n v="2"/>
    <n v="550"/>
    <m/>
    <n v="3880"/>
    <m/>
    <m/>
    <x v="1"/>
    <d v="2024-04-29T00:00:00"/>
    <d v="2024-05-28T00:00:00"/>
    <d v="2024-10-03T00:00:00"/>
    <d v="2024-06-03T00:00:00"/>
    <d v="2024-06-15T00:00:00"/>
    <d v="2024-11-01T00:00:00"/>
    <d v="2024-06-20T00:00:00"/>
    <d v="2024-06-28T00:00:00"/>
    <d v="2024-04-29T00:00:00"/>
    <d v="2024-06-28T00:00:00"/>
    <n v="0.75"/>
    <n v="8"/>
    <s v="Célula Operaciones"/>
    <m/>
    <m/>
    <m/>
  </r>
  <r>
    <s v="2024"/>
    <x v="3"/>
    <m/>
    <s v="Mejora de UX para el proceso de recuperación de pedidos kiosko/pickup"/>
    <s v="MXP 2.0"/>
    <s v="Ver Anexo A2_x000a_PICKUP / Pantalla mesas-&gt; boton pickup: Mejorar la experiencia del usuario. Actualmente se debe realizar muchos clicks "/>
    <m/>
    <s v="LOCAL"/>
    <s v="Celula Operaciones Maxpoint 2024"/>
    <s v="OPER"/>
    <m/>
    <m/>
    <s v="Ecuador"/>
    <s v="Sandra Paillacho"/>
    <s v="sandra.paillacho@kfc.com.ec"/>
    <x v="15"/>
    <s v="IDENTIFICADO"/>
    <s v="No iniciado"/>
    <m/>
    <s v="Q2"/>
    <m/>
    <s v="MEDIA"/>
    <n v="1"/>
    <n v="3"/>
    <n v="2"/>
    <n v="550"/>
    <m/>
    <n v="3880"/>
    <m/>
    <m/>
    <x v="0"/>
    <d v="2024-06-03T00:00:00"/>
    <d v="2024-06-24T00:00:00"/>
    <e v="#REF!"/>
    <d v="2024-06-25T00:00:00"/>
    <d v="2024-07-09T00:00:00"/>
    <d v="2895-12-06T00:00:00"/>
    <d v="2024-07-10T00:00:00"/>
    <d v="2024-07-24T00:00:00"/>
    <d v="2024-06-03T00:00:00"/>
    <d v="2024-07-24T00:00:00"/>
    <n v="0.75"/>
    <n v="14"/>
    <m/>
    <m/>
    <m/>
    <m/>
  </r>
  <r>
    <s v="2024"/>
    <x v="1"/>
    <s v="APP"/>
    <s v="Notificación Cliente de llegada a destino"/>
    <s v="MXP LEGACY_x000a_TRADE"/>
    <s v="Aplica para KFC Ecuador, cuando el motorizado llegue a la casa del cliente"/>
    <s v="BAJA"/>
    <s v="LOCAL"/>
    <s v="Funcionalidades Locales"/>
    <s v="OPER"/>
    <m/>
    <m/>
    <s v="Ecuador"/>
    <s v="Vladimir Salazar"/>
    <s v="vladimir.salazar@kfc.com.ec"/>
    <x v="27"/>
    <s v="APROBADO"/>
    <s v="No iniciado"/>
    <m/>
    <s v="Q3"/>
    <s v="p59"/>
    <s v="ALTA"/>
    <m/>
    <n v="8"/>
    <n v="1"/>
    <n v="550"/>
    <m/>
    <n v="5040"/>
    <m/>
    <m/>
    <x v="11"/>
    <d v="2024-09-02T00:00:00"/>
    <d v="2024-09-23T00:00:00"/>
    <n v="21"/>
    <d v="2024-09-23T00:00:00"/>
    <d v="2024-09-30T00:00:00"/>
    <n v="364471"/>
    <d v="2024-09-30T00:00:00"/>
    <d v="2024-10-07T00:00:00"/>
    <d v="2024-09-01T00:00:00"/>
    <d v="2024-10-27T00:00:00"/>
    <n v="2"/>
    <n v="7"/>
    <m/>
    <m/>
    <m/>
    <m/>
  </r>
  <r>
    <s v="2024"/>
    <x v="3"/>
    <m/>
    <s v="Notificación de estado cancelado de los pedidos de agregadores hacia maxpoint"/>
    <s v="CANALES DIGITALES"/>
    <s v="Se necesita una alerta en maxpoint en la pantalla de despachos la cual notifique de manera visual y auditiva que un pedido de agregador ha sido cancelado, esto con la finalidad de que el cajero pueda realizar la nota de crédito una vez que se haya emitido la factura. "/>
    <m/>
    <s v="LOCAL"/>
    <s v="Celula Operaciones Maxpoint 2024"/>
    <s v="OPER"/>
    <m/>
    <m/>
    <s v="Ecuador"/>
    <s v="Sebastián Jara"/>
    <s v="sebastian.jara@kfc.com.ec"/>
    <x v="15"/>
    <s v="IDENTIFICADO"/>
    <s v="No iniciado"/>
    <m/>
    <s v="Q3"/>
    <m/>
    <s v="BAJA"/>
    <n v="1"/>
    <n v="5"/>
    <n v="1"/>
    <n v="550"/>
    <m/>
    <n v="3330"/>
    <m/>
    <m/>
    <x v="13"/>
    <d v="2024-08-05T00:00:00"/>
    <d v="2024-09-09T00:00:00"/>
    <e v="#REF!"/>
    <d v="2024-09-10T00:00:00"/>
    <d v="2024-09-24T00:00:00"/>
    <d v="2897-08-13T00:00:00"/>
    <d v="2024-09-25T00:00:00"/>
    <d v="2024-10-09T00:00:00"/>
    <d v="2024-08-05T00:00:00"/>
    <d v="2024-10-09T00:00:00"/>
    <n v="1.25"/>
    <n v="14"/>
    <m/>
    <m/>
    <m/>
    <m/>
  </r>
  <r>
    <s v="2024"/>
    <x v="3"/>
    <m/>
    <s v="Notificación de pedido listo hacia los agregadores"/>
    <s v="CANALES DIGITALES"/>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s v="LOCAL"/>
    <s v="Celula Operaciones Maxpoint 2024"/>
    <s v="OPER"/>
    <m/>
    <m/>
    <s v="Ecuador"/>
    <s v="Sebastián Jara"/>
    <s v="sebastian.jara@kfc.com.ec"/>
    <x v="15"/>
    <s v="IDENTIFICADO"/>
    <s v="No iniciado"/>
    <m/>
    <s v="Q3"/>
    <m/>
    <s v="BAJA"/>
    <n v="1"/>
    <n v="4"/>
    <n v="2"/>
    <n v="550"/>
    <m/>
    <n v="4980"/>
    <m/>
    <m/>
    <x v="13"/>
    <d v="2024-08-19T00:00:00"/>
    <d v="2024-09-23T00:00:00"/>
    <e v="#REF!"/>
    <d v="2024-09-24T00:00:00"/>
    <d v="2024-10-08T00:00:00"/>
    <d v="2897-12-03T00:00:00"/>
    <d v="2024-10-09T00:00:00"/>
    <d v="2024-10-23T00:00:00"/>
    <d v="2024-08-19T00:00:00"/>
    <d v="2024-10-23T00:00:00"/>
    <d v="1899-12-31T00:00:00"/>
    <n v="14"/>
    <m/>
    <m/>
    <m/>
    <m/>
  </r>
  <r>
    <s v="2024"/>
    <x v="3"/>
    <m/>
    <s v="Nuevo servicio de tarjetas v2.0"/>
    <s v="MXP 2.0"/>
    <s v="Nuevo servicio de tarjetas por api netcore"/>
    <m/>
    <s v="LOCAL"/>
    <s v="Servicio de tarjetas en netCore"/>
    <s v="OPER"/>
    <m/>
    <m/>
    <s v="Ecuador"/>
    <s v="Sandra Paillacho"/>
    <s v="sandra.paillacho@kfc.com.ec"/>
    <x v="15"/>
    <s v="IDENTIFICADO"/>
    <s v="No iniciado"/>
    <m/>
    <s v="Q2"/>
    <m/>
    <s v="ALTA"/>
    <n v="1"/>
    <n v="8"/>
    <n v="2"/>
    <n v="550"/>
    <m/>
    <n v="9380"/>
    <m/>
    <m/>
    <x v="1"/>
    <d v="2024-04-29T00:00:00"/>
    <d v="2024-06-28T00:00:00"/>
    <d v="1900-02-28T00:00:00"/>
    <d v="2024-07-01T00:00:00"/>
    <d v="2024-07-15T00:00:00"/>
    <d v="2896-01-23T00:00:00"/>
    <d v="2024-07-20T00:00:00"/>
    <d v="2024-07-28T00:00:00"/>
    <d v="2024-04-29T00:00:00"/>
    <d v="2024-07-28T00:00:00"/>
    <n v="2"/>
    <n v="8"/>
    <s v="Identificado Grupo de Soporte"/>
    <m/>
    <m/>
    <m/>
  </r>
  <r>
    <s v="2024"/>
    <x v="3"/>
    <m/>
    <s v="Nuevo UX de pantalla de desmontado de cajero"/>
    <s v="MXP 2.0"/>
    <s v="Ver Anexo A2"/>
    <m/>
    <s v="LOCAL"/>
    <s v="Celula Operaciones Maxpoint 2024"/>
    <s v="OPER"/>
    <m/>
    <m/>
    <s v="Ecuador"/>
    <s v="Sandra Paillacho"/>
    <s v="sandra.paillacho@kfc.com.ec"/>
    <x v="15"/>
    <s v="IDENTIFICADO"/>
    <s v="Iniciado "/>
    <m/>
    <s v="Q2"/>
    <m/>
    <s v="MEDIA"/>
    <n v="1"/>
    <n v="5"/>
    <n v="2"/>
    <n v="550"/>
    <m/>
    <n v="6080"/>
    <m/>
    <m/>
    <x v="7"/>
    <d v="2024-04-01T00:00:00"/>
    <d v="2024-05-06T00:00:00"/>
    <e v="#REF!"/>
    <d v="2024-05-07T00:00:00"/>
    <d v="2024-05-21T00:00:00"/>
    <d v="2894-11-09T00:00:00"/>
    <d v="2024-05-22T00:00:00"/>
    <d v="2024-06-05T00:00:00"/>
    <d v="2024-04-01T00:00:00"/>
    <d v="2024-06-05T00:00:00"/>
    <n v="1.25"/>
    <n v="14"/>
    <s v="EL proyecto puedo continuar con el desarrollo si el presupuesto es aprobado antes del inicio de sprint 2 "/>
    <m/>
    <m/>
    <m/>
  </r>
  <r>
    <s v="2024"/>
    <x v="3"/>
    <m/>
    <s v="Optimización de la velocidad de carga del menú luego de loguear al cajero"/>
    <s v="MXP 2.0"/>
    <s v="Ver Anexo A2_x000a_Al ingresar a max point tarda en cargar para el ingreso de claves"/>
    <m/>
    <s v="LOCAL"/>
    <s v="Celula Operaciones Maxpoint 2024"/>
    <s v="OPER"/>
    <m/>
    <m/>
    <s v="Ecuador"/>
    <s v="Sandra Paillacho"/>
    <s v="sandra.paillacho@kfc.com.ec"/>
    <x v="15"/>
    <s v="IDENTIFICADO"/>
    <s v="No iniciado"/>
    <n v="1"/>
    <s v="Q2"/>
    <m/>
    <s v="BAJA"/>
    <n v="1"/>
    <n v="3"/>
    <n v="1"/>
    <n v="550"/>
    <m/>
    <n v="2230"/>
    <m/>
    <m/>
    <x v="1"/>
    <d v="2024-04-29T00:00:00"/>
    <d v="2024-05-30T00:00:00"/>
    <d v="2024-05-31T00:00:00"/>
    <d v="2024-06-14T00:00:00"/>
    <d v="2024-06-15T00:00:00"/>
    <d v="2024-06-29T00:00:00"/>
    <d v="2024-06-18T00:00:00"/>
    <d v="2024-06-23T00:00:00"/>
    <d v="2024-04-29T00:00:00"/>
    <d v="2024-06-23T00:00:00"/>
    <n v="0.75"/>
    <n v="5"/>
    <s v="Célula Operaciones"/>
    <m/>
    <m/>
    <m/>
  </r>
  <r>
    <s v="2024"/>
    <x v="3"/>
    <m/>
    <s v="Optimización en algoritmo de búsqueda de productos"/>
    <s v="MXP 2.0"/>
    <s v="Ver Anexo A2_x000a_No hay busqueda compleja de productos por nombres "/>
    <m/>
    <s v="LOCAL"/>
    <s v="Celula Operaciones Maxpoint 2024"/>
    <s v="OPER"/>
    <m/>
    <m/>
    <s v="Ecuador"/>
    <s v="Sandra Paillacho"/>
    <s v="sandra.paillacho@kfc.com.ec"/>
    <x v="15"/>
    <s v="IDENTIFICADO"/>
    <s v="No iniciado"/>
    <n v="4"/>
    <s v="Q2"/>
    <m/>
    <s v="BAJA"/>
    <n v="1"/>
    <n v="2"/>
    <n v="1"/>
    <n v="550"/>
    <m/>
    <n v="1680"/>
    <m/>
    <m/>
    <x v="0"/>
    <d v="2024-06-03T00:00:00"/>
    <d v="2024-06-15T00:00:00"/>
    <d v="2024-08-06T00:00:00"/>
    <d v="2024-06-20T00:00:00"/>
    <d v="2024-06-25T00:00:00"/>
    <d v="2024-09-04T00:00:00"/>
    <d v="2024-06-28T00:00:00"/>
    <d v="2024-07-03T00:00:00"/>
    <d v="2024-06-03T00:00:00"/>
    <d v="2024-07-03T00:00:00"/>
    <n v="0.5"/>
    <n v="5"/>
    <s v="Célula Operaciones"/>
    <m/>
    <m/>
    <m/>
  </r>
  <r>
    <s v="2024"/>
    <x v="1"/>
    <s v="Tracking"/>
    <s v="Pantalla para rastreo de pedidos (Tracking) motorizados en CDC "/>
    <s v="MXP LEGACY_x000a_TRADE"/>
    <s v="Aplica para KFC Ecuador"/>
    <s v="BAJA"/>
    <s v="LOCAL"/>
    <s v="Funcionalidades Locales"/>
    <s v="OPER"/>
    <m/>
    <m/>
    <s v="Ecuador"/>
    <s v="Vladimir Salazar"/>
    <s v="vladimir.salazar@kfc.com.ec"/>
    <x v="27"/>
    <s v="APROBADO"/>
    <s v="No iniciado"/>
    <m/>
    <s v="Q3"/>
    <s v="p58"/>
    <s v="ALTA"/>
    <m/>
    <n v="8"/>
    <n v="1"/>
    <n v="550"/>
    <m/>
    <n v="5040"/>
    <m/>
    <m/>
    <x v="10"/>
    <d v="2024-08-12T00:00:00"/>
    <d v="2024-09-23T00:00:00"/>
    <n v="42"/>
    <d v="2024-09-23T00:00:00"/>
    <d v="2024-09-30T00:00:00"/>
    <n v="364471"/>
    <d v="2024-09-30T00:00:00"/>
    <d v="2024-10-07T00:00:00"/>
    <d v="2024-08-01T00:00:00"/>
    <d v="2024-09-26T00:00:00"/>
    <n v="2"/>
    <n v="7"/>
    <m/>
    <m/>
    <m/>
    <m/>
  </r>
  <r>
    <s v="2023"/>
    <x v="0"/>
    <m/>
    <s v="Pedidos Sugeridos con interface SAP"/>
    <s v="BI"/>
    <s v="Ver Anexo A4"/>
    <m/>
    <s v="LOCAL"/>
    <s v="Célula de Operaciones SIR 2023"/>
    <s v="OPER"/>
    <m/>
    <m/>
    <s v="Ecuador"/>
    <s v="Sandra Pailacho"/>
    <m/>
    <x v="15"/>
    <s v="APROBADO"/>
    <s v="En curso"/>
    <n v="8"/>
    <s v="Q2"/>
    <m/>
    <s v="ALTA"/>
    <m/>
    <n v="3"/>
    <n v="5"/>
    <n v="400"/>
    <m/>
    <n v="6640"/>
    <m/>
    <m/>
    <x v="7"/>
    <d v="2024-04-01T00:00:00"/>
    <d v="2024-05-08T00:00:00"/>
    <e v="#REF!"/>
    <d v="2024-05-15T00:00:00"/>
    <m/>
    <d v="2770-08-15T00:00:00"/>
    <d v="2024-05-22T00:00:00"/>
    <m/>
    <d v="2024-04-01T00:00:00"/>
    <d v="1899-12-30T00:00:00"/>
    <n v="0.75"/>
    <n v="-45434"/>
    <s v="Célula Operaciones"/>
    <m/>
    <m/>
    <m/>
  </r>
  <r>
    <s v="2024"/>
    <x v="0"/>
    <m/>
    <s v="Pedidos Sugeridos con interface SAP - Extensión BI"/>
    <m/>
    <s v="Ver Anexo A4"/>
    <m/>
    <s v="LOCAL"/>
    <s v="Célula de Operaciones SIR 2024"/>
    <s v="OPER"/>
    <m/>
    <m/>
    <s v="Ecuador"/>
    <s v="Sandra Pailacho"/>
    <s v="sandra.paillacho@kfc.com.ec"/>
    <x v="15"/>
    <s v="IDENTIFICADO"/>
    <s v="No iniciado"/>
    <n v="20"/>
    <s v="Q4"/>
    <m/>
    <s v="ALTA"/>
    <m/>
    <n v="8"/>
    <n v="1"/>
    <n v="400"/>
    <m/>
    <n v="3840"/>
    <m/>
    <m/>
    <x v="2"/>
    <m/>
    <m/>
    <e v="#REF!"/>
    <m/>
    <m/>
    <d v="1899-12-30T00:00:00"/>
    <m/>
    <m/>
    <d v="1899-12-30T00:00:00"/>
    <d v="1899-12-30T00:00:00"/>
    <n v="2"/>
    <n v="0"/>
    <m/>
    <m/>
    <m/>
    <m/>
  </r>
  <r>
    <s v="2024"/>
    <x v="3"/>
    <m/>
    <s v="Permitir ingreso de cedulas de extranjeros"/>
    <s v="MXP 2.0"/>
    <s v="Ver Anexo A2_x000a_Al realizar facturas hay cedulas de extranjeros que no permite ingresar"/>
    <m/>
    <s v="LOCAL"/>
    <s v="Celula Operaciones Maxpoint 2024"/>
    <s v="OPER"/>
    <m/>
    <m/>
    <s v="Ecuador"/>
    <s v="Sandra Paillacho"/>
    <s v="sandra.paillacho@kfc.com.ec"/>
    <x v="15"/>
    <s v="IDENTIFICADO"/>
    <s v="No iniciado"/>
    <n v="3"/>
    <s v="Q2"/>
    <m/>
    <s v="BAJA"/>
    <n v="1"/>
    <n v="4"/>
    <n v="1"/>
    <n v="550"/>
    <m/>
    <n v="2780"/>
    <m/>
    <m/>
    <x v="1"/>
    <d v="2024-04-29T00:00:00"/>
    <d v="2024-05-27T00:00:00"/>
    <d v="2024-05-28T00:00:00"/>
    <d v="2024-06-11T00:00:00"/>
    <d v="2024-06-12T00:00:00"/>
    <d v="2024-06-26T00:00:00"/>
    <d v="2024-06-18T00:00:00"/>
    <d v="2024-06-23T00:00:00"/>
    <d v="2024-04-29T00:00:00"/>
    <d v="2024-06-23T00:00:00"/>
    <n v="1"/>
    <n v="5"/>
    <s v="Célula Operaciones"/>
    <m/>
    <m/>
    <m/>
  </r>
  <r>
    <s v="2024"/>
    <x v="0"/>
    <m/>
    <s v="Planificación de Recetas y subrecetas para degustación  y Lunch (productos, articulos y presupuesto total al mes)(Calculadora) (calendario)"/>
    <m/>
    <s v="Ver Anexo A4"/>
    <m/>
    <s v="LOCAL"/>
    <s v="Célula de Operaciones SIR 2024"/>
    <s v="OPER"/>
    <m/>
    <m/>
    <s v="Ecuador"/>
    <s v="Sandra Pailacho"/>
    <s v="sandra.paillacho@kfc.com.ec"/>
    <x v="15"/>
    <s v="IDENTIFICADO"/>
    <s v="No iniciado"/>
    <n v="23"/>
    <s v="Q4"/>
    <m/>
    <s v="ALTA"/>
    <m/>
    <n v="8"/>
    <n v="2"/>
    <n v="450"/>
    <m/>
    <n v="7840"/>
    <m/>
    <m/>
    <x v="2"/>
    <d v="2024-09-23T00:00:00"/>
    <d v="2024-11-08T00:00:00"/>
    <e v="#REF!"/>
    <d v="2024-11-12T00:00:00"/>
    <d v="2024-11-19T00:00:00"/>
    <d v="2898-12-23T00:00:00"/>
    <m/>
    <m/>
    <d v="2024-09-23T00:00:00"/>
    <d v="1899-12-30T00:00:00"/>
    <n v="2"/>
    <n v="0"/>
    <s v="Célula Operaciones"/>
    <m/>
    <m/>
    <m/>
  </r>
  <r>
    <s v="2024"/>
    <x v="2"/>
    <m/>
    <s v="Plataforma Etraining: Operaciones"/>
    <m/>
    <s v="Desarrollo interno de plataforma Elearning, actualmente se tiene un proveedor externo con un costo de 20 usd por local (presupuesto anual 86 k anual)"/>
    <m/>
    <s v="LOCAL"/>
    <s v="Elearning Varios Clientes"/>
    <s v="OPER"/>
    <m/>
    <m/>
    <s v="Ecuador"/>
    <s v=" Sandra PAillacho / Andrea Rodríguez"/>
    <m/>
    <x v="28"/>
    <s v="APROBADO"/>
    <s v="No iniciado"/>
    <s v="Q1"/>
    <s v="Q3"/>
    <m/>
    <s v="ALTA"/>
    <m/>
    <n v="30"/>
    <n v="3"/>
    <n v="750"/>
    <m/>
    <n v="70000"/>
    <n v="364"/>
    <m/>
    <x v="2"/>
    <d v="2024-03-14T00:00:00"/>
    <d v="2024-07-14T00:00:00"/>
    <e v="#REF!"/>
    <d v="2024-07-14T00:00:00"/>
    <d v="2024-08-14T00:00:00"/>
    <d v="2896-05-23T00:00:00"/>
    <d v="2024-08-14T00:00:00"/>
    <d v="2024-09-14T00:00:00"/>
    <d v="2024-03-14T00:00:00"/>
    <d v="2024-09-14T00:00:00"/>
    <n v="7.5"/>
    <n v="31"/>
    <m/>
    <s v="Con datos del costo actual a proveedor"/>
    <m/>
    <m/>
  </r>
  <r>
    <s v="2024"/>
    <x v="3"/>
    <m/>
    <s v="Rediseño del algoritmo para clasificar el medio de venta de una transacción"/>
    <s v="MXP 2.0"/>
    <s v="- Actualmente se realiza ingreso mensual en la caja  (se registra en menú llamadas)_x000a_- Dolce Incontro: no dispones de botón de pago, se utiliza salón_x000a_ - Botones de Pago Inyección (Otros Agregadores Provincias): "/>
    <m/>
    <s v="LOCAL"/>
    <s v="Celula Operaciones Maxpoint 2024"/>
    <s v="OPER"/>
    <m/>
    <m/>
    <s v="Ecuador"/>
    <s v="Sebastián Jara"/>
    <s v="sebastian.jara@kfc.com.ec"/>
    <x v="15"/>
    <s v="IDENTIFICADO"/>
    <s v="No iniciado"/>
    <m/>
    <s v="Q3"/>
    <s v="Se necesita mayor contexto del cliente"/>
    <s v="BAJA"/>
    <n v="1"/>
    <n v="5"/>
    <n v="1"/>
    <n v="550"/>
    <m/>
    <n v="3330"/>
    <m/>
    <m/>
    <x v="6"/>
    <d v="2024-07-01T00:00:00"/>
    <d v="2024-08-05T00:00:00"/>
    <e v="#REF!"/>
    <d v="2024-08-06T00:00:00"/>
    <d v="2024-08-20T00:00:00"/>
    <d v="2896-11-06T00:00:00"/>
    <d v="2024-08-21T00:00:00"/>
    <d v="2024-09-04T00:00:00"/>
    <d v="2024-07-01T00:00:00"/>
    <d v="2024-09-04T00:00:00"/>
    <n v="1.25"/>
    <n v="14"/>
    <m/>
    <m/>
    <m/>
    <m/>
  </r>
  <r>
    <s v="2024"/>
    <x v="0"/>
    <m/>
    <s v="Rediseño Estructura de Recetas ( Optimización Plus por Canales)"/>
    <m/>
    <s v="Ver Anexo A4"/>
    <m/>
    <s v="LOCAL"/>
    <s v="Célula de Operaciones SIR 2024"/>
    <s v="OPER"/>
    <m/>
    <m/>
    <s v="Ecuador"/>
    <s v="Sandra Pailacho"/>
    <s v="sandra.paillacho@kfc.com.ec"/>
    <x v="15"/>
    <s v="IDENTIFICADO"/>
    <s v="No iniciado"/>
    <n v="11"/>
    <s v="Q3"/>
    <m/>
    <s v="ALTA"/>
    <m/>
    <n v="8"/>
    <n v="2"/>
    <n v="450"/>
    <m/>
    <n v="7840"/>
    <m/>
    <m/>
    <x v="2"/>
    <d v="2024-08-12T00:00:00"/>
    <d v="2024-10-04T00:00:00"/>
    <e v="#REF!"/>
    <d v="2014-10-08T00:00:00"/>
    <d v="2024-10-22T00:00:00"/>
    <d v="2828-03-21T00:00:00"/>
    <m/>
    <m/>
    <d v="2024-08-12T00:00:00"/>
    <d v="1899-12-30T00:00:00"/>
    <n v="2"/>
    <n v="0"/>
    <s v="Célula Operaciones"/>
    <m/>
    <m/>
    <m/>
  </r>
  <r>
    <s v="2024"/>
    <x v="0"/>
    <m/>
    <s v="Reporte de Stock V2 Cambio de alcance "/>
    <m/>
    <s v="Ver Anexo A4"/>
    <m/>
    <s v="LOCAL"/>
    <s v="Célula de Operaciones SIR 2024"/>
    <s v="OPER"/>
    <m/>
    <m/>
    <s v="Ecuador"/>
    <s v="Sandra Pailacho"/>
    <s v="sandra.paillacho@kfc.com.ec"/>
    <x v="15"/>
    <s v="IDENTIFICADO"/>
    <s v="No iniciado"/>
    <n v="24"/>
    <s v="Q2"/>
    <m/>
    <s v="MEDIA"/>
    <m/>
    <n v="4"/>
    <n v="2"/>
    <n v="400"/>
    <m/>
    <n v="3840"/>
    <m/>
    <m/>
    <x v="1"/>
    <d v="2024-04-29T00:00:00"/>
    <m/>
    <e v="#REF!"/>
    <m/>
    <m/>
    <d v="1899-12-30T00:00:00"/>
    <d v="2024-05-15T00:00:00"/>
    <d v="2024-05-15T00:00:00"/>
    <d v="2024-04-29T00:00:00"/>
    <d v="2024-05-15T00:00:00"/>
    <n v="1"/>
    <n v="0"/>
    <m/>
    <m/>
    <m/>
    <m/>
  </r>
  <r>
    <s v="2024"/>
    <x v="1"/>
    <s v="APP"/>
    <s v="SMS tracking pedido vía llamada"/>
    <s v="MXP LEGACY_x000a_TRADE"/>
    <s v="Aplica para KFC Ecuador"/>
    <s v="BAJA"/>
    <s v="LOCAL"/>
    <s v="Funcionalidades Locales"/>
    <s v="OPER"/>
    <m/>
    <m/>
    <s v="Ecuador"/>
    <s v="Vladimir Salazar"/>
    <s v="vladimir.salazar@kfc.com.ec"/>
    <x v="27"/>
    <s v="APROBADO"/>
    <s v="No iniciado"/>
    <m/>
    <s v="Q3"/>
    <s v="p57"/>
    <s v="ALTA"/>
    <m/>
    <n v="6"/>
    <n v="1"/>
    <n v="550"/>
    <m/>
    <n v="3940"/>
    <m/>
    <m/>
    <x v="11"/>
    <d v="2024-09-02T00:00:00"/>
    <d v="2024-09-16T00:00:00"/>
    <n v="14"/>
    <d v="2024-09-16T00:00:00"/>
    <d v="2024-09-23T00:00:00"/>
    <n v="364415"/>
    <d v="2024-09-23T00:00:00"/>
    <d v="2024-09-30T00:00:00"/>
    <d v="2024-09-01T00:00:00"/>
    <d v="2024-10-13T00:00:00"/>
    <n v="1.5"/>
    <n v="7"/>
    <m/>
    <m/>
    <m/>
    <m/>
  </r>
  <r>
    <s v="2024"/>
    <x v="0"/>
    <m/>
    <s v="Usos y Consumos con grupo de artículos cadena"/>
    <m/>
    <s v="Ver Anexo A4"/>
    <m/>
    <s v="LOCAL"/>
    <s v="Célula de Operaciones SIR 2024"/>
    <s v="OPER"/>
    <m/>
    <m/>
    <s v="Ecuador"/>
    <s v="Sandra Pailacho/Andres Valencia"/>
    <m/>
    <x v="15"/>
    <s v="IDENTIFICADO"/>
    <s v="No iniciado"/>
    <n v="24"/>
    <s v="Q4"/>
    <m/>
    <s v="ALTA"/>
    <m/>
    <n v="5"/>
    <n v="2"/>
    <n v="450"/>
    <m/>
    <n v="4500"/>
    <m/>
    <m/>
    <x v="2"/>
    <d v="2024-10-14T00:00:00"/>
    <d v="2024-11-23T00:00:00"/>
    <e v="#REF!"/>
    <d v="2024-11-26T00:00:00"/>
    <d v="2024-11-29T00:00:00"/>
    <d v="2899-04-10T00:00:00"/>
    <m/>
    <m/>
    <d v="2024-10-14T00:00:00"/>
    <d v="1899-12-30T00:00:00"/>
    <n v="1.25"/>
    <n v="0"/>
    <m/>
    <m/>
    <m/>
    <m/>
  </r>
  <r>
    <s v="2023"/>
    <x v="0"/>
    <m/>
    <s v="Usos y Consumos Resumido por Grupo de Articulos"/>
    <m/>
    <s v="Ver Anexo A4"/>
    <m/>
    <s v="LOCAL"/>
    <s v="Célula de Operaciones SIR 2023"/>
    <s v="OPER"/>
    <m/>
    <m/>
    <s v="Ecuador"/>
    <s v="Sandra Pailacho"/>
    <m/>
    <x v="15"/>
    <s v="APROBADO"/>
    <s v="Finalizado"/>
    <n v="7"/>
    <s v="Q1"/>
    <m/>
    <s v="BAJA"/>
    <m/>
    <n v="2"/>
    <n v="2"/>
    <n v="400"/>
    <m/>
    <n v="2240"/>
    <m/>
    <m/>
    <x v="5"/>
    <d v="2024-01-29T00:00:00"/>
    <d v="2024-02-09T00:00:00"/>
    <e v="#REF!"/>
    <d v="2024-03-05T00:00:00"/>
    <d v="2024-03-12T00:00:00"/>
    <d v="2893-06-16T00:00:00"/>
    <m/>
    <m/>
    <d v="2024-01-29T00:00:00"/>
    <d v="1899-12-30T00:00:00"/>
    <n v="0.5"/>
    <n v="0"/>
    <s v="Célula Operaciones"/>
    <m/>
    <m/>
    <m/>
  </r>
  <r>
    <s v="2024"/>
    <x v="0"/>
    <m/>
    <s v="V2. Calculo de proyecciones sugeridas de PyG"/>
    <m/>
    <s v="Ver Anexo A4"/>
    <m/>
    <s v="LOCAL"/>
    <s v="Célula de Operaciones SIR 2024"/>
    <s v="OPER"/>
    <m/>
    <m/>
    <s v="Ecuador"/>
    <s v="Sandra Pailacho"/>
    <s v="sandra.paillacho@kfc.com.ec"/>
    <x v="15"/>
    <s v="IDENTIFICADO"/>
    <s v="No iniciado"/>
    <n v="24"/>
    <s v="Q3"/>
    <m/>
    <s v="MEDIA"/>
    <m/>
    <n v="4"/>
    <n v="2"/>
    <n v="400"/>
    <m/>
    <n v="3840"/>
    <m/>
    <m/>
    <x v="4"/>
    <d v="2024-06-24T00:00:00"/>
    <m/>
    <d v="2024-04-30T00:00:00"/>
    <m/>
    <m/>
    <d v="1899-12-30T00:00:00"/>
    <d v="2024-07-25T00:00:00"/>
    <m/>
    <d v="2024-06-24T00:00:00"/>
    <d v="1899-12-30T00:00:00"/>
    <n v="1"/>
    <n v="-45498"/>
    <s v="Célula Operaciones"/>
    <m/>
    <m/>
    <m/>
  </r>
  <r>
    <s v="2023"/>
    <x v="0"/>
    <m/>
    <s v="VAR (Real + Proyeccion)"/>
    <s v="BI"/>
    <s v="Ver Anexo A4"/>
    <m/>
    <s v="LOCAL"/>
    <s v="Célula de Operaciones SIR 2023"/>
    <s v="OPER"/>
    <m/>
    <m/>
    <s v="Ecuador"/>
    <s v="Sandra Pailacho"/>
    <m/>
    <x v="15"/>
    <s v="APROBADO"/>
    <s v="No iniciado"/>
    <n v="3"/>
    <s v="Q2"/>
    <m/>
    <s v="MEDIA"/>
    <m/>
    <n v="2"/>
    <n v="4"/>
    <n v="400"/>
    <m/>
    <n v="3840"/>
    <m/>
    <m/>
    <x v="1"/>
    <d v="2024-05-13T00:00:00"/>
    <d v="2024-06-07T00:00:00"/>
    <e v="#REF!"/>
    <m/>
    <m/>
    <d v="1899-12-30T00:00:00"/>
    <d v="2024-06-13T00:00:00"/>
    <m/>
    <d v="2024-05-13T00:00:00"/>
    <d v="1899-12-30T00:00:00"/>
    <n v="0.5"/>
    <n v="-45456"/>
    <s v="Célula Operaciones"/>
    <m/>
    <m/>
    <m/>
  </r>
  <r>
    <s v="2023"/>
    <x v="0"/>
    <m/>
    <s v="Visualizar lo que planta tiene en stock y fecha de caducidad para tener datos reales"/>
    <s v="N/A"/>
    <s v="Ver Anexo A4"/>
    <m/>
    <s v="LOCAL"/>
    <s v="Célula de Operaciones SIR 2023"/>
    <s v="OPER"/>
    <m/>
    <m/>
    <s v="Ecuador"/>
    <s v="Sandra Pailacho"/>
    <m/>
    <x v="15"/>
    <s v="APROBADO"/>
    <s v="Finalizado"/>
    <n v="6"/>
    <s v="Q1"/>
    <m/>
    <s v="BAJA"/>
    <m/>
    <n v="2"/>
    <n v="2"/>
    <n v="400"/>
    <m/>
    <n v="2240"/>
    <m/>
    <m/>
    <x v="5"/>
    <d v="2023-12-03T00:00:00"/>
    <d v="2023-12-15T00:00:00"/>
    <e v="#REF!"/>
    <s v="-"/>
    <s v="-"/>
    <e v="#VALUE!"/>
    <m/>
    <m/>
    <d v="2023-12-03T00:00:00"/>
    <d v="1899-12-30T00:00:00"/>
    <n v="0.5"/>
    <n v="0"/>
    <s v="Célula Operaciones"/>
    <m/>
    <m/>
    <m/>
  </r>
  <r>
    <s v="2024"/>
    <x v="4"/>
    <m/>
    <s v="Atar Notas de crédito de empresas Relacionadas  - Cliente Proveedor en SAP"/>
    <m/>
    <s v="Compensacion Automatica de Facturas con Notas de credito Cliente, se ejecuta un bot en Clt y PROV, proceso semanal, 5 pax "/>
    <m/>
    <s v="LOCAL"/>
    <s v="Optimización Procesos Plantas"/>
    <s v="PLANTA"/>
    <m/>
    <m/>
    <s v="Ecuador"/>
    <s v="Diego Díaz "/>
    <m/>
    <x v="4"/>
    <s v="IDENTIFICADO"/>
    <s v="No iniciado"/>
    <s v="Q2"/>
    <s v="Q2"/>
    <m/>
    <s v="MEDIA"/>
    <n v="1"/>
    <n v="3"/>
    <n v="1"/>
    <n v="1100"/>
    <m/>
    <n v="3300"/>
    <m/>
    <m/>
    <x v="2"/>
    <d v="2024-02-26T00:00:00"/>
    <d v="2024-03-25T00:00:00"/>
    <n v="28"/>
    <d v="2024-03-25T00:00:00"/>
    <d v="2024-04-01T00:00:00"/>
    <n v="7"/>
    <m/>
    <m/>
    <d v="2024-02-26T00:00:00"/>
    <d v="1899-12-30T00:00:00"/>
    <n v="0.75"/>
    <n v="0"/>
    <m/>
    <m/>
    <m/>
    <m/>
  </r>
  <r>
    <s v="2024"/>
    <x v="4"/>
    <m/>
    <s v="Clasificación Automatizada de Facturas de Autoconsumo vs Descarga de Inventarios"/>
    <m/>
    <s v="Automatización para la clasificación y transferencia de Inventarios para pedidos de Servicios Internos_x000a_Se está asumiendo IVA de Autoconsumo si no se hace este movimiento le cuesta al año $3000"/>
    <m/>
    <s v="LOCAL"/>
    <s v="Traspaso de Sistemas Internos a SAP para analizar"/>
    <s v="PLANTA"/>
    <m/>
    <m/>
    <s v="Ecuador"/>
    <s v="Diego Díaz "/>
    <m/>
    <x v="6"/>
    <s v="SUSPENDIDO"/>
    <s v="No iniciado"/>
    <m/>
    <s v="Q4"/>
    <m/>
    <s v="ALTA"/>
    <n v="1"/>
    <n v="8"/>
    <n v="1"/>
    <n v="550"/>
    <m/>
    <n v="4400"/>
    <m/>
    <m/>
    <x v="2"/>
    <m/>
    <m/>
    <n v="0"/>
    <m/>
    <m/>
    <n v="0"/>
    <m/>
    <m/>
    <d v="1899-12-30T00:00:00"/>
    <d v="1899-12-30T00:00:00"/>
    <n v="2"/>
    <n v="0"/>
    <m/>
    <m/>
    <m/>
    <m/>
  </r>
  <r>
    <s v="2024"/>
    <x v="4"/>
    <m/>
    <s v="Ingresar las Facturas Relacionadas  Log de Errores Y Doc Preliminares -SAP"/>
    <m/>
    <s v="Corregir los motivos por los que se generan log de errores , gasto fabril, particion de lotes, cambio de precios."/>
    <m/>
    <s v="LOCAL"/>
    <s v="Optimización Procesos Plantas"/>
    <s v="PLANTA"/>
    <m/>
    <m/>
    <s v="Ecuador"/>
    <s v="Diego Díaz"/>
    <m/>
    <x v="4"/>
    <s v="IDENTIFICADO"/>
    <s v="No iniciado"/>
    <s v="Q2"/>
    <s v="Q2"/>
    <m/>
    <s v="MEDIA"/>
    <n v="1"/>
    <n v="3"/>
    <n v="1"/>
    <n v="1100"/>
    <m/>
    <n v="3300"/>
    <m/>
    <m/>
    <x v="2"/>
    <m/>
    <m/>
    <n v="0"/>
    <m/>
    <m/>
    <n v="0"/>
    <m/>
    <m/>
    <d v="1899-12-30T00:00:00"/>
    <d v="1899-12-30T00:00:00"/>
    <n v="0.75"/>
    <n v="0"/>
    <m/>
    <m/>
    <m/>
    <m/>
  </r>
  <r>
    <s v="2024"/>
    <x v="6"/>
    <m/>
    <s v="Reporte de pedidos no despachados por no disponibilidad"/>
    <m/>
    <s v="Reporte para controlar aquellos despachos que no realizan por falta de productos (vinculo con proveedor y capacidad de la planta. (Costo de oportunidad) (Consultar con Juan Celi) - Total por área - vinculo con pedido de compras."/>
    <m/>
    <s v="LOCAL"/>
    <s v="Juan Celi"/>
    <s v="PLANTA"/>
    <m/>
    <m/>
    <s v="Ecuador"/>
    <s v="Shuber Aguirre"/>
    <m/>
    <x v="12"/>
    <s v="IDENTIFICADO"/>
    <s v="No iniciado"/>
    <m/>
    <m/>
    <m/>
    <m/>
    <n v="1"/>
    <n v="4"/>
    <n v="1"/>
    <n v="1100"/>
    <m/>
    <n v="4400"/>
    <m/>
    <m/>
    <x v="2"/>
    <m/>
    <m/>
    <n v="0"/>
    <m/>
    <m/>
    <n v="0"/>
    <m/>
    <m/>
    <d v="1899-12-30T00:00:00"/>
    <d v="1899-12-30T00:00:00"/>
    <n v="1"/>
    <n v="0"/>
    <m/>
    <m/>
    <m/>
    <m/>
  </r>
  <r>
    <s v="2024"/>
    <x v="4"/>
    <m/>
    <s v="Liberacion de Facturas Bloqueadas MRBR - FBL1H-SAP"/>
    <m/>
    <s v="Desbloqueo Automatico, INTERCOMPANY. Particion de lotes, al calcular gasto fabril da una diferencia de 1 o 2 ctvos. LA MIRO tiene una tolerancia de l5%, contabiliza pero da un bloque automático,LEs toca desbloquear todos los dias y tesoreira no puede ejeuctar los pagos"/>
    <m/>
    <s v="LOCAL"/>
    <s v="Optimización Procesos Plantas"/>
    <s v="PLANTA"/>
    <m/>
    <m/>
    <s v="Ecuador"/>
    <s v="Diego Díaz "/>
    <m/>
    <x v="4"/>
    <s v="IDENTIFICADO"/>
    <s v="No iniciado"/>
    <s v="Q2"/>
    <s v="Q2"/>
    <m/>
    <s v="MEDIA"/>
    <n v="1"/>
    <n v="2"/>
    <n v="1"/>
    <n v="1100"/>
    <m/>
    <n v="2200"/>
    <m/>
    <m/>
    <x v="2"/>
    <m/>
    <m/>
    <n v="0"/>
    <m/>
    <m/>
    <n v="0"/>
    <m/>
    <m/>
    <d v="1899-12-30T00:00:00"/>
    <d v="1899-12-30T00:00:00"/>
    <n v="0.5"/>
    <n v="0"/>
    <m/>
    <m/>
    <m/>
    <m/>
  </r>
  <r>
    <s v="2024"/>
    <x v="4"/>
    <m/>
    <s v="Nivel de Ocupación de camiones"/>
    <m/>
    <s v="Mediante este desarollo se optimizara el cubicaje del camión y"/>
    <m/>
    <s v="LOCAL"/>
    <s v="Control Ocupación Camiones"/>
    <s v="PLANTA"/>
    <m/>
    <m/>
    <s v="Ecuador"/>
    <s v="Diego Díaz "/>
    <m/>
    <x v="29"/>
    <s v="IDENTIFICADO"/>
    <s v="No iniciado"/>
    <s v="Q2"/>
    <s v="Q2"/>
    <m/>
    <s v="MEDIA"/>
    <n v="1"/>
    <n v="1"/>
    <n v="2"/>
    <n v="1100"/>
    <m/>
    <n v="2200"/>
    <m/>
    <m/>
    <x v="2"/>
    <d v="2024-02-07T00:00:00"/>
    <d v="2024-03-07T00:00:00"/>
    <n v="29"/>
    <d v="2024-03-07T00:00:00"/>
    <d v="2024-03-14T00:00:00"/>
    <n v="7"/>
    <d v="2024-03-14T00:00:00"/>
    <d v="2024-03-21T00:00:00"/>
    <d v="2024-02-07T00:00:00"/>
    <d v="2024-03-21T00:00:00"/>
    <n v="0.25"/>
    <n v="7"/>
    <m/>
    <m/>
    <m/>
    <m/>
  </r>
  <r>
    <s v="2024"/>
    <x v="2"/>
    <m/>
    <s v="Pedidos Planta: Control de Cupos por empleado"/>
    <m/>
    <s v="Redimencionamiento de requerimiento para control de cupos en Planta"/>
    <m/>
    <s v="LOCAL"/>
    <s v="Talento Humano Planta"/>
    <s v="PLANTA"/>
    <m/>
    <m/>
    <s v="Ecuador"/>
    <s v="Diego Díaz "/>
    <m/>
    <x v="4"/>
    <s v="IDENTIFICADO"/>
    <s v="No iniciado"/>
    <m/>
    <s v="Q3"/>
    <m/>
    <s v="MEDIA"/>
    <n v="1"/>
    <n v="5"/>
    <n v="1"/>
    <n v="550"/>
    <m/>
    <n v="2750"/>
    <m/>
    <m/>
    <x v="2"/>
    <d v="2024-07-01T00:00:00"/>
    <d v="2024-08-01T00:00:00"/>
    <n v="31"/>
    <d v="2024-08-01T00:00:00"/>
    <d v="2024-08-07T00:00:00"/>
    <n v="6"/>
    <d v="2024-08-07T00:00:00"/>
    <d v="2024-08-14T00:00:00"/>
    <d v="2024-07-01T00:00:00"/>
    <d v="2024-08-14T00:00:00"/>
    <n v="1.25"/>
    <n v="7"/>
    <m/>
    <m/>
    <m/>
    <m/>
  </r>
  <r>
    <s v="2024"/>
    <x v="4"/>
    <m/>
    <s v="Picking Lotes consolidados"/>
    <m/>
    <s v="Contar con sistema de despacho mediante consolidacion de lotes Packing"/>
    <m/>
    <s v="LOCAL"/>
    <s v="Optimización Procesos Plantas"/>
    <s v="PLANTA"/>
    <m/>
    <m/>
    <s v="Ecuador"/>
    <s v="Diego Díaz "/>
    <m/>
    <x v="30"/>
    <s v="IDENTIFICADO"/>
    <s v="No iniciado"/>
    <s v="Q2"/>
    <s v="Q3"/>
    <m/>
    <s v="MEDIA"/>
    <n v="1"/>
    <n v="3"/>
    <n v="2"/>
    <n v="1100"/>
    <m/>
    <n v="6600"/>
    <m/>
    <m/>
    <x v="2"/>
    <m/>
    <m/>
    <n v="0"/>
    <m/>
    <m/>
    <n v="0"/>
    <m/>
    <m/>
    <d v="1899-12-30T00:00:00"/>
    <d v="1899-12-30T00:00:00"/>
    <n v="0.75"/>
    <n v="0"/>
    <m/>
    <m/>
    <m/>
    <m/>
  </r>
  <r>
    <s v="2024"/>
    <x v="4"/>
    <m/>
    <s v="Planificación de la Producción (MPS)"/>
    <m/>
    <s v="Implementar la Planificación de Producción para Plantas (Master Production Schedule)"/>
    <m/>
    <s v="LOCAL"/>
    <s v="Implementacion Modelo MPS Plantas"/>
    <s v="PLANTA"/>
    <m/>
    <m/>
    <s v="Ecuador"/>
    <s v="Diego Díaz "/>
    <m/>
    <x v="31"/>
    <s v="IDENTIFICADO"/>
    <s v="No iniciado"/>
    <s v="Q3"/>
    <s v="Q3"/>
    <m/>
    <s v="MEDIA"/>
    <n v="1"/>
    <n v="6"/>
    <n v="1"/>
    <n v="1100"/>
    <m/>
    <n v="6600"/>
    <m/>
    <m/>
    <x v="2"/>
    <d v="2024-04-07T00:00:00"/>
    <d v="2024-05-28T00:00:00"/>
    <n v="51"/>
    <d v="2024-05-28T00:00:00"/>
    <d v="2024-05-28T00:00:00"/>
    <n v="0"/>
    <d v="2024-05-28T00:00:00"/>
    <d v="2024-06-28T00:00:00"/>
    <d v="2024-04-07T00:00:00"/>
    <d v="2024-06-28T00:00:00"/>
    <n v="1.5"/>
    <n v="31"/>
    <m/>
    <m/>
    <m/>
    <m/>
  </r>
  <r>
    <s v="2024"/>
    <x v="2"/>
    <m/>
    <s v="Plataforma Elearning: Planta"/>
    <m/>
    <s v="herramienta que permita entrenar al personal operativo para ejecución de procesos productivos. - Relación con solicitud de capacitación otras marcas (Español)"/>
    <m/>
    <s v="LOCAL"/>
    <s v="Elearning Varios Clientes"/>
    <s v="PLANTA"/>
    <m/>
    <m/>
    <s v="Ecuador"/>
    <s v="Shuber Ahuirre"/>
    <m/>
    <x v="12"/>
    <s v="IDENTIFICADO"/>
    <s v="No iniciado"/>
    <m/>
    <s v="Q4"/>
    <m/>
    <s v="ALTA"/>
    <m/>
    <n v="8"/>
    <n v="1"/>
    <n v="1000"/>
    <m/>
    <n v="8640"/>
    <n v="4000"/>
    <m/>
    <x v="2"/>
    <d v="2024-08-14T00:00:00"/>
    <d v="2024-09-21T00:00:00"/>
    <e v="#REF!"/>
    <d v="2024-09-21T00:00:00"/>
    <d v="2024-10-07T00:00:00"/>
    <d v="2897-11-11T00:00:00"/>
    <d v="2024-10-07T00:00:00"/>
    <d v="2024-10-21T00:00:00"/>
    <d v="2024-08-14T00:00:00"/>
    <d v="2024-10-21T00:00:00"/>
    <n v="2"/>
    <n v="14"/>
    <m/>
    <m/>
    <m/>
    <m/>
  </r>
  <r>
    <s v="2024"/>
    <x v="4"/>
    <m/>
    <s v="Reabastecimiento"/>
    <m/>
    <s v="Pedidos para planta,  Reabastecimiento WMS: _x000a_*Reaprovisionamiento de nivel bajo mediante máximos y mínimos por ubicación (considera stock del material en ubicación)_x000a_*Reaprovisionamiento de nivel bajo mediante máximos y mínimos por tipo de almacén (considera el stock del material en todo el tipo de almacén)"/>
    <m/>
    <s v="LOCAL"/>
    <s v="Optimización Procesos Plantas"/>
    <s v="PLANTA"/>
    <m/>
    <m/>
    <s v="Ecuador"/>
    <s v="Diego Díaz "/>
    <m/>
    <x v="30"/>
    <s v="IDENTIFICADO"/>
    <s v="No iniciado"/>
    <s v="Q2"/>
    <s v="Q2"/>
    <m/>
    <s v="MEDIA"/>
    <n v="1"/>
    <n v="3"/>
    <n v="1"/>
    <n v="1100"/>
    <m/>
    <n v="3300"/>
    <m/>
    <m/>
    <x v="2"/>
    <d v="2024-02-07T00:00:00"/>
    <d v="2024-03-07T00:00:00"/>
    <n v="29"/>
    <d v="2024-03-14T00:00:00"/>
    <d v="2024-03-14T00:00:00"/>
    <n v="0"/>
    <d v="2024-03-14T00:00:00"/>
    <d v="2024-03-21T00:00:00"/>
    <d v="2024-02-07T00:00:00"/>
    <d v="2024-03-21T00:00:00"/>
    <n v="0.75"/>
    <n v="7"/>
    <m/>
    <m/>
    <m/>
    <m/>
  </r>
  <r>
    <s v="2024"/>
    <x v="4"/>
    <m/>
    <s v="Registro de descuentos a transportistas ( Cuentas por Cobrar- Rastreo Satelital-Fumigacion)-SAP"/>
    <m/>
    <s v="Capacitacion Prorrateos - Automatizacion de descuentos, LA FAC QUEDA EN UNA CUENTA TRANSITORIA Y SE GENERAN LAS FACTURAS A CADA UNO DE LOS PROVEEDORES. lUEGO DESDE FIONA SE INTEGRE CON SAP Y GENERE ASIENTEO CONTABLE_x000a_uN DIA L MES 2 PAX NACIONAL"/>
    <m/>
    <s v="LOCAL"/>
    <s v="Optimización Procesos Plantas"/>
    <s v="PLANTA"/>
    <m/>
    <m/>
    <s v="Ecuador"/>
    <s v="Diego Díaz "/>
    <m/>
    <x v="4"/>
    <s v="SUSPENDIDO"/>
    <s v="No iniciado"/>
    <s v="Q2"/>
    <s v="Q2"/>
    <m/>
    <s v="MEDIA"/>
    <n v="1"/>
    <n v="4"/>
    <n v="1"/>
    <n v="1100"/>
    <m/>
    <n v="4400"/>
    <m/>
    <m/>
    <x v="2"/>
    <m/>
    <m/>
    <n v="0"/>
    <m/>
    <m/>
    <n v="0"/>
    <m/>
    <m/>
    <d v="1899-12-30T00:00:00"/>
    <d v="1899-12-30T00:00:00"/>
    <n v="1"/>
    <n v="0"/>
    <m/>
    <m/>
    <m/>
    <m/>
  </r>
  <r>
    <s v="2024"/>
    <x v="4"/>
    <m/>
    <s v="Revision / Cierre de Pedidos Abiertos VA05-SAP"/>
    <m/>
    <s v="Cierre Automatico de ordenes de venta no tratadas en 48 horas _x000a_Se crean pedidos y no se tratan toca obtener un reporte y eliminar los mismos_x000a_JOB automatico"/>
    <m/>
    <s v="LOCAL"/>
    <s v="Optimización Procesos Plantas"/>
    <s v="PLANTA"/>
    <m/>
    <m/>
    <s v="Ecuador"/>
    <s v="Diego Díaz "/>
    <m/>
    <x v="4"/>
    <s v="IDENTIFICADO"/>
    <s v="No iniciado"/>
    <s v="Q2"/>
    <s v="Q2"/>
    <m/>
    <s v="MEDIA"/>
    <n v="1"/>
    <n v="1"/>
    <n v="1"/>
    <n v="1100"/>
    <m/>
    <n v="1100"/>
    <m/>
    <m/>
    <x v="2"/>
    <m/>
    <m/>
    <n v="0"/>
    <m/>
    <m/>
    <n v="0"/>
    <m/>
    <m/>
    <d v="1899-12-30T00:00:00"/>
    <d v="1899-12-30T00:00:00"/>
    <d v="1899-12-30T06:00:00"/>
    <n v="0"/>
    <m/>
    <m/>
    <m/>
    <m/>
  </r>
  <r>
    <s v="2024"/>
    <x v="2"/>
    <m/>
    <s v="Sistema Aprobaciones OCs: Manejo de Items/Materiales creados en SAP"/>
    <m/>
    <s v="Creación de OCs a SAP de Materiales"/>
    <m/>
    <s v="LOCAL"/>
    <s v="Aprobación orden de compra - Planta"/>
    <s v="PLANTA"/>
    <m/>
    <m/>
    <s v="Ecuador"/>
    <s v="Diego Díaz "/>
    <m/>
    <x v="4"/>
    <s v="IDENTIFICADO"/>
    <s v="No iniciado"/>
    <m/>
    <s v="Q4"/>
    <m/>
    <s v="ALTA"/>
    <m/>
    <n v="7"/>
    <n v="1"/>
    <n v="550"/>
    <m/>
    <n v="5850"/>
    <m/>
    <m/>
    <x v="2"/>
    <m/>
    <m/>
    <e v="#REF!"/>
    <m/>
    <m/>
    <d v="1899-12-30T00:00:00"/>
    <m/>
    <m/>
    <d v="1899-12-30T00:00:00"/>
    <d v="1899-12-30T00:00:00"/>
    <n v="1.75"/>
    <n v="0"/>
    <m/>
    <m/>
    <m/>
    <m/>
  </r>
  <r>
    <s v="2024"/>
    <x v="4"/>
    <m/>
    <s v="Vaciado de materiales en Centro de Transito - SAP"/>
    <m/>
    <s v="Consumo sea totalmente Automatico, hay un job que corre en automático, todos los dias 1 pax, baja disponible e49,e41, e20, e51, zmmtansito trx._x000a_se quedan a dirio 1500 , y en zcosumo quedan 30. migo manual realizan cada responsable, en e20 pide lote y eso demora"/>
    <m/>
    <s v="LOCAL"/>
    <s v="Optimización Procesos Plantas"/>
    <s v="PLANTA"/>
    <m/>
    <m/>
    <s v="Ecuador"/>
    <s v="Diego Díaz "/>
    <m/>
    <x v="4"/>
    <s v="IDENTIFICADO"/>
    <s v="No iniciado"/>
    <s v="Q2"/>
    <s v="Q2"/>
    <m/>
    <s v="MEDIA"/>
    <n v="1"/>
    <n v="1"/>
    <n v="1"/>
    <n v="1100"/>
    <m/>
    <n v="1100"/>
    <m/>
    <m/>
    <x v="2"/>
    <m/>
    <m/>
    <n v="0"/>
    <m/>
    <m/>
    <n v="0"/>
    <m/>
    <m/>
    <d v="1899-12-30T00:00:00"/>
    <d v="1899-12-30T00:00:00"/>
    <n v="0.25"/>
    <n v="0"/>
    <m/>
    <m/>
    <m/>
    <m/>
  </r>
  <r>
    <s v="2024"/>
    <x v="6"/>
    <m/>
    <s v="Base de datos de Curriculums para Reclutamiento"/>
    <m/>
    <s v="Revisar con Amarilis"/>
    <m/>
    <s v="LOCAL"/>
    <s v="Funcionalidades Locales"/>
    <s v="REGIONAL"/>
    <m/>
    <m/>
    <s v="Venezuela"/>
    <s v="Jhustin Vergara"/>
    <m/>
    <x v="32"/>
    <s v="IDENTIFICADO"/>
    <s v="No iniciado"/>
    <m/>
    <s v="Q3"/>
    <m/>
    <s v="MEDIA"/>
    <n v="1"/>
    <m/>
    <m/>
    <m/>
    <m/>
    <n v="640"/>
    <m/>
    <m/>
    <x v="2"/>
    <m/>
    <m/>
    <e v="#REF!"/>
    <m/>
    <m/>
    <d v="1899-12-30T00:00:00"/>
    <m/>
    <m/>
    <d v="1899-12-30T00:00:00"/>
    <d v="1899-12-30T00:00:00"/>
    <n v="0"/>
    <n v="0"/>
    <m/>
    <m/>
    <m/>
    <m/>
  </r>
  <r>
    <s v="2024"/>
    <x v="3"/>
    <m/>
    <s v="Arqueo de tiendas"/>
    <m/>
    <s v="reporte detallado que muestre los retiros y arqueos realizados por los locales, Billete, cantidad y valor "/>
    <m/>
    <s v="LOCAL"/>
    <s v="Funcionalidades Locales"/>
    <s v="REGIONAL"/>
    <m/>
    <m/>
    <s v="Colombia"/>
    <s v="William Villegas"/>
    <s v="william.villegas@kfc.co"/>
    <x v="23"/>
    <s v="APROBADO"/>
    <s v="No iniciado"/>
    <m/>
    <s v="Q2"/>
    <m/>
    <s v="MEDIA"/>
    <n v="1"/>
    <n v="4"/>
    <n v="1"/>
    <n v="625"/>
    <m/>
    <n v="2500"/>
    <m/>
    <m/>
    <x v="2"/>
    <d v="2024-05-06T00:00:00"/>
    <d v="2024-05-17T00:00:00"/>
    <e v="#REF!"/>
    <d v="2024-05-20T00:00:00"/>
    <d v="2024-05-24T00:00:00"/>
    <d v="2895-02-11T00:00:00"/>
    <d v="2024-05-27T00:00:00"/>
    <d v="2024-05-31T00:00:00"/>
    <d v="2024-05-06T00:00:00"/>
    <d v="2024-05-31T00:00:00"/>
    <n v="1"/>
    <n v="4"/>
    <m/>
    <m/>
    <m/>
    <m/>
  </r>
  <r>
    <s v="2024"/>
    <x v="3"/>
    <m/>
    <s v="Automatización de Drive through"/>
    <m/>
    <s v="Reconocer la placa del cliente para mediante api obtener datos del mismo y referencia de ultimos consumos realizados (permite modificar el speach comercial en la atención)"/>
    <m/>
    <s v="LOCAL"/>
    <s v="Funcionalidades Locales"/>
    <s v="REGIONAL"/>
    <m/>
    <m/>
    <s v="Venezuela"/>
    <s v="Justin Vergara"/>
    <m/>
    <x v="19"/>
    <s v="APROBADO"/>
    <s v="No iniciado"/>
    <m/>
    <s v="Q3"/>
    <s v="Fidelización del cliente en MXP.  API de placas. División en 2 fases."/>
    <s v="ALTA"/>
    <n v="1"/>
    <n v="8"/>
    <n v="3"/>
    <n v="550"/>
    <m/>
    <n v="13200"/>
    <m/>
    <m/>
    <x v="2"/>
    <d v="2024-07-01T00:00:00"/>
    <d v="2024-08-23T00:00:00"/>
    <e v="#REF!"/>
    <d v="2024-08-26T00:00:00"/>
    <d v="2024-08-30T00:00:00"/>
    <n v="364244"/>
    <d v="2024-09-02T00:00:00"/>
    <d v="2024-09-04T00:00:00"/>
    <d v="2024-07-01T00:00:00"/>
    <d v="2024-09-04T00:00:00"/>
    <n v="2"/>
    <n v="2"/>
    <m/>
    <m/>
    <m/>
    <m/>
  </r>
  <r>
    <s v="2024"/>
    <x v="2"/>
    <m/>
    <s v="Cajas Chicas Administrativas: Control Fondos por Rendir Chile"/>
    <m/>
    <s v="Cambio de Logica de Cajas Chicas, Fondos por Rendir para justificar valores en lugar de pedir reposición de Cajas Chicas"/>
    <m/>
    <s v="LOCAL"/>
    <s v="Funcionalidades Locales"/>
    <s v="REGIONAL"/>
    <m/>
    <m/>
    <s v="Chile"/>
    <s v="Davis Nuñez"/>
    <m/>
    <x v="21"/>
    <s v="APROBADO"/>
    <s v="No iniciado"/>
    <s v="Q2"/>
    <s v="Q2"/>
    <m/>
    <s v="BAJA"/>
    <m/>
    <n v="2"/>
    <n v="1"/>
    <n v="550"/>
    <m/>
    <n v="1740"/>
    <m/>
    <m/>
    <x v="2"/>
    <s v="01/0/2024"/>
    <d v="2024-11-01T00:00:00"/>
    <e v="#REF!"/>
    <d v="2024-11-01T00:00:00"/>
    <d v="2024-12-01T00:00:00"/>
    <d v="2898-10-19T00:00:00"/>
    <d v="2024-12-01T00:00:00"/>
    <d v="2024-12-07T00:00:00"/>
    <s v="01/0/2024"/>
    <d v="2024-12-07T00:00:00"/>
    <n v="0.5"/>
    <n v="6"/>
    <m/>
    <m/>
    <m/>
    <m/>
  </r>
  <r>
    <s v="2024"/>
    <x v="3"/>
    <m/>
    <s v="Desarrollo para cambio de pindpad por posnet"/>
    <m/>
    <s v="Vinculo con implementación de kioskos"/>
    <m/>
    <s v="LOCAL"/>
    <s v="Funcionalidades Locales"/>
    <s v="REGIONAL"/>
    <m/>
    <m/>
    <s v="Argentina"/>
    <s v="Adrian Gadja"/>
    <m/>
    <x v="22"/>
    <s v="APROBADO"/>
    <s v="No iniciado"/>
    <m/>
    <s v="Q2"/>
    <m/>
    <s v="MEDIA"/>
    <n v="1"/>
    <n v="8"/>
    <n v="1"/>
    <n v="550"/>
    <m/>
    <n v="4400"/>
    <m/>
    <m/>
    <x v="2"/>
    <d v="2024-04-01T00:00:00"/>
    <d v="2024-05-10T00:00:00"/>
    <e v="#REF!"/>
    <d v="2024-05-13T00:00:00"/>
    <d v="2024-05-17T00:00:00"/>
    <d v="2894-12-17T00:00:00"/>
    <d v="2024-05-20T00:00:00"/>
    <d v="2024-04-02T00:00:00"/>
    <d v="2024-04-01T00:00:00"/>
    <d v="2024-04-02T00:00:00"/>
    <n v="2"/>
    <n v="-48"/>
    <m/>
    <m/>
    <m/>
    <m/>
  </r>
  <r>
    <s v="2023"/>
    <x v="3"/>
    <m/>
    <s v="Descuentos bancos por Bines counter"/>
    <m/>
    <s v="Descuentos de banco Falabella"/>
    <m/>
    <s v="REGIONAL"/>
    <s v="Funcionalidades Locales"/>
    <s v="REGIONAL"/>
    <m/>
    <m/>
    <s v="Colombia"/>
    <s v="William Villegas"/>
    <s v="william.villegas@kfc.co"/>
    <x v="23"/>
    <s v="APROBADO"/>
    <s v="Finalizado"/>
    <m/>
    <s v="Q1"/>
    <m/>
    <s v="MEDIA"/>
    <n v="1"/>
    <n v="8"/>
    <n v="1"/>
    <n v="625"/>
    <m/>
    <n v="5000"/>
    <m/>
    <m/>
    <x v="2"/>
    <d v="2024-01-01T00:00:00"/>
    <d v="2024-02-09T00:00:00"/>
    <e v="#REF!"/>
    <d v="2024-02-12T00:00:00"/>
    <d v="2024-02-16T00:00:00"/>
    <d v="2892-12-19T00:00:00"/>
    <d v="2024-02-19T00:00:00"/>
    <m/>
    <d v="2024-01-01T00:00:00"/>
    <d v="1899-12-30T00:00:00"/>
    <n v="2"/>
    <n v="-45341"/>
    <m/>
    <m/>
    <m/>
    <m/>
  </r>
  <r>
    <s v="2024"/>
    <x v="3"/>
    <m/>
    <s v="Descuentos bancos por Bines counter"/>
    <m/>
    <s v="Convenio con los bancos para dar descuentos al total de la factura. (Comunicación con el pinpad)"/>
    <m/>
    <s v="REGIONAL"/>
    <s v="Funcionalidades Locales"/>
    <s v="REGIONAL"/>
    <m/>
    <m/>
    <s v="Chile"/>
    <s v="Davis Nuñez"/>
    <m/>
    <x v="21"/>
    <s v="APROBADO"/>
    <s v="En curso"/>
    <m/>
    <s v="Q2"/>
    <s v="Dependencia documentación Hassar."/>
    <s v="ALTA"/>
    <n v="1"/>
    <n v="6"/>
    <n v="1"/>
    <n v="625"/>
    <m/>
    <n v="3750"/>
    <m/>
    <m/>
    <x v="2"/>
    <d v="2024-04-29T00:00:00"/>
    <d v="2024-05-31T00:00:00"/>
    <e v="#REF!"/>
    <d v="2024-06-03T00:00:00"/>
    <d v="2024-06-07T00:00:00"/>
    <d v="2895-06-03T00:00:00"/>
    <d v="2024-06-10T00:00:00"/>
    <d v="2024-04-16T00:00:00"/>
    <d v="2024-04-29T00:00:00"/>
    <d v="2024-04-16T00:00:00"/>
    <n v="1.5"/>
    <n v="-55"/>
    <m/>
    <m/>
    <m/>
    <m/>
  </r>
  <r>
    <s v="2024"/>
    <x v="2"/>
    <m/>
    <s v="DGEN: Cargas masivas de documentos tributarios a SAP (boletas de honorarios, facturas de arriendo y servicios básicos)"/>
    <m/>
    <s v="Contabilización de Documentos que no pasan por ACEPTA"/>
    <m/>
    <s v="LOCAL"/>
    <s v="Funcionalidades Locales"/>
    <s v="REGIONAL"/>
    <m/>
    <m/>
    <s v="Chile"/>
    <s v="Davis Nuñez"/>
    <m/>
    <x v="21"/>
    <s v="APROBADO"/>
    <s v="No iniciado"/>
    <s v="Q4"/>
    <s v="Q4"/>
    <m/>
    <s v="ALTA"/>
    <m/>
    <n v="12"/>
    <n v="2"/>
    <n v="550"/>
    <m/>
    <n v="13840"/>
    <m/>
    <m/>
    <x v="2"/>
    <d v="2024-09-01T00:00:00"/>
    <d v="2024-11-14T00:00:00"/>
    <e v="#REF!"/>
    <d v="2024-11-14T00:00:00"/>
    <d v="2024-11-21T00:00:00"/>
    <d v="2899-01-08T00:00:00"/>
    <d v="2024-11-21T00:00:00"/>
    <s v="01/12/12024"/>
    <d v="2024-09-01T00:00:00"/>
    <s v="01/12/12024"/>
    <n v="3"/>
    <e v="#VALUE!"/>
    <m/>
    <m/>
    <m/>
    <m/>
  </r>
  <r>
    <s v="2023"/>
    <x v="3"/>
    <m/>
    <s v="Envío de Pedidos Pick Up V3"/>
    <m/>
    <s v="Envío de Pedidos Pick Up V3"/>
    <m/>
    <s v="REGIONAL"/>
    <s v="Funcionalidades Regionales"/>
    <s v="REGIONAL"/>
    <m/>
    <m/>
    <s v="Colombia"/>
    <s v="William Villegas"/>
    <s v="william.villegas@kfc.co"/>
    <x v="23"/>
    <s v="APROBADO"/>
    <s v="Finalizado"/>
    <m/>
    <s v="Q1"/>
    <s v="pruebas con tarjetas de crédito"/>
    <s v="ALTA"/>
    <n v="1"/>
    <n v="12"/>
    <n v="1"/>
    <n v="625"/>
    <m/>
    <n v="7500"/>
    <m/>
    <m/>
    <x v="2"/>
    <d v="2023-12-17T00:00:00"/>
    <d v="2024-02-02T00:00:00"/>
    <e v="#REF!"/>
    <d v="2024-02-04T00:00:00"/>
    <d v="2024-02-09T00:00:00"/>
    <d v="2892-10-17T00:00:00"/>
    <d v="2024-02-11T00:00:00"/>
    <d v="2024-02-15T00:00:00"/>
    <d v="2023-12-17T00:00:00"/>
    <d v="2024-02-15T00:00:00"/>
    <n v="3"/>
    <n v="4"/>
    <m/>
    <m/>
    <m/>
    <m/>
  </r>
  <r>
    <s v="2024"/>
    <x v="3"/>
    <m/>
    <s v="Facturas Tipo A (con datos)"/>
    <m/>
    <s v="Cambio de facturas Tipo A con datos"/>
    <m/>
    <s v="LOCAL"/>
    <s v="Funcionalidades Locales"/>
    <s v="REGIONAL"/>
    <m/>
    <m/>
    <s v="Argentina"/>
    <s v="Adrian Gadja"/>
    <m/>
    <x v="22"/>
    <s v="APROBADO"/>
    <s v="En curso"/>
    <m/>
    <s v="Q2"/>
    <m/>
    <s v="ALTA"/>
    <n v="1"/>
    <n v="8"/>
    <n v="2"/>
    <n v="550"/>
    <m/>
    <n v="9440"/>
    <m/>
    <m/>
    <x v="2"/>
    <d v="2024-04-01T00:00:00"/>
    <d v="2024-05-10T00:00:00"/>
    <e v="#REF!"/>
    <d v="2024-05-13T00:00:00"/>
    <d v="2024-05-17T00:00:00"/>
    <d v="2894-12-17T00:00:00"/>
    <d v="2024-05-20T00:00:00"/>
    <d v="2024-05-24T00:00:00"/>
    <d v="2024-04-01T00:00:00"/>
    <d v="2024-05-24T00:00:00"/>
    <n v="2"/>
    <n v="4"/>
    <m/>
    <m/>
    <m/>
    <m/>
  </r>
  <r>
    <s v="2023"/>
    <x v="3"/>
    <m/>
    <s v="Flujo de Caja Chica Locales"/>
    <m/>
    <s v="Implementación de flujo de caja chica en curso, con vinculo a maxpoint y sir"/>
    <m/>
    <s v="LOCAL"/>
    <s v="Funcionalidades Locales"/>
    <s v="REGIONAL"/>
    <m/>
    <m/>
    <s v="Colombia"/>
    <s v="William Villegas"/>
    <s v="william.villegas@kfc.co"/>
    <x v="23"/>
    <s v="APROBADO"/>
    <s v="No iniciado"/>
    <m/>
    <s v="Q2"/>
    <m/>
    <s v="ALTA"/>
    <n v="1"/>
    <n v="4"/>
    <n v="1"/>
    <n v="625"/>
    <m/>
    <n v="2500"/>
    <m/>
    <m/>
    <x v="2"/>
    <d v="2024-05-06T00:00:00"/>
    <d v="2024-05-17T00:00:00"/>
    <e v="#REF!"/>
    <d v="2024-05-20T00:00:00"/>
    <d v="2024-05-24T00:00:00"/>
    <d v="2895-02-11T00:00:00"/>
    <d v="2024-05-27T00:00:00"/>
    <d v="2024-05-31T00:00:00"/>
    <d v="2024-05-06T00:00:00"/>
    <d v="2024-05-31T00:00:00"/>
    <n v="1"/>
    <n v="4"/>
    <s v="PROYECTO MXP"/>
    <m/>
    <m/>
    <m/>
  </r>
  <r>
    <n v="2024"/>
    <x v="3"/>
    <m/>
    <s v="Integración API CORE Formas PAGO en Kioskos"/>
    <s v="CANALES DIGITALES"/>
    <s v="Integración API CORE Formas PAGO en Kioskos"/>
    <m/>
    <s v="REGIONAL"/>
    <s v="Funcionalidades Locales"/>
    <s v="REGIONAL"/>
    <m/>
    <m/>
    <s v="Chile"/>
    <s v="Davis"/>
    <m/>
    <x v="21"/>
    <s v="APROBADO"/>
    <s v="En curso"/>
    <m/>
    <s v="Q1"/>
    <s v="Gestión de ambientes de pruebas"/>
    <s v="ALTA"/>
    <n v="1"/>
    <n v="3"/>
    <n v="2"/>
    <n v="625"/>
    <m/>
    <n v="3750"/>
    <m/>
    <m/>
    <x v="2"/>
    <d v="2024-03-04T00:00:00"/>
    <d v="2024-03-15T00:00:00"/>
    <e v="#REF!"/>
    <d v="2024-03-18T00:00:00"/>
    <d v="2024-03-22T00:00:00"/>
    <d v="2893-09-25T00:00:00"/>
    <d v="2024-03-25T00:00:00"/>
    <d v="2024-03-29T00:00:00"/>
    <d v="2024-03-04T00:00:00"/>
    <d v="2024-03-29T00:00:00"/>
    <d v="1899-12-30T18:00:00"/>
    <n v="4"/>
    <m/>
    <m/>
    <m/>
    <m/>
  </r>
  <r>
    <n v="2024"/>
    <x v="3"/>
    <m/>
    <s v="Integración de Credibanco"/>
    <m/>
    <s v="Nueva red de datafonos"/>
    <m/>
    <s v="LOCAL"/>
    <s v="Funcionalidades Locales"/>
    <s v="REGIONAL"/>
    <m/>
    <m/>
    <s v="Colombia"/>
    <s v="William Villegas"/>
    <s v="william.villegas@kfc.co"/>
    <x v="23"/>
    <s v="APROBADO"/>
    <s v="En curso"/>
    <m/>
    <s v="Q1"/>
    <m/>
    <s v="ALTA"/>
    <n v="1"/>
    <n v="12"/>
    <n v="1"/>
    <n v="625"/>
    <m/>
    <n v="7500"/>
    <m/>
    <m/>
    <x v="2"/>
    <d v="2024-03-04T00:00:00"/>
    <d v="2024-03-22T00:00:00"/>
    <e v="#REF!"/>
    <d v="2024-03-25T00:00:00"/>
    <d v="2024-03-29T00:00:00"/>
    <d v="2893-11-20T00:00:00"/>
    <d v="2024-04-01T00:00:00"/>
    <d v="2024-04-05T00:00:00"/>
    <d v="2024-03-04T00:00:00"/>
    <d v="2024-04-05T00:00:00"/>
    <n v="3"/>
    <n v="4"/>
    <m/>
    <m/>
    <m/>
    <m/>
  </r>
  <r>
    <s v="2024"/>
    <x v="3"/>
    <m/>
    <s v="Integracion Pinpad SITEF (Reemplazo de Megasoft)"/>
    <m/>
    <m/>
    <m/>
    <s v="LOCAL"/>
    <s v="Funcionalidades Locales"/>
    <s v="REGIONAL"/>
    <m/>
    <m/>
    <s v="Venezuela"/>
    <s v="Jhustin Vergara"/>
    <m/>
    <x v="19"/>
    <s v="APROBADO"/>
    <s v="En curso"/>
    <m/>
    <s v="Q1"/>
    <m/>
    <s v="ALTA"/>
    <n v="1"/>
    <n v="8"/>
    <n v="1"/>
    <n v="550"/>
    <m/>
    <n v="4400"/>
    <m/>
    <m/>
    <x v="2"/>
    <d v="2024-02-11T00:00:00"/>
    <d v="2024-03-29T00:00:00"/>
    <e v="#REF!"/>
    <d v="2024-04-01T00:00:00"/>
    <d v="2024-04-05T00:00:00"/>
    <d v="2894-01-15T00:00:00"/>
    <d v="2024-04-08T00:00:00"/>
    <d v="2024-04-10T00:00:00"/>
    <d v="2024-02-11T00:00:00"/>
    <d v="2024-04-10T00:00:00"/>
    <n v="2"/>
    <n v="2"/>
    <m/>
    <m/>
    <m/>
    <m/>
  </r>
  <r>
    <s v="2024"/>
    <x v="0"/>
    <m/>
    <s v="Integración SIR con SAGE"/>
    <m/>
    <s v="Integración Ventas"/>
    <m/>
    <s v="LOCAL"/>
    <s v="España"/>
    <s v="REGIONAL"/>
    <m/>
    <m/>
    <s v="España"/>
    <s v="Jeison Caguana"/>
    <m/>
    <x v="33"/>
    <s v="APROBADO"/>
    <s v="No iniciado"/>
    <m/>
    <s v="Q3"/>
    <m/>
    <s v="ALTA"/>
    <m/>
    <n v="7"/>
    <n v="2"/>
    <n v="450"/>
    <m/>
    <n v="6940"/>
    <m/>
    <m/>
    <x v="2"/>
    <d v="2024-05-15T00:00:00"/>
    <d v="2024-07-10T00:00:00"/>
    <e v="#REF!"/>
    <d v="2024-07-10T00:00:00"/>
    <d v="2024-07-24T00:00:00"/>
    <d v="2896-04-04T00:00:00"/>
    <m/>
    <d v="2024-07-24T00:00:00"/>
    <d v="2024-05-15T00:00:00"/>
    <d v="2024-07-24T00:00:00"/>
    <n v="1.75"/>
    <n v="45497"/>
    <m/>
    <m/>
    <m/>
    <m/>
  </r>
  <r>
    <s v="2024"/>
    <x v="0"/>
    <m/>
    <s v="Interfaces ERP - Maxpoint - SIR"/>
    <s v="CONSULTAR ADRIAN"/>
    <s v="Consume información de SIR y actualiza en SAP (Validar con Operaciones). Justificación en base a ahorros en stocks de seguridad"/>
    <m/>
    <s v="LOCAL"/>
    <s v="Funcionalidades Locales"/>
    <s v="REGIONAL"/>
    <m/>
    <m/>
    <s v="Argentina"/>
    <s v="Adrian Gadja / Juan Carlos Benalcazar"/>
    <m/>
    <x v="22"/>
    <s v="APROBADO"/>
    <s v="No iniciado"/>
    <s v="Q2"/>
    <s v="Q3"/>
    <m/>
    <s v="MEDIA"/>
    <n v="1"/>
    <n v="4"/>
    <n v="3"/>
    <n v="600"/>
    <m/>
    <n v="7200"/>
    <m/>
    <m/>
    <x v="2"/>
    <m/>
    <m/>
    <n v="0"/>
    <m/>
    <m/>
    <n v="0"/>
    <m/>
    <m/>
    <m/>
    <m/>
    <n v="1"/>
    <n v="0"/>
    <m/>
    <m/>
    <m/>
    <m/>
  </r>
  <r>
    <s v="2024"/>
    <x v="4"/>
    <m/>
    <s v="Interfaz de activos fijos SAP-SIR"/>
    <m/>
    <s v="Contar con Integración de Activos Fijos SAP - SIR"/>
    <m/>
    <s v="LOCAL"/>
    <s v="Funcionalidades Locales"/>
    <s v="REGIONAL"/>
    <m/>
    <m/>
    <s v="Chile"/>
    <s v="Davis Nuñez"/>
    <m/>
    <x v="21"/>
    <s v="APROBADO"/>
    <s v="No iniciado"/>
    <s v="Q2"/>
    <s v="Q2"/>
    <m/>
    <s v="MEDIA"/>
    <n v="1"/>
    <n v="6"/>
    <n v="2"/>
    <n v="200"/>
    <m/>
    <n v="3040"/>
    <m/>
    <m/>
    <x v="2"/>
    <d v="2024-02-19T00:00:00"/>
    <d v="2024-03-31T00:00:00"/>
    <n v="41"/>
    <d v="2024-03-18T00:00:00"/>
    <d v="2024-03-25T00:00:00"/>
    <n v="7"/>
    <d v="2024-03-25T00:00:00"/>
    <d v="2024-04-01T00:00:00"/>
    <d v="2024-02-19T00:00:00"/>
    <d v="2024-04-01T00:00:00"/>
    <n v="1.5"/>
    <n v="7"/>
    <m/>
    <m/>
    <m/>
    <m/>
  </r>
  <r>
    <s v="2024"/>
    <x v="4"/>
    <m/>
    <s v="Interfaz de centralización de remuneraciones SAP-REX+ (nómina)"/>
    <m/>
    <s v="Contar con una integración entre el sistema de Nómina REX+ y SAP"/>
    <m/>
    <s v="LOCAL"/>
    <s v="Funcionalidades Locales"/>
    <s v="REGIONAL"/>
    <m/>
    <m/>
    <s v="Chile"/>
    <s v="Davis Nuñez"/>
    <m/>
    <x v="21"/>
    <s v="APROBADO"/>
    <s v="No iniciado"/>
    <s v="Q2"/>
    <s v="Q3"/>
    <m/>
    <s v="ALTA"/>
    <n v="0"/>
    <n v="6"/>
    <n v="3"/>
    <n v="1000"/>
    <m/>
    <n v="0"/>
    <m/>
    <m/>
    <x v="2"/>
    <d v="2024-04-07T00:00:00"/>
    <d v="2024-05-14T00:00:00"/>
    <n v="37"/>
    <d v="2024-05-14T00:00:00"/>
    <d v="2024-05-31T00:00:00"/>
    <n v="17"/>
    <d v="2024-05-31T00:00:00"/>
    <d v="2024-06-14T00:00:00"/>
    <d v="2024-04-07T00:00:00"/>
    <d v="2024-06-14T00:00:00"/>
    <n v="1.5"/>
    <n v="14"/>
    <m/>
    <m/>
    <m/>
    <m/>
  </r>
  <r>
    <s v="2024"/>
    <x v="0"/>
    <m/>
    <s v="Interfaz SAP-SIR: Mayores Contables y Usos y Consumos"/>
    <m/>
    <s v="Nuevo Requerimiento - Activación y adecuación"/>
    <m/>
    <s v="LOCAL"/>
    <s v="Funcionalidades Locales"/>
    <s v="REGIONAL"/>
    <m/>
    <m/>
    <s v="Chile"/>
    <s v="Davis Nuñez"/>
    <m/>
    <x v="21"/>
    <s v="APROBADO"/>
    <s v="No iniciado"/>
    <m/>
    <s v="Q2"/>
    <m/>
    <s v="MEDIA"/>
    <m/>
    <n v="3"/>
    <n v="1"/>
    <n v="400"/>
    <n v="2000"/>
    <n v="3840"/>
    <m/>
    <m/>
    <x v="2"/>
    <d v="2024-04-22T00:00:00"/>
    <d v="2024-05-17T00:00:00"/>
    <e v="#REF!"/>
    <d v="2024-05-21T00:00:00"/>
    <d v="2024-05-31T00:00:00"/>
    <d v="2895-02-25T00:00:00"/>
    <m/>
    <d v="2024-05-31T00:00:00"/>
    <d v="2024-04-22T00:00:00"/>
    <d v="2024-05-31T00:00:00"/>
    <n v="0.75"/>
    <n v="45443"/>
    <m/>
    <m/>
    <m/>
    <m/>
  </r>
  <r>
    <s v="2024"/>
    <x v="3"/>
    <m/>
    <s v="KDS DragonTail Salon - Kiosko - Pickup"/>
    <m/>
    <m/>
    <m/>
    <s v="LOCAL"/>
    <s v="Funcionalidades Regionales"/>
    <s v="REGIONAL"/>
    <m/>
    <m/>
    <s v="Venezuela"/>
    <s v="Jhustin Vergara"/>
    <m/>
    <x v="19"/>
    <s v="APROBADO"/>
    <s v="En curso"/>
    <m/>
    <s v="Q2"/>
    <s v="Realizar un piloto para adaptar a la operación al KDS"/>
    <s v="ALTA"/>
    <n v="1"/>
    <n v="8"/>
    <n v="1"/>
    <n v="550"/>
    <m/>
    <n v="4400"/>
    <m/>
    <m/>
    <x v="2"/>
    <d v="2024-05-06T00:00:00"/>
    <d v="2024-06-14T00:00:00"/>
    <e v="#REF!"/>
    <d v="2024-06-17T00:00:00"/>
    <d v="2024-06-21T00:00:00"/>
    <d v="2895-09-23T00:00:00"/>
    <d v="2024-06-24T00:00:00"/>
    <d v="2024-06-26T00:00:00"/>
    <d v="2024-05-06T00:00:00"/>
    <d v="2024-06-26T00:00:00"/>
    <n v="2"/>
    <n v="2"/>
    <m/>
    <m/>
    <m/>
    <m/>
  </r>
  <r>
    <s v="2024"/>
    <x v="0"/>
    <m/>
    <s v="Mantenimiento Argentina"/>
    <m/>
    <m/>
    <m/>
    <s v="LOCAL"/>
    <s v="Mantenimiento"/>
    <s v="REGIONAL"/>
    <m/>
    <m/>
    <s v="Argentina"/>
    <s v="Adrian Gadja"/>
    <m/>
    <x v="22"/>
    <s v="APROBADO"/>
    <s v="En curso"/>
    <m/>
    <s v="Q4"/>
    <m/>
    <s v="MEDIA"/>
    <m/>
    <n v="36"/>
    <n v="1"/>
    <n v="190"/>
    <m/>
    <n v="7480"/>
    <m/>
    <m/>
    <x v="2"/>
    <d v="2024-03-01T00:00:00"/>
    <d v="2025-01-31T00:00:00"/>
    <e v="#REF!"/>
    <d v="2024-03-01T00:00:00"/>
    <d v="2025-01-31T00:00:00"/>
    <d v="2894-04-09T00:00:00"/>
    <m/>
    <d v="2025-01-31T00:00:00"/>
    <d v="2024-03-01T00:00:00"/>
    <d v="2025-01-31T00:00:00"/>
    <n v="9"/>
    <n v="45688"/>
    <m/>
    <m/>
    <m/>
    <m/>
  </r>
  <r>
    <s v="2024"/>
    <x v="0"/>
    <m/>
    <s v="Mantenimiento Chile"/>
    <m/>
    <m/>
    <m/>
    <s v="LOCAL"/>
    <s v="Mantenimiento"/>
    <s v="REGIONAL"/>
    <m/>
    <m/>
    <s v="Chile"/>
    <s v="Davis Nuñez"/>
    <m/>
    <x v="21"/>
    <s v="APROBADO"/>
    <s v="En curso"/>
    <m/>
    <s v="Q2"/>
    <m/>
    <s v="MEDIA"/>
    <m/>
    <n v="44"/>
    <n v="1"/>
    <n v="275"/>
    <m/>
    <n v="12740"/>
    <m/>
    <m/>
    <x v="2"/>
    <d v="2024-03-01T00:00:00"/>
    <d v="2025-01-31T00:00:00"/>
    <e v="#REF!"/>
    <d v="2024-03-01T00:00:00"/>
    <d v="2025-01-31T00:00:00"/>
    <d v="2894-04-09T00:00:00"/>
    <m/>
    <d v="2025-01-31T00:00:00"/>
    <d v="2024-03-01T00:00:00"/>
    <d v="2025-01-31T00:00:00"/>
    <n v="11"/>
    <n v="45688"/>
    <m/>
    <m/>
    <m/>
    <m/>
  </r>
  <r>
    <s v="2024"/>
    <x v="0"/>
    <m/>
    <s v="Mantenimiento Colombia"/>
    <m/>
    <m/>
    <m/>
    <s v="LOCAL"/>
    <s v="Mantenimiento"/>
    <s v="REGIONAL"/>
    <m/>
    <m/>
    <s v="Colombia"/>
    <s v="William Villegas"/>
    <s v="william.villegas@kfc.co"/>
    <x v="23"/>
    <s v="APROBADO"/>
    <s v="En curso"/>
    <m/>
    <s v="Q4"/>
    <m/>
    <s v="MEDIA"/>
    <m/>
    <n v="40"/>
    <n v="1"/>
    <n v="475"/>
    <m/>
    <n v="19640"/>
    <m/>
    <m/>
    <x v="2"/>
    <d v="2024-03-01T00:00:00"/>
    <d v="2025-01-31T00:00:00"/>
    <e v="#REF!"/>
    <d v="2024-03-01T00:00:00"/>
    <d v="2025-01-31T00:00:00"/>
    <d v="2894-04-09T00:00:00"/>
    <m/>
    <d v="2025-01-31T00:00:00"/>
    <d v="2024-03-01T00:00:00"/>
    <d v="2025-01-31T00:00:00"/>
    <n v="10"/>
    <n v="45688"/>
    <m/>
    <m/>
    <m/>
    <m/>
  </r>
  <r>
    <s v="2024"/>
    <x v="0"/>
    <m/>
    <s v="Mantenimiento España"/>
    <m/>
    <m/>
    <m/>
    <s v="LOCAL"/>
    <s v="Mantenimiento"/>
    <s v="REGIONAL"/>
    <m/>
    <m/>
    <s v="España"/>
    <s v="Jeison Caguana"/>
    <m/>
    <x v="33"/>
    <s v="APROBADO"/>
    <s v="En curso"/>
    <m/>
    <s v="Q4"/>
    <m/>
    <s v="MEDIA"/>
    <m/>
    <n v="40"/>
    <n v="1"/>
    <n v="375"/>
    <m/>
    <n v="15640"/>
    <m/>
    <m/>
    <x v="2"/>
    <d v="2024-03-01T00:00:00"/>
    <d v="2025-01-31T00:00:00"/>
    <e v="#REF!"/>
    <d v="2024-03-01T00:00:00"/>
    <d v="2025-01-31T00:00:00"/>
    <d v="2894-04-09T00:00:00"/>
    <m/>
    <d v="2025-01-31T00:00:00"/>
    <d v="2024-03-01T00:00:00"/>
    <d v="2025-01-31T00:00:00"/>
    <n v="10"/>
    <n v="45688"/>
    <m/>
    <m/>
    <m/>
    <m/>
  </r>
  <r>
    <s v="2024"/>
    <x v="0"/>
    <m/>
    <s v="Mantenimiento Venezuela"/>
    <m/>
    <m/>
    <m/>
    <s v="LOCAL"/>
    <s v="Mantenimiento"/>
    <s v="REGIONAL"/>
    <m/>
    <m/>
    <s v="Venezuela"/>
    <s v="Jhustin Vergara"/>
    <m/>
    <x v="19"/>
    <s v="APROBADO"/>
    <s v="En curso"/>
    <m/>
    <s v="Q4"/>
    <m/>
    <s v="MEDIA"/>
    <m/>
    <n v="40"/>
    <n v="1"/>
    <n v="450"/>
    <m/>
    <n v="18640"/>
    <m/>
    <m/>
    <x v="2"/>
    <d v="2024-03-01T00:00:00"/>
    <d v="2025-01-31T00:00:00"/>
    <e v="#REF!"/>
    <d v="2024-03-01T00:00:00"/>
    <d v="2025-01-31T00:00:00"/>
    <d v="2894-04-09T00:00:00"/>
    <m/>
    <d v="2025-01-31T00:00:00"/>
    <d v="2024-03-01T00:00:00"/>
    <d v="2025-01-31T00:00:00"/>
    <n v="10"/>
    <n v="45688"/>
    <m/>
    <m/>
    <m/>
    <m/>
  </r>
  <r>
    <s v="2024"/>
    <x v="3"/>
    <m/>
    <s v="Master Data de Clientes para MaxPoint y Kiosko"/>
    <m/>
    <s v="Base central de clientes para el uso en canales de MaxPoint y Kioskos."/>
    <m/>
    <s v="LOCAL"/>
    <s v="Funcionalidades Regionales"/>
    <s v="REGIONAL"/>
    <m/>
    <m/>
    <s v="Venezuela"/>
    <s v="Jhustin Vergara"/>
    <m/>
    <x v="19"/>
    <s v="APROBADO"/>
    <s v="No iniciado"/>
    <m/>
    <s v="Q2"/>
    <s v="Validar con BigData para la integración de la master data de clientes."/>
    <s v="MEDIA"/>
    <n v="1"/>
    <n v="6"/>
    <n v="1"/>
    <n v="550"/>
    <m/>
    <n v="3300"/>
    <m/>
    <m/>
    <x v="2"/>
    <d v="2024-04-01T00:00:00"/>
    <d v="2024-04-26T00:00:00"/>
    <e v="#REF!"/>
    <d v="2024-04-29T00:00:00"/>
    <d v="2024-05-03T00:00:00"/>
    <d v="2894-08-27T00:00:00"/>
    <d v="2024-05-06T00:00:00"/>
    <d v="2024-05-08T00:00:00"/>
    <d v="2024-04-01T00:00:00"/>
    <d v="2024-05-08T00:00:00"/>
    <n v="1.5"/>
    <n v="2"/>
    <m/>
    <m/>
    <m/>
    <m/>
  </r>
  <r>
    <s v="2024"/>
    <x v="3"/>
    <m/>
    <s v="Maxpoint Delivery WD"/>
    <m/>
    <s v="Terminar implementación y corrección de bug"/>
    <m/>
    <s v="LOCAL"/>
    <s v="Funcionalidades Locales"/>
    <s v="REGIONAL"/>
    <m/>
    <m/>
    <s v="Chile"/>
    <s v="Davis Nuñez"/>
    <m/>
    <x v="21"/>
    <s v="APROBADO"/>
    <s v="En curso"/>
    <m/>
    <s v="Q1"/>
    <s v="Dependencia estabilización en KFC"/>
    <s v="ALTA"/>
    <n v="1"/>
    <n v="1"/>
    <n v="2"/>
    <n v="625"/>
    <m/>
    <n v="1250"/>
    <m/>
    <m/>
    <x v="2"/>
    <d v="2024-03-18T00:00:00"/>
    <d v="2024-03-22T00:00:00"/>
    <e v="#REF!"/>
    <d v="2024-03-25T00:00:00"/>
    <d v="2024-03-29T00:00:00"/>
    <d v="2893-11-20T00:00:00"/>
    <d v="2024-04-01T00:00:00"/>
    <d v="2024-04-05T00:00:00"/>
    <d v="2024-03-18T00:00:00"/>
    <d v="2024-04-05T00:00:00"/>
    <n v="0.25"/>
    <n v="4"/>
    <m/>
    <m/>
    <m/>
    <m/>
  </r>
  <r>
    <s v="2024"/>
    <x v="0"/>
    <m/>
    <s v="MCL-1. Administración de Gavetas"/>
    <m/>
    <s v="Nuevo Requerimiento"/>
    <m/>
    <s v="LOCAL"/>
    <s v="Mantenimiento"/>
    <s v="REGIONAL"/>
    <m/>
    <m/>
    <s v="Chile"/>
    <s v="Davis Nuñez"/>
    <m/>
    <x v="21"/>
    <s v="APROBADO"/>
    <s v="No iniciado"/>
    <m/>
    <s v="Q3"/>
    <m/>
    <s v="MEDIA"/>
    <m/>
    <n v="2"/>
    <n v="2"/>
    <n v="400"/>
    <m/>
    <m/>
    <m/>
    <m/>
    <x v="2"/>
    <d v="2024-06-17T00:00:00"/>
    <d v="2024-06-28T00:00:00"/>
    <e v="#REF!"/>
    <d v="2024-07-02T00:00:00"/>
    <d v="2024-07-09T00:00:00"/>
    <d v="2896-01-24T00:00:00"/>
    <m/>
    <d v="2024-07-09T00:00:00"/>
    <d v="2024-06-17T00:00:00"/>
    <d v="2024-07-09T00:00:00"/>
    <n v="0.5"/>
    <n v="45482"/>
    <m/>
    <m/>
    <m/>
    <m/>
  </r>
  <r>
    <s v="2024"/>
    <x v="0"/>
    <m/>
    <s v="MCO-1. Activación Modulo Aceite quemado "/>
    <m/>
    <s v="Activación Modulo Aceite quemado"/>
    <m/>
    <s v="REGIONAL"/>
    <s v="Mantenimiento"/>
    <s v="REGIONAL"/>
    <m/>
    <m/>
    <s v="Colombia"/>
    <s v="William Villegas"/>
    <s v="william.villegas@kfc.co"/>
    <x v="23"/>
    <s v="APROBADO"/>
    <s v="Finalizado"/>
    <n v="1"/>
    <s v="Q1"/>
    <m/>
    <s v="BAJA"/>
    <m/>
    <n v="1"/>
    <n v="1"/>
    <m/>
    <m/>
    <m/>
    <m/>
    <m/>
    <x v="2"/>
    <d v="2024-04-01T00:00:00"/>
    <m/>
    <e v="#REF!"/>
    <m/>
    <m/>
    <d v="1899-12-30T00:00:00"/>
    <m/>
    <d v="2024-04-11T00:00:00"/>
    <d v="2024-04-01T00:00:00"/>
    <d v="2024-04-11T00:00:00"/>
    <n v="0.25"/>
    <n v="45393"/>
    <m/>
    <m/>
    <m/>
    <m/>
  </r>
  <r>
    <s v="2024"/>
    <x v="0"/>
    <m/>
    <s v="MCO-2. Horarios Mayores Contables"/>
    <m/>
    <m/>
    <m/>
    <s v="REGIONAL "/>
    <s v="Mantenimiento"/>
    <s v="REGIONAL"/>
    <m/>
    <m/>
    <s v="Colombia"/>
    <s v="William Villegas"/>
    <s v="william.villegas@kfc.co"/>
    <x v="23"/>
    <s v="APROBADO"/>
    <s v="En curso"/>
    <m/>
    <s v="Q2"/>
    <m/>
    <s v="BAJA"/>
    <m/>
    <m/>
    <m/>
    <m/>
    <m/>
    <m/>
    <m/>
    <m/>
    <x v="2"/>
    <d v="2024-03-11T00:00:00"/>
    <m/>
    <e v="#REF!"/>
    <m/>
    <d v="2024-03-22T00:00:00"/>
    <d v="2024-03-22T00:00:00"/>
    <m/>
    <d v="2024-03-22T00:00:00"/>
    <d v="2024-03-11T00:00:00"/>
    <d v="2024-03-22T00:00:00"/>
    <n v="0"/>
    <n v="45373"/>
    <m/>
    <m/>
    <m/>
    <m/>
  </r>
  <r>
    <s v="2024"/>
    <x v="0"/>
    <m/>
    <s v="MCO-4. Modificación Reporte Relación de Cajas"/>
    <m/>
    <m/>
    <m/>
    <s v="LOCAL"/>
    <m/>
    <s v="REGIONAL"/>
    <m/>
    <m/>
    <s v="Colombia"/>
    <s v="William Villegas"/>
    <s v="william.villegas@kfc.co"/>
    <x v="34"/>
    <m/>
    <s v="Finalizado"/>
    <m/>
    <m/>
    <m/>
    <m/>
    <m/>
    <m/>
    <m/>
    <m/>
    <m/>
    <n v="640"/>
    <m/>
    <m/>
    <x v="2"/>
    <m/>
    <m/>
    <e v="#REF!"/>
    <m/>
    <m/>
    <d v="1899-12-30T00:00:00"/>
    <m/>
    <d v="2024-04-08T00:00:00"/>
    <m/>
    <m/>
    <d v="1899-12-30T00:00:00"/>
    <n v="45390"/>
    <m/>
    <m/>
    <m/>
    <m/>
  </r>
  <r>
    <s v="2024"/>
    <x v="0"/>
    <m/>
    <s v="MCO-5. Reporte de compras consolidado Artículo SAP regional"/>
    <m/>
    <m/>
    <m/>
    <s v="LOCAL"/>
    <m/>
    <s v="REGIONAL"/>
    <m/>
    <m/>
    <s v="Colombia"/>
    <s v="William Villegas"/>
    <s v="william.villegas@kfc.co"/>
    <x v="34"/>
    <m/>
    <s v="En curso"/>
    <m/>
    <m/>
    <m/>
    <m/>
    <m/>
    <m/>
    <m/>
    <m/>
    <m/>
    <n v="640"/>
    <m/>
    <m/>
    <x v="2"/>
    <d v="2024-04-01T00:00:00"/>
    <m/>
    <e v="#REF!"/>
    <m/>
    <m/>
    <d v="1899-12-30T00:00:00"/>
    <m/>
    <m/>
    <m/>
    <m/>
    <d v="1899-12-30T00:00:00"/>
    <n v="0"/>
    <m/>
    <m/>
    <m/>
    <m/>
  </r>
  <r>
    <s v="2024"/>
    <x v="0"/>
    <m/>
    <s v="MCO-3. Compras Bloqueo de Proveedor INT"/>
    <m/>
    <s v="Bloqueo del proveedor Inversiones INT para el ingreso de compras"/>
    <m/>
    <s v="LOCAL"/>
    <s v="Mantenimiento"/>
    <s v="REGIONAL"/>
    <m/>
    <m/>
    <s v="Colombia"/>
    <s v="William Villegas"/>
    <s v="william.villegas@kfc.co"/>
    <x v="23"/>
    <s v="APROBADO"/>
    <s v="No iniciado"/>
    <m/>
    <s v="Q1"/>
    <m/>
    <s v="BAJA"/>
    <m/>
    <m/>
    <m/>
    <m/>
    <m/>
    <m/>
    <m/>
    <m/>
    <x v="2"/>
    <d v="2024-05-01T00:00:00"/>
    <m/>
    <e v="#REF!"/>
    <m/>
    <m/>
    <d v="1899-12-30T00:00:00"/>
    <m/>
    <m/>
    <m/>
    <m/>
    <n v="0"/>
    <n v="0"/>
    <m/>
    <m/>
    <m/>
    <m/>
  </r>
  <r>
    <s v="2024"/>
    <x v="3"/>
    <m/>
    <s v="Mejoras de integración del servicio de impresión MXP España"/>
    <m/>
    <s v="Configurable de canales de impresión, pre cuenta, factura, abono, Corte de X, desmontar cajero, fin de día y comandas."/>
    <m/>
    <s v="LOCAL"/>
    <m/>
    <s v="REGIONAL"/>
    <m/>
    <m/>
    <s v="España"/>
    <s v="Jeison Caguana"/>
    <m/>
    <x v="33"/>
    <s v="APROBADO"/>
    <s v="No iniciado"/>
    <m/>
    <s v="Q2"/>
    <m/>
    <s v="BAJA"/>
    <n v="1"/>
    <n v="1"/>
    <n v="3"/>
    <n v="625"/>
    <m/>
    <n v="1875"/>
    <m/>
    <m/>
    <x v="2"/>
    <d v="2025-04-06T00:00:00"/>
    <d v="2025-04-18T00:00:00"/>
    <e v="#REF!"/>
    <d v="2024-04-21T00:00:00"/>
    <d v="2024-04-26T00:00:00"/>
    <d v="2894-06-25T00:00:00"/>
    <d v="2024-04-28T00:00:00"/>
    <d v="2024-04-30T00:00:00"/>
    <d v="2025-04-06T00:00:00"/>
    <d v="2024-04-30T00:00:00"/>
    <n v="0.25"/>
    <n v="2"/>
    <m/>
    <m/>
    <m/>
    <m/>
  </r>
  <r>
    <s v="2024"/>
    <x v="3"/>
    <m/>
    <s v="Mejoras MaxPoint Azure ( integración de países)"/>
    <m/>
    <s v="Corrección de bugs pantalla de estaciones, botones, preguntas sugeridas, descuentos, y pantalla de replica."/>
    <m/>
    <s v="LOCAL"/>
    <m/>
    <s v="REGIONAL"/>
    <m/>
    <m/>
    <s v="España"/>
    <s v="Jeison Caguana"/>
    <m/>
    <x v="33"/>
    <s v="APROBADO"/>
    <s v="No iniciado"/>
    <m/>
    <s v="Q3"/>
    <m/>
    <s v="BAJA"/>
    <n v="1"/>
    <n v="1"/>
    <n v="4"/>
    <n v="625"/>
    <m/>
    <n v="2500"/>
    <m/>
    <m/>
    <x v="2"/>
    <d v="2024-08-18T00:00:00"/>
    <d v="2024-09-13T00:00:00"/>
    <e v="#REF!"/>
    <d v="2024-09-16T00:00:00"/>
    <d v="2024-09-20T00:00:00"/>
    <d v="2897-09-20T00:00:00"/>
    <d v="2024-09-23T00:00:00"/>
    <d v="2024-09-25T00:00:00"/>
    <d v="2024-08-18T00:00:00"/>
    <d v="2024-09-25T00:00:00"/>
    <n v="0.25"/>
    <n v="2"/>
    <m/>
    <m/>
    <m/>
    <m/>
  </r>
  <r>
    <s v="2024"/>
    <x v="3"/>
    <m/>
    <s v="Mejoras POS MaxPoint España"/>
    <m/>
    <s v="Lunch y mermas en MaxPoint / Nuevos reportes App MaxPoint"/>
    <m/>
    <s v="LOCAL"/>
    <m/>
    <s v="REGIONAL"/>
    <m/>
    <m/>
    <s v="España"/>
    <s v="Jeison Caguana"/>
    <m/>
    <x v="33"/>
    <s v="APROBADO"/>
    <s v="No iniciado"/>
    <m/>
    <s v="Q3"/>
    <m/>
    <s v="BAJA"/>
    <n v="1"/>
    <n v="1"/>
    <n v="6"/>
    <n v="625"/>
    <m/>
    <n v="3750"/>
    <m/>
    <m/>
    <x v="2"/>
    <d v="2024-07-01T00:00:00"/>
    <d v="2024-08-02T00:00:00"/>
    <e v="#REF!"/>
    <d v="2024-08-04T00:00:00"/>
    <d v="2024-08-09T00:00:00"/>
    <d v="2896-10-12T00:00:00"/>
    <d v="2024-08-11T00:00:00"/>
    <d v="2024-08-13T00:00:00"/>
    <d v="2024-07-01T00:00:00"/>
    <d v="2024-08-13T00:00:00"/>
    <n v="0.25"/>
    <n v="2"/>
    <m/>
    <m/>
    <m/>
    <m/>
  </r>
  <r>
    <s v="2024"/>
    <x v="0"/>
    <m/>
    <s v="MES-2. Carga Masiva de Costos Artículos"/>
    <m/>
    <m/>
    <m/>
    <s v="LOCAL"/>
    <m/>
    <s v="REGIONAL"/>
    <m/>
    <m/>
    <s v="España"/>
    <s v="Jeison Caguana"/>
    <m/>
    <x v="32"/>
    <m/>
    <s v="En curso"/>
    <m/>
    <m/>
    <m/>
    <m/>
    <m/>
    <m/>
    <m/>
    <m/>
    <m/>
    <n v="640"/>
    <m/>
    <m/>
    <x v="2"/>
    <d v="2024-04-01T00:00:00"/>
    <m/>
    <e v="#REF!"/>
    <m/>
    <m/>
    <d v="1899-12-30T00:00:00"/>
    <m/>
    <d v="2024-04-26T00:00:00"/>
    <d v="2024-05-07T00:00:00"/>
    <d v="2024-05-14T00:00:00"/>
    <n v="0"/>
    <n v="45408"/>
    <m/>
    <m/>
    <m/>
    <m/>
  </r>
  <r>
    <s v="2024"/>
    <x v="0"/>
    <m/>
    <s v="MES-3. Estilos en recetas"/>
    <m/>
    <m/>
    <m/>
    <s v="LOCAL"/>
    <m/>
    <s v="REGIONAL"/>
    <m/>
    <m/>
    <s v="España"/>
    <s v="Jeison Caguana"/>
    <m/>
    <x v="32"/>
    <m/>
    <s v="No iniciado"/>
    <m/>
    <m/>
    <m/>
    <m/>
    <m/>
    <m/>
    <m/>
    <m/>
    <m/>
    <n v="640"/>
    <m/>
    <m/>
    <x v="2"/>
    <d v="2024-05-27T00:00:00"/>
    <m/>
    <e v="#REF!"/>
    <m/>
    <m/>
    <d v="1899-12-30T00:00:00"/>
    <m/>
    <d v="2024-06-21T00:00:00"/>
    <m/>
    <m/>
    <n v="0"/>
    <n v="45464"/>
    <m/>
    <m/>
    <m/>
    <m/>
  </r>
  <r>
    <s v="2024"/>
    <x v="0"/>
    <m/>
    <s v="MES-1. Bloqueo de costos proveedor"/>
    <m/>
    <s v="Configuración por proveedor y cuidad para el bloqueo de costo en compras"/>
    <m/>
    <s v="LOCAL"/>
    <s v="Mantenimiento"/>
    <s v="REGIONAL"/>
    <m/>
    <m/>
    <s v="España"/>
    <s v="Jeison Caguana"/>
    <m/>
    <x v="33"/>
    <s v="APROBADO"/>
    <s v="No iniciado"/>
    <m/>
    <s v="Q2"/>
    <m/>
    <s v="BAJA"/>
    <m/>
    <n v="1"/>
    <n v="1"/>
    <m/>
    <m/>
    <m/>
    <m/>
    <m/>
    <x v="2"/>
    <d v="2024-05-15T00:00:00"/>
    <d v="2024-03-22T00:00:00"/>
    <m/>
    <d v="3024-03-26T00:00:00"/>
    <d v="2024-04-02T00:00:00"/>
    <d v="9893-11-28T00:00:00"/>
    <m/>
    <m/>
    <d v="2024-05-15T00:00:00"/>
    <d v="1899-12-30T00:00:00"/>
    <n v="0.25"/>
    <n v="0"/>
    <m/>
    <m/>
    <m/>
    <m/>
  </r>
  <r>
    <s v="2024"/>
    <x v="0"/>
    <m/>
    <s v="Migración de Aplicativo Integracion KFC a SIR Integration"/>
    <m/>
    <s v="Revisión de Zetas Fiscales, validación de Asientos Contables de Ventas de SIR"/>
    <m/>
    <s v="LOCAL"/>
    <s v="Funcionalidades Locales"/>
    <s v="REGIONAL"/>
    <m/>
    <m/>
    <s v="Venezuela"/>
    <s v="Jhustin Vergara"/>
    <m/>
    <x v="19"/>
    <s v="APROBADO"/>
    <s v="No iniciado"/>
    <m/>
    <s v="Q2"/>
    <m/>
    <s v="ALTA"/>
    <m/>
    <n v="5"/>
    <n v="2"/>
    <n v="400"/>
    <m/>
    <n v="4640"/>
    <m/>
    <m/>
    <x v="2"/>
    <d v="2024-05-15T00:00:00"/>
    <d v="2024-07-10T00:00:00"/>
    <e v="#REF!"/>
    <d v="2024-07-10T00:00:00"/>
    <d v="2024-07-24T00:00:00"/>
    <d v="2896-04-04T00:00:00"/>
    <m/>
    <d v="2024-07-24T00:00:00"/>
    <d v="2024-05-15T00:00:00"/>
    <d v="2024-07-24T00:00:00"/>
    <n v="1.25"/>
    <n v="45497"/>
    <m/>
    <m/>
    <m/>
    <m/>
  </r>
  <r>
    <s v="2024"/>
    <x v="3"/>
    <m/>
    <s v="Migración de Wendys al MaxPoint Legacy"/>
    <m/>
    <s v="Migración de Wendys al MaxPoint Legacy"/>
    <m/>
    <s v="LOCAL"/>
    <s v="Funcionalidades Locales"/>
    <s v="REGIONAL"/>
    <m/>
    <m/>
    <s v="Argentina"/>
    <s v="Adrian Gadja"/>
    <m/>
    <x v="22"/>
    <s v="APROBADO"/>
    <s v="No iniciado"/>
    <m/>
    <s v="Q2"/>
    <s v="Compra de nuevos POS"/>
    <s v="MEDIA"/>
    <n v="1"/>
    <n v="10"/>
    <n v="3"/>
    <n v="550"/>
    <m/>
    <n v="16500"/>
    <m/>
    <m/>
    <x v="2"/>
    <d v="2024-06-03T00:00:00"/>
    <d v="2024-06-28T00:00:00"/>
    <e v="#REF!"/>
    <d v="2024-07-01T00:00:00"/>
    <d v="2024-07-05T00:00:00"/>
    <d v="2896-01-13T00:00:00"/>
    <d v="2024-07-08T00:00:00"/>
    <d v="2024-07-12T00:00:00"/>
    <d v="2024-06-03T00:00:00"/>
    <d v="2024-07-12T00:00:00"/>
    <n v="2.5"/>
    <n v="4"/>
    <m/>
    <m/>
    <m/>
    <m/>
  </r>
  <r>
    <s v="2024"/>
    <x v="0"/>
    <m/>
    <s v="Migración del Sistema SIR a última versión"/>
    <m/>
    <s v="Vinculo con los compromisos de la matriz regional"/>
    <m/>
    <s v="REGIONAL"/>
    <s v="Funcionalidades Locales"/>
    <s v="REGIONAL"/>
    <m/>
    <m/>
    <s v="Argentina"/>
    <s v="Adrian Gadja"/>
    <m/>
    <x v="22"/>
    <s v="APROBADO"/>
    <s v="En curso"/>
    <m/>
    <s v="Q1"/>
    <m/>
    <s v="ALTA"/>
    <m/>
    <n v="8"/>
    <n v="1"/>
    <n v="450"/>
    <m/>
    <n v="2500"/>
    <m/>
    <m/>
    <x v="2"/>
    <d v="2023-09-01T00:00:00"/>
    <d v="2024-03-26T00:00:00"/>
    <e v="#REF!"/>
    <m/>
    <m/>
    <d v="1899-12-30T00:00:00"/>
    <m/>
    <m/>
    <d v="2023-09-01T00:00:00"/>
    <d v="1899-12-30T00:00:00"/>
    <n v="2"/>
    <n v="0"/>
    <s v="El proyecto se inciio el año pasado, por decisión del cliente se retoman pruebas este año"/>
    <m/>
    <m/>
    <m/>
  </r>
  <r>
    <s v="2024"/>
    <x v="3"/>
    <m/>
    <s v="Multimoneda en Maxpoint"/>
    <m/>
    <s v="Pantalla de cobro para facilitar el cobro en varias monedas (Actualmente la conversión se realiza de manera manual por fuera del sistema) - Efectivo - Trazabilidad de retiros por cada moneda."/>
    <m/>
    <s v="LOCAL"/>
    <s v="Funcionalidades Locales"/>
    <s v="REGIONAL"/>
    <m/>
    <m/>
    <s v="Venezuela"/>
    <s v="Jhustin Vergara"/>
    <m/>
    <x v="19"/>
    <s v="APROBADO"/>
    <s v="En curso"/>
    <m/>
    <s v="Q1"/>
    <m/>
    <s v="ALTA"/>
    <n v="1"/>
    <n v="4"/>
    <n v="3"/>
    <n v="550"/>
    <m/>
    <n v="6600"/>
    <m/>
    <m/>
    <x v="2"/>
    <d v="2024-03-04T00:00:00"/>
    <d v="2024-03-22T00:00:00"/>
    <e v="#REF!"/>
    <d v="2024-03-25T00:00:00"/>
    <d v="2024-03-29T00:00:00"/>
    <n v="363012"/>
    <d v="2024-04-01T00:00:00"/>
    <d v="2024-04-03T00:00:00"/>
    <d v="2024-03-04T00:00:00"/>
    <d v="2024-04-03T00:00:00"/>
    <n v="1"/>
    <n v="2"/>
    <m/>
    <m/>
    <m/>
    <m/>
  </r>
  <r>
    <s v="2024"/>
    <x v="0"/>
    <m/>
    <s v="MVE-3. Corrección de Ajustes"/>
    <m/>
    <s v="Defecto"/>
    <m/>
    <s v="LOCAL"/>
    <s v="REGIONAL"/>
    <s v="REGIONAL"/>
    <m/>
    <m/>
    <s v="Venezuela"/>
    <s v="Jhustin Vergara"/>
    <m/>
    <x v="32"/>
    <m/>
    <s v="En curso"/>
    <m/>
    <m/>
    <m/>
    <m/>
    <m/>
    <m/>
    <m/>
    <m/>
    <m/>
    <n v="640"/>
    <m/>
    <m/>
    <x v="2"/>
    <d v="2024-04-08T00:00:00"/>
    <m/>
    <e v="#REF!"/>
    <m/>
    <m/>
    <d v="1899-12-30T00:00:00"/>
    <m/>
    <d v="2024-04-17T00:00:00"/>
    <d v="2024-04-23T00:00:00"/>
    <d v="2024-04-30T00:00:00"/>
    <d v="1899-12-30T00:00:00"/>
    <n v="45399"/>
    <m/>
    <m/>
    <m/>
    <m/>
  </r>
  <r>
    <s v="2024"/>
    <x v="0"/>
    <m/>
    <s v="MVE-2. Modificación Reporte Relación de Caja"/>
    <m/>
    <s v="Añadir nueva forma de pago"/>
    <m/>
    <s v="LOCAL"/>
    <s v="REGIONAL"/>
    <s v="REGIONAL"/>
    <m/>
    <m/>
    <s v="Venezuela"/>
    <s v="Jhustin Vergara"/>
    <m/>
    <x v="32"/>
    <m/>
    <s v="Finalizado"/>
    <m/>
    <m/>
    <m/>
    <m/>
    <m/>
    <m/>
    <m/>
    <m/>
    <m/>
    <n v="640"/>
    <m/>
    <m/>
    <x v="2"/>
    <s v="marzo"/>
    <m/>
    <e v="#REF!"/>
    <m/>
    <m/>
    <d v="1899-12-30T00:00:00"/>
    <m/>
    <s v="marzo"/>
    <s v="marzo"/>
    <s v="marzo"/>
    <d v="1899-12-30T00:00:00"/>
    <e v="#VALUE!"/>
    <m/>
    <m/>
    <m/>
    <m/>
  </r>
  <r>
    <s v="2024"/>
    <x v="0"/>
    <m/>
    <s v="MVE-1. Homologación Reporte Inventario"/>
    <m/>
    <s v="Homologar con Ecuador la columna de diferencia en el registro de inventario de SIR (revisar si va directo a soporte)"/>
    <m/>
    <s v="LOCAL"/>
    <s v="Mantenimiento"/>
    <s v="REGIONAL"/>
    <m/>
    <m/>
    <s v="Venezuela"/>
    <s v="Jhustin Vergara"/>
    <m/>
    <x v="19"/>
    <s v="APROBADO"/>
    <s v="No iniciado"/>
    <m/>
    <s v="Q2"/>
    <m/>
    <s v="BAJA"/>
    <m/>
    <n v="2"/>
    <n v="1"/>
    <m/>
    <m/>
    <m/>
    <m/>
    <m/>
    <x v="2"/>
    <d v="2024-05-15T00:00:00"/>
    <d v="2024-07-10T00:00:00"/>
    <d v="2024-07-10T00:00:00"/>
    <d v="2024-07-10T00:00:00"/>
    <d v="2024-07-24T00:00:00"/>
    <d v="2896-04-04T00:00:00"/>
    <m/>
    <m/>
    <m/>
    <m/>
    <n v="0.5"/>
    <n v="0"/>
    <m/>
    <m/>
    <m/>
    <m/>
  </r>
  <r>
    <s v="2023"/>
    <x v="3"/>
    <m/>
    <s v="Mxp - Impresión v2.1 NETCORE"/>
    <m/>
    <s v="Compromiso Matriz Regional  (Ecuador, Colombia, Chile y Argentina)"/>
    <m/>
    <s v="REGIONAL"/>
    <s v="Funcionalidades Regionales"/>
    <s v="REGIONAL"/>
    <m/>
    <m/>
    <s v="Colombia"/>
    <s v="José Fernandez - Darwin Mora"/>
    <m/>
    <x v="23"/>
    <s v="APROBADO"/>
    <s v="En curso"/>
    <m/>
    <s v="Q1"/>
    <m/>
    <s v="ALTA"/>
    <m/>
    <n v="8"/>
    <n v="1"/>
    <n v="625"/>
    <m/>
    <n v="5000"/>
    <m/>
    <m/>
    <x v="2"/>
    <d v="2024-03-04T00:00:00"/>
    <d v="2024-04-11T00:00:00"/>
    <e v="#REF!"/>
    <d v="2024-04-15T00:00:00"/>
    <d v="2024-04-19T00:00:00"/>
    <d v="2894-05-07T00:00:00"/>
    <d v="2024-04-22T00:00:00"/>
    <d v="2024-04-26T00:00:00"/>
    <d v="2024-03-04T00:00:00"/>
    <d v="2024-04-26T00:00:00"/>
    <n v="2"/>
    <n v="4"/>
    <s v="PROYECTO REGIONAL"/>
    <m/>
    <m/>
    <m/>
  </r>
  <r>
    <s v="2023"/>
    <x v="3"/>
    <m/>
    <s v="Mxp - Impresión v2.1 NETCORE"/>
    <m/>
    <s v="Compromiso Matriz Regional  (Ecuador, Colombia, Chile y Argentina)"/>
    <m/>
    <s v="REGIONAL"/>
    <s v="Funcionalidades Regionales"/>
    <s v="REGIONAL"/>
    <m/>
    <m/>
    <s v="Argentina"/>
    <s v="José Fernandez - Darwin Mora"/>
    <m/>
    <x v="22"/>
    <s v="APROBADO"/>
    <s v="No iniciado"/>
    <m/>
    <s v="Q2"/>
    <m/>
    <s v="ALTA"/>
    <n v="1"/>
    <n v="12"/>
    <n v="1"/>
    <n v="550"/>
    <m/>
    <n v="6600"/>
    <m/>
    <m/>
    <x v="2"/>
    <d v="2024-03-04T00:00:00"/>
    <d v="2024-05-10T00:00:00"/>
    <e v="#REF!"/>
    <d v="2024-05-13T00:00:00"/>
    <d v="2024-05-17T00:00:00"/>
    <d v="2894-12-17T00:00:00"/>
    <d v="2024-05-20T00:00:00"/>
    <d v="2024-05-24T00:00:00"/>
    <d v="2024-03-04T00:00:00"/>
    <d v="2024-05-24T00:00:00"/>
    <n v="3"/>
    <n v="4"/>
    <s v="PROYECTO REGIONAL"/>
    <m/>
    <m/>
    <m/>
  </r>
  <r>
    <s v="2024"/>
    <x v="3"/>
    <m/>
    <s v="Mxp - Impresión v2.1 NETCORE"/>
    <m/>
    <s v="de Boletas (Reducción) - Compromiso Matriz Regional  (Ecuador, Colombia, Chile y Argentina)"/>
    <m/>
    <s v="REGIONAL "/>
    <s v="Funcionalidades Locales"/>
    <s v="REGIONAL"/>
    <m/>
    <m/>
    <s v="Chile"/>
    <s v="Davis Nuñez"/>
    <m/>
    <x v="21"/>
    <s v="APROBADO"/>
    <s v="En curso"/>
    <m/>
    <s v="Q2"/>
    <s v="Dependencia de una impresora con el modelo, confirmar el inventario"/>
    <s v="ALTA"/>
    <n v="1"/>
    <n v="1"/>
    <n v="12"/>
    <n v="625"/>
    <m/>
    <n v="7500"/>
    <m/>
    <m/>
    <x v="2"/>
    <d v="2024-04-01T00:00:00"/>
    <d v="2024-05-31T00:00:00"/>
    <e v="#REF!"/>
    <d v="2024-06-03T00:00:00"/>
    <d v="2024-06-07T00:00:00"/>
    <d v="2895-06-03T00:00:00"/>
    <d v="2024-06-10T00:00:00"/>
    <d v="2024-06-21T00:00:00"/>
    <d v="2024-04-01T00:00:00"/>
    <d v="2024-06-21T00:00:00"/>
    <n v="0.25"/>
    <n v="11"/>
    <m/>
    <m/>
    <m/>
    <m/>
  </r>
  <r>
    <s v="2023"/>
    <x v="3"/>
    <m/>
    <s v="Nueva Versión Turnero v.3"/>
    <m/>
    <s v="Mxp Delivery - Turneros v3.0 _x000a__x000a_Compromiso Matriz Regional  (Chile Argentina)"/>
    <m/>
    <s v="REGIONAL"/>
    <s v="Funcionalidades Regionales"/>
    <s v="REGIONAL"/>
    <m/>
    <m/>
    <s v="Argentina"/>
    <s v="Adrian Gadja"/>
    <m/>
    <x v="22"/>
    <s v="APROBADO"/>
    <s v="Finalizado"/>
    <m/>
    <s v="Q1"/>
    <s v="programadores en Angular"/>
    <s v="MEDIA"/>
    <n v="1"/>
    <n v="4"/>
    <n v="1"/>
    <n v="550"/>
    <m/>
    <n v="2200"/>
    <m/>
    <m/>
    <x v="2"/>
    <d v="2024-03-04T00:00:00"/>
    <d v="2024-03-15T00:00:00"/>
    <e v="#REF!"/>
    <d v="2024-03-18T00:00:00"/>
    <d v="2024-03-22T00:00:00"/>
    <d v="2893-09-25T00:00:00"/>
    <d v="2024-03-25T00:00:00"/>
    <d v="2024-03-29T00:00:00"/>
    <d v="2024-03-04T00:00:00"/>
    <d v="2024-03-29T00:00:00"/>
    <n v="1"/>
    <n v="4"/>
    <s v="PROYECTO REGIONAL"/>
    <m/>
    <m/>
    <m/>
  </r>
  <r>
    <s v="2023"/>
    <x v="3"/>
    <m/>
    <s v="Mxp Delivery- Core Integraciones Ultimas Millas - Shipday"/>
    <m/>
    <s v="Mxp Delivery- Core Integraciones Ultimas Millas_x000a__x000a_Compromiso Matriz Regional  (Argentina"/>
    <m/>
    <s v="REGIONAL"/>
    <s v="Funcionalidades Regionales"/>
    <s v="REGIONAL"/>
    <m/>
    <m/>
    <s v="Argentina"/>
    <s v="Adrian Gadja"/>
    <m/>
    <x v="22"/>
    <s v="APROBADO"/>
    <s v="No iniciado"/>
    <m/>
    <s v="Q2"/>
    <m/>
    <s v="MEDIA"/>
    <n v="1"/>
    <n v="8"/>
    <n v="1"/>
    <n v="550"/>
    <m/>
    <n v="4400"/>
    <m/>
    <m/>
    <x v="2"/>
    <d v="2024-04-01T00:00:00"/>
    <d v="2024-05-10T00:00:00"/>
    <e v="#REF!"/>
    <d v="2024-05-13T00:00:00"/>
    <d v="2024-05-17T00:00:00"/>
    <d v="2894-12-17T00:00:00"/>
    <d v="2024-05-20T00:00:00"/>
    <d v="2024-05-24T00:00:00"/>
    <d v="2024-04-01T00:00:00"/>
    <d v="2024-05-24T00:00:00"/>
    <n v="2"/>
    <n v="4"/>
    <s v="PROYECTO REGIONAL"/>
    <m/>
    <m/>
    <m/>
  </r>
  <r>
    <s v="2024"/>
    <x v="3"/>
    <m/>
    <s v="Nueva Versión Turnero v.3"/>
    <m/>
    <s v="Desarrollo de nueva versión de turnero para solucionar problemas en el counter (ligado con la implementación de KDS)"/>
    <m/>
    <s v="REGIONAL"/>
    <s v="Funcionalidades Regionales"/>
    <s v="REGIONAL"/>
    <m/>
    <m/>
    <s v="Colombia"/>
    <s v="William Villegas"/>
    <s v="william.villegas@kfc.co"/>
    <x v="23"/>
    <s v="APROBADO"/>
    <s v="No iniciado"/>
    <m/>
    <s v="Q2"/>
    <m/>
    <s v="MEDIA"/>
    <n v="1"/>
    <n v="4"/>
    <n v="1"/>
    <n v="625"/>
    <m/>
    <n v="2500"/>
    <m/>
    <m/>
    <x v="2"/>
    <d v="2024-04-01T00:00:00"/>
    <d v="2024-04-12T00:00:00"/>
    <e v="#REF!"/>
    <d v="2024-04-15T00:00:00"/>
    <d v="2024-04-19T00:00:00"/>
    <d v="2894-05-07T00:00:00"/>
    <d v="2024-04-22T00:00:00"/>
    <d v="2024-04-26T00:00:00"/>
    <d v="2024-04-01T00:00:00"/>
    <d v="2024-04-26T00:00:00"/>
    <n v="1"/>
    <n v="4"/>
    <m/>
    <m/>
    <m/>
    <m/>
  </r>
  <r>
    <s v="2023"/>
    <x v="3"/>
    <m/>
    <s v="Nueva Versión Turnero v.3"/>
    <m/>
    <s v="Compromiso Matriz Regional  (Chile Argentina)"/>
    <m/>
    <s v="REGIONAL"/>
    <s v="Funcionalidades Regionales"/>
    <s v="REGIONAL"/>
    <m/>
    <m/>
    <s v="Chile"/>
    <s v="Davis Nuñez / Adrian Gadja"/>
    <m/>
    <x v="21"/>
    <s v="APROBADO"/>
    <s v="Finalizado"/>
    <m/>
    <s v="Q1"/>
    <s v="programadores en Angular"/>
    <s v="MEDIA"/>
    <n v="1"/>
    <n v="3"/>
    <n v="1"/>
    <n v="625"/>
    <m/>
    <n v="1875"/>
    <m/>
    <m/>
    <x v="2"/>
    <d v="2024-02-05T00:00:00"/>
    <d v="2024-02-23T00:00:00"/>
    <e v="#REF!"/>
    <d v="2024-02-26T00:00:00"/>
    <d v="2024-03-01T00:00:00"/>
    <d v="2893-04-10T00:00:00"/>
    <d v="2024-03-04T00:00:00"/>
    <d v="2024-03-08T00:00:00"/>
    <d v="2024-02-05T00:00:00"/>
    <d v="2024-03-08T00:00:00"/>
    <n v="0.75"/>
    <n v="4"/>
    <s v="PROYECTO REGIONAL"/>
    <m/>
    <m/>
    <m/>
  </r>
  <r>
    <s v="2024"/>
    <x v="3"/>
    <m/>
    <s v="Nuevos procesos en el flujo de Facturación."/>
    <m/>
    <s v="El negocio requiere añadir a su flujo de facturación el incremento del secuencial de facturas simplificadas centralizado por empresa."/>
    <m/>
    <s v="LOCAL"/>
    <m/>
    <s v="REGIONAL"/>
    <m/>
    <m/>
    <s v="España"/>
    <s v="Jeison Caguana"/>
    <m/>
    <x v="33"/>
    <s v="APROBADO"/>
    <s v="No iniciado"/>
    <m/>
    <s v="Q1"/>
    <m/>
    <s v="ALTA"/>
    <n v="1"/>
    <n v="4"/>
    <n v="1"/>
    <n v="625"/>
    <m/>
    <n v="2500"/>
    <m/>
    <m/>
    <x v="2"/>
    <d v="2024-03-03T00:00:00"/>
    <d v="2024-03-15T00:00:00"/>
    <e v="#REF!"/>
    <d v="2024-03-18T00:00:00"/>
    <d v="2024-03-22T00:00:00"/>
    <d v="2893-09-25T00:00:00"/>
    <d v="2024-03-25T00:00:00"/>
    <d v="2024-03-29T00:00:00"/>
    <d v="2024-03-03T00:00:00"/>
    <d v="2024-03-29T00:00:00"/>
    <n v="1"/>
    <n v="4"/>
    <m/>
    <m/>
    <m/>
    <m/>
  </r>
  <r>
    <s v="2024"/>
    <x v="3"/>
    <m/>
    <s v="Nuevos Reportes Maxpoint"/>
    <m/>
    <s v="Reportes a pedido de auditoría"/>
    <m/>
    <s v="LOCAL"/>
    <s v="Funcionalidades Locales"/>
    <s v="REGIONAL"/>
    <m/>
    <m/>
    <s v="Colombia"/>
    <s v="William Villegas"/>
    <s v="william.villegas@kfc.co"/>
    <x v="23"/>
    <s v="APROBADO"/>
    <s v="No iniciado"/>
    <m/>
    <s v="Q2"/>
    <m/>
    <s v="BAJA"/>
    <n v="1"/>
    <n v="4"/>
    <n v="2"/>
    <n v="625"/>
    <m/>
    <n v="5000"/>
    <m/>
    <m/>
    <x v="2"/>
    <d v="2024-04-01T00:00:00"/>
    <d v="2024-04-12T00:00:00"/>
    <e v="#REF!"/>
    <d v="2024-04-15T00:00:00"/>
    <d v="2024-04-19T00:00:00"/>
    <d v="2894-05-07T00:00:00"/>
    <d v="2024-04-22T00:00:00"/>
    <d v="2024-04-26T00:00:00"/>
    <d v="2024-04-01T00:00:00"/>
    <d v="2024-04-26T00:00:00"/>
    <d v="1899-12-31T00:00:00"/>
    <n v="4"/>
    <m/>
    <m/>
    <m/>
    <m/>
  </r>
  <r>
    <s v="2024"/>
    <x v="2"/>
    <m/>
    <s v="Plataforma Elearning: Paises Chile"/>
    <m/>
    <s v="Nuevo Requerimiento - Levantar"/>
    <m/>
    <s v="LOCAL"/>
    <s v="Funcionalidades Locales"/>
    <s v="REGIONAL"/>
    <m/>
    <m/>
    <s v="Chile"/>
    <s v="Davis Nuñez"/>
    <m/>
    <x v="21"/>
    <s v="APROBADO"/>
    <s v="No iniciado"/>
    <s v="Q4"/>
    <s v="Q4"/>
    <s v="Proyecto Elearning"/>
    <s v="ALTA"/>
    <m/>
    <n v="8"/>
    <n v="2"/>
    <n v="550"/>
    <m/>
    <n v="8800"/>
    <n v="364"/>
    <m/>
    <x v="2"/>
    <d v="2024-05-20T00:00:00"/>
    <d v="2024-05-27T00:00:00"/>
    <e v="#REF!"/>
    <d v="2024-11-01T00:00:00"/>
    <d v="2024-11-30T00:00:00"/>
    <d v="2898-10-18T00:00:00"/>
    <d v="2024-11-30T00:00:00"/>
    <d v="2024-12-15T00:00:00"/>
    <d v="2024-05-20T00:00:00"/>
    <d v="2024-12-15T00:00:00"/>
    <n v="2"/>
    <n v="15"/>
    <m/>
    <m/>
    <m/>
    <m/>
  </r>
  <r>
    <s v="2024"/>
    <x v="3"/>
    <m/>
    <s v="Propinas desde el pinpad"/>
    <m/>
    <s v="Nuevo Requerimiento (Ya levantado a Juan Daniel, documentación adjunta)"/>
    <m/>
    <s v="LOCAL"/>
    <s v="Funcionalidades Locales"/>
    <s v="REGIONAL"/>
    <m/>
    <m/>
    <s v="Chile"/>
    <s v="Davis Nuñez"/>
    <m/>
    <x v="21"/>
    <s v="APROBADO"/>
    <s v="En curso"/>
    <m/>
    <s v="Q1"/>
    <s v="Ambientes de desarrollo, y pinpad de test."/>
    <s v="MEDIA"/>
    <n v="1"/>
    <n v="3"/>
    <n v="1"/>
    <n v="625"/>
    <m/>
    <n v="1875"/>
    <m/>
    <m/>
    <x v="2"/>
    <d v="2024-03-04T00:00:00"/>
    <d v="2024-03-15T00:00:00"/>
    <e v="#REF!"/>
    <d v="2024-03-18T00:00:00"/>
    <d v="2024-03-22T00:00:00"/>
    <d v="2893-09-25T00:00:00"/>
    <d v="2024-03-25T00:00:00"/>
    <d v="2024-03-29T00:00:00"/>
    <d v="2024-03-04T00:00:00"/>
    <d v="2024-03-29T00:00:00"/>
    <n v="0.75"/>
    <n v="4"/>
    <m/>
    <m/>
    <m/>
    <m/>
  </r>
  <r>
    <s v="2023"/>
    <x v="3"/>
    <m/>
    <s v="Recepciones de Pedidos V3 - Monitor  de transacciones (Tracking) de Pedidos"/>
    <m/>
    <s v="Herramienta para CDC que permite ver todos los pedidos de domicilio, incluye tranking y ubicación del motorizado. no supero el piloto por carga "/>
    <m/>
    <s v="LOCAL"/>
    <s v="Funcionalidades Regionales"/>
    <s v="REGIONAL"/>
    <m/>
    <m/>
    <s v="Colombia"/>
    <s v="William Villegas"/>
    <s v="william.villegas@kfc.co"/>
    <x v="23"/>
    <s v="APROBADO"/>
    <s v="En curso"/>
    <m/>
    <s v="Q1"/>
    <m/>
    <s v="ALTA"/>
    <n v="1"/>
    <n v="4"/>
    <n v="2"/>
    <n v="625"/>
    <m/>
    <n v="5000"/>
    <m/>
    <m/>
    <x v="2"/>
    <d v="2023-12-17T00:00:00"/>
    <d v="2024-02-02T00:00:00"/>
    <e v="#REF!"/>
    <d v="2024-02-04T00:00:00"/>
    <d v="2024-02-09T00:00:00"/>
    <d v="2892-10-17T00:00:00"/>
    <d v="2024-02-11T00:00:00"/>
    <d v="2024-02-15T00:00:00"/>
    <d v="2023-12-17T00:00:00"/>
    <d v="2024-02-15T00:00:00"/>
    <n v="1"/>
    <n v="4"/>
    <m/>
    <m/>
    <m/>
    <m/>
  </r>
  <r>
    <s v="2024"/>
    <x v="3"/>
    <m/>
    <s v="Retiros Motorizados Multimoneda"/>
    <m/>
    <s v="control de retiros solicitados con distintas formas de pago desde delivery."/>
    <m/>
    <s v="LOCAL"/>
    <s v="Funcionalidades Locales"/>
    <s v="REGIONAL"/>
    <m/>
    <m/>
    <s v="Venezuela"/>
    <s v="Jhustin Vergara"/>
    <m/>
    <x v="19"/>
    <s v="APROBADO"/>
    <s v="No iniciado"/>
    <m/>
    <s v="Q2"/>
    <s v="Se ejecutaría si el retiro de motorizados regional no cumple con la operación multimoneda de Venezuela"/>
    <s v="MEDIA"/>
    <n v="1"/>
    <n v="4"/>
    <n v="2"/>
    <n v="550"/>
    <m/>
    <n v="4400"/>
    <m/>
    <m/>
    <x v="2"/>
    <m/>
    <m/>
    <e v="#REF!"/>
    <d v="2024-05-06T00:00:00"/>
    <d v="2024-05-24T00:00:00"/>
    <n v="363362"/>
    <d v="2024-05-27T00:00:00"/>
    <d v="2024-05-29T00:00:00"/>
    <d v="1899-12-30T00:00:00"/>
    <d v="2024-05-29T00:00:00"/>
    <d v="1899-12-31T00:00:00"/>
    <n v="2"/>
    <m/>
    <m/>
    <m/>
    <m/>
  </r>
  <r>
    <s v="2024"/>
    <x v="4"/>
    <m/>
    <s v="RollOut Chile - Logistica"/>
    <m/>
    <s v="Implementar SAP Logistica Chile"/>
    <m/>
    <s v="LOCAL"/>
    <s v="Funcionalidades Locales"/>
    <s v="REGIONAL"/>
    <m/>
    <m/>
    <s v="Chile"/>
    <s v="Martin Iparraguirre"/>
    <m/>
    <x v="21"/>
    <s v="IDENTIFICADO"/>
    <s v="No iniciado"/>
    <s v="Q4"/>
    <s v="Q4"/>
    <m/>
    <s v="ALTA"/>
    <n v="1"/>
    <m/>
    <m/>
    <m/>
    <m/>
    <n v="0"/>
    <m/>
    <m/>
    <x v="2"/>
    <d v="2024-09-07T00:00:00"/>
    <d v="2025-02-28T00:00:00"/>
    <n v="174"/>
    <d v="2025-03-01T00:00:00"/>
    <d v="2025-03-31T00:00:00"/>
    <n v="30"/>
    <d v="2025-03-01T00:00:00"/>
    <d v="2025-03-31T00:00:00"/>
    <d v="2024-09-07T00:00:00"/>
    <d v="2025-03-31T00:00:00"/>
    <n v="0"/>
    <n v="30"/>
    <m/>
    <m/>
    <m/>
    <m/>
  </r>
  <r>
    <s v="2024"/>
    <x v="4"/>
    <m/>
    <s v="RollOut Venezuela"/>
    <m/>
    <s v="Implementar SAP en Venezuela"/>
    <m/>
    <s v="LOCAL"/>
    <s v="Funcionalidades Locales"/>
    <s v="REGIONAL"/>
    <m/>
    <m/>
    <s v="Venezuela"/>
    <s v="Antonio Sampayo"/>
    <m/>
    <x v="19"/>
    <s v="APROBADO"/>
    <s v="No iniciado"/>
    <s v="Q2"/>
    <s v="Q2"/>
    <m/>
    <s v="ALTA"/>
    <n v="1"/>
    <m/>
    <m/>
    <m/>
    <m/>
    <n v="0"/>
    <m/>
    <m/>
    <x v="2"/>
    <d v="2024-03-07T00:00:00"/>
    <d v="2024-06-28T00:00:00"/>
    <n v="113"/>
    <d v="2024-07-01T00:00:00"/>
    <d v="2024-07-31T00:00:00"/>
    <n v="30"/>
    <d v="2024-07-01T00:00:00"/>
    <d v="2024-07-31T00:00:00"/>
    <d v="2024-03-07T00:00:00"/>
    <d v="2024-07-31T00:00:00"/>
    <d v="1899-12-30T00:00:00"/>
    <n v="30"/>
    <m/>
    <m/>
    <m/>
    <m/>
  </r>
  <r>
    <s v="2024"/>
    <x v="4"/>
    <m/>
    <s v="SAP Disaster Recovery"/>
    <m/>
    <s v="CONTAR CON UN PLAN DE RECUPERACION ANTE DESASTERES Y PLAN DE CONTINUIDAD DE NEGOCIO "/>
    <m/>
    <s v="REGIONAL"/>
    <s v="Implementar DRP / BCP SAP Países"/>
    <s v="REGIONAL"/>
    <m/>
    <m/>
    <s v="Chile"/>
    <m/>
    <m/>
    <x v="21"/>
    <s v="APROBADO"/>
    <s v="En curso"/>
    <s v="Q1"/>
    <s v="Q3"/>
    <m/>
    <s v="ALTA"/>
    <n v="0.05"/>
    <n v="12"/>
    <n v="10"/>
    <n v="1221"/>
    <m/>
    <n v="7326"/>
    <n v="6769.4000000000005"/>
    <m/>
    <x v="2"/>
    <d v="2024-02-21T00:00:00"/>
    <d v="2024-05-21T00:00:00"/>
    <n v="90"/>
    <d v="2024-03-21T00:00:00"/>
    <d v="2024-03-28T00:00:00"/>
    <n v="7"/>
    <d v="2024-03-21T00:00:00"/>
    <d v="2024-03-28T00:00:00"/>
    <d v="2024-02-21T00:00:00"/>
    <d v="2024-03-28T00:00:00"/>
    <n v="3"/>
    <n v="7"/>
    <s v="PROYECTO REGIONAL"/>
    <m/>
    <m/>
    <m/>
  </r>
  <r>
    <s v="2024"/>
    <x v="4"/>
    <m/>
    <s v="SAP Disaster Recovery"/>
    <m/>
    <s v="CONTAR CON UN PLAN DE RECUPERACION ANTE DESASTERES Y PLAN DE CONTINUIDAD DE NEGOCIO "/>
    <m/>
    <s v="REGIONAL"/>
    <s v="Implementar DRP / BCP SAP Países"/>
    <s v="REGIONAL"/>
    <m/>
    <m/>
    <s v="Colombia"/>
    <m/>
    <m/>
    <x v="23"/>
    <s v="APROBADO"/>
    <s v="En curso"/>
    <s v="Q1"/>
    <s v="Q3"/>
    <m/>
    <s v="ALTA"/>
    <n v="0.15"/>
    <n v="12"/>
    <n v="10"/>
    <n v="1221"/>
    <m/>
    <n v="21978"/>
    <n v="20308.2"/>
    <m/>
    <x v="2"/>
    <d v="2024-02-21T00:00:00"/>
    <d v="2024-05-21T00:00:00"/>
    <n v="90"/>
    <d v="2024-03-21T00:00:00"/>
    <d v="2024-03-28T00:00:00"/>
    <n v="7"/>
    <d v="2024-03-21T00:00:00"/>
    <d v="2024-03-28T00:00:00"/>
    <d v="2024-02-21T00:00:00"/>
    <d v="2024-03-28T00:00:00"/>
    <n v="3"/>
    <n v="7"/>
    <s v="PROYECTO REGIONAL"/>
    <m/>
    <m/>
    <m/>
  </r>
  <r>
    <s v="2024"/>
    <x v="2"/>
    <m/>
    <s v="Sistema Aprobaciones OCs: Fase 1 "/>
    <m/>
    <s v="Nuevo Requerimiento"/>
    <m/>
    <s v="LOCAL"/>
    <s v="Funcionalidades Locales"/>
    <s v="REGIONAL"/>
    <m/>
    <m/>
    <s v="Chile"/>
    <s v="Davis Nuñez"/>
    <m/>
    <x v="21"/>
    <s v="APROBADO"/>
    <s v="En curso"/>
    <s v="Q1"/>
    <s v="Q1"/>
    <s v="N/A"/>
    <s v="BAJA"/>
    <m/>
    <n v="10"/>
    <n v="1"/>
    <n v="550"/>
    <m/>
    <n v="5500"/>
    <m/>
    <m/>
    <x v="2"/>
    <d v="2024-01-14T00:00:00"/>
    <d v="2024-03-14T00:00:00"/>
    <e v="#REF!"/>
    <d v="2024-03-14T00:00:00"/>
    <d v="2024-03-28T00:00:00"/>
    <d v="2893-09-03T00:00:00"/>
    <d v="2024-03-28T00:00:00"/>
    <d v="2024-04-07T00:00:00"/>
    <d v="2024-01-14T00:00:00"/>
    <d v="2024-04-07T00:00:00"/>
    <n v="2.5"/>
    <n v="10"/>
    <m/>
    <m/>
    <m/>
    <m/>
  </r>
  <r>
    <s v="2024"/>
    <x v="2"/>
    <m/>
    <s v="Sistema de Conciliaciones: Depósitos (SIR-Bancos Chile)"/>
    <m/>
    <s v="Conciliacion de depositos de Tiendas vs lo Reflejado en Bancos"/>
    <m/>
    <s v="LOCAL"/>
    <s v="Funcionalidades Locales"/>
    <s v="REGIONAL"/>
    <m/>
    <m/>
    <s v="Chile"/>
    <s v="Davis Nuñez"/>
    <m/>
    <x v="21"/>
    <s v="APROBADO"/>
    <s v="No iniciado"/>
    <s v="Q2"/>
    <s v="Q2"/>
    <s v="N/A"/>
    <s v="MEDIA"/>
    <m/>
    <n v="12"/>
    <n v="1"/>
    <n v="550"/>
    <m/>
    <n v="7240"/>
    <m/>
    <m/>
    <x v="2"/>
    <d v="2024-07-01T00:00:00"/>
    <d v="2024-08-31T00:00:00"/>
    <e v="#REF!"/>
    <d v="2024-08-31T00:00:00"/>
    <d v="2024-09-07T00:00:00"/>
    <d v="2897-05-18T00:00:00"/>
    <d v="2024-09-07T00:00:00"/>
    <d v="2024-09-14T00:00:00"/>
    <d v="2024-07-01T00:00:00"/>
    <d v="2024-09-14T00:00:00"/>
    <n v="3"/>
    <n v="7"/>
    <m/>
    <m/>
    <m/>
    <m/>
  </r>
  <r>
    <s v="2024"/>
    <x v="2"/>
    <m/>
    <s v="Sistema de Conciliaciones: Facturas Electronica vs Venta"/>
    <m/>
    <s v="Consumo al Servicio de ACEPTA para Sacar las Facturas y hacer la comparación contra la data de Venta de MXP o BI Se necesita apoyo de ERP para incluir Bots y jalar la data de ACEPTA"/>
    <m/>
    <s v="LOCAL"/>
    <s v="Funcionalidades Locales"/>
    <s v="REGIONAL"/>
    <m/>
    <m/>
    <s v="Chile"/>
    <s v="Davis Nuñez"/>
    <m/>
    <x v="21"/>
    <s v="APROBADO"/>
    <s v="No iniciado"/>
    <s v="Q4"/>
    <s v="Q3"/>
    <s v="Sistema de Conciliaciones"/>
    <s v="MEDIA"/>
    <m/>
    <n v="12"/>
    <n v="1"/>
    <n v="550"/>
    <m/>
    <n v="7240"/>
    <m/>
    <m/>
    <x v="2"/>
    <d v="2024-08-01T00:00:00"/>
    <d v="2024-10-14T00:00:00"/>
    <d v="2024-10-14T00:00:00"/>
    <d v="2024-10-21T00:00:00"/>
    <d v="2024-10-21T00:00:00"/>
    <d v="2024-11-01T00:00:00"/>
    <d v="2024-10-21T00:00:00"/>
    <d v="2024-11-01T00:00:00"/>
    <d v="2024-08-01T00:00:00"/>
    <d v="2024-11-01T00:00:00"/>
    <n v="3"/>
    <n v="11"/>
    <m/>
    <m/>
    <m/>
    <m/>
  </r>
  <r>
    <s v="2024"/>
    <x v="2"/>
    <m/>
    <s v="Sistema de Conciliaciones: Switch Transaccional vs Venta"/>
    <m/>
    <s v="Transbank es el banco de Tarjetas: Hassar Intermediario de Switch Transaccional de Chile contra SIR y BI"/>
    <m/>
    <s v="LOCAL"/>
    <s v="Funcionalidades Locales"/>
    <s v="REGIONAL"/>
    <m/>
    <m/>
    <s v="Chile"/>
    <s v="Davis Nuñez"/>
    <m/>
    <x v="21"/>
    <s v="APROBADO"/>
    <s v="No iniciado"/>
    <s v="Q3"/>
    <s v="Q3"/>
    <s v="Sistema de Conciliaciones"/>
    <s v="ALTA"/>
    <m/>
    <n v="12"/>
    <n v="1"/>
    <n v="550"/>
    <m/>
    <n v="7240"/>
    <m/>
    <m/>
    <x v="2"/>
    <d v="2024-08-01T00:00:00"/>
    <d v="2024-10-14T00:00:00"/>
    <e v="#REF!"/>
    <d v="2024-10-14T00:00:00"/>
    <d v="2024-10-21T00:00:00"/>
    <d v="2898-05-05T00:00:00"/>
    <d v="2024-10-21T00:00:00"/>
    <d v="2024-11-01T00:00:00"/>
    <d v="2024-08-01T00:00:00"/>
    <d v="2024-11-01T00:00:00"/>
    <n v="3"/>
    <n v="11"/>
    <m/>
    <m/>
    <m/>
    <m/>
  </r>
  <r>
    <s v="2024"/>
    <x v="3"/>
    <m/>
    <s v="Topes en Descuentos"/>
    <m/>
    <s v="Validación para el descuentos por colaborador, se valida con el serviciowebsir. (validar el total por mes)"/>
    <m/>
    <s v="LOCAL"/>
    <s v="Funcionalidades Regionales"/>
    <s v="REGIONAL"/>
    <m/>
    <m/>
    <s v="Chile"/>
    <s v="Davis Nuñez"/>
    <m/>
    <x v="21"/>
    <s v="APROBADO"/>
    <s v="No iniciado"/>
    <m/>
    <s v="Q3"/>
    <s v="Dependencia campo en SIR de validación, enpoints consulta y actualización._x000a_Confirmar anulación?"/>
    <s v="MEDIA"/>
    <n v="1"/>
    <n v="3"/>
    <n v="1"/>
    <n v="625"/>
    <m/>
    <n v="1875"/>
    <m/>
    <m/>
    <x v="2"/>
    <d v="2024-07-01T00:00:00"/>
    <d v="2024-07-12T00:00:00"/>
    <e v="#REF!"/>
    <d v="2024-07-15T00:00:00"/>
    <d v="2024-07-19T00:00:00"/>
    <d v="2896-05-04T00:00:00"/>
    <d v="2024-07-22T00:00:00"/>
    <d v="2024-07-26T00:00:00"/>
    <d v="2024-07-01T00:00:00"/>
    <d v="2024-07-26T00:00:00"/>
    <n v="0.75"/>
    <n v="4"/>
    <m/>
    <m/>
    <m/>
    <m/>
  </r>
  <r>
    <s v="2024"/>
    <x v="3"/>
    <m/>
    <s v="Venta IRSA"/>
    <m/>
    <s v="Venta IRSA"/>
    <m/>
    <s v="LOCAL"/>
    <s v="Funcionalidades Locales"/>
    <s v="REGIONAL"/>
    <m/>
    <m/>
    <s v="Argentina"/>
    <s v="Adrian Gadja"/>
    <m/>
    <x v="22"/>
    <s v="APROBADO"/>
    <s v="En curso"/>
    <m/>
    <s v="Q1"/>
    <m/>
    <s v="MEDIA"/>
    <n v="1"/>
    <n v="5"/>
    <n v="1"/>
    <n v="550"/>
    <m/>
    <n v="2750"/>
    <m/>
    <m/>
    <x v="2"/>
    <d v="2024-03-04T00:00:00"/>
    <d v="2024-05-10T00:00:00"/>
    <e v="#REF!"/>
    <d v="2024-05-13T00:00:00"/>
    <d v="2024-05-17T00:00:00"/>
    <d v="2894-12-17T00:00:00"/>
    <d v="2024-05-20T00:00:00"/>
    <d v="2024-05-24T00:00:00"/>
    <d v="2024-03-04T00:00:00"/>
    <d v="2024-05-24T00:00:00"/>
    <d v="1899-12-31T06:00:00"/>
    <n v="4"/>
    <m/>
    <m/>
    <m/>
    <m/>
  </r>
  <r>
    <s v="2024"/>
    <x v="3"/>
    <m/>
    <s v="Ventas de Producto por formas de pago"/>
    <m/>
    <s v="Nuevo Requerimiento (Ya levantado a Juan Daniel, documentación adjunta)_x000a_"/>
    <m/>
    <s v="LOCAL"/>
    <s v="Funcionalidades Regionales"/>
    <s v="REGIONAL"/>
    <m/>
    <m/>
    <s v="Chile"/>
    <s v="Davis Nuñez"/>
    <m/>
    <x v="21"/>
    <s v="APROBADO"/>
    <s v="No iniciado"/>
    <m/>
    <s v="Q2"/>
    <s v="Ambiente de pruebas de EDENRED."/>
    <s v="MEDIA"/>
    <n v="1"/>
    <n v="3"/>
    <n v="1"/>
    <n v="625"/>
    <m/>
    <n v="1875"/>
    <m/>
    <m/>
    <x v="2"/>
    <d v="2024-06-03T00:00:00"/>
    <d v="2024-06-14T00:00:00"/>
    <e v="#REF!"/>
    <d v="2024-06-17T00:00:00"/>
    <d v="2024-06-21T00:00:00"/>
    <d v="2895-09-23T00:00:00"/>
    <d v="2024-06-24T00:00:00"/>
    <d v="2024-06-28T00:00:00"/>
    <d v="2024-06-03T00:00:00"/>
    <d v="2024-06-28T00:00:00"/>
    <n v="0.75"/>
    <n v="4"/>
    <m/>
    <m/>
    <m/>
    <m/>
  </r>
  <r>
    <s v="2024"/>
    <x v="1"/>
    <s v="API Inyección v3"/>
    <s v="Integraciones Automáticas - Canales Propios"/>
    <s v="MXP LEGACY_x000a_TRADE"/>
    <s v="Compromiso Matriz Regional  (Argentina)_x000a_ -  Web DUNA _x000a_Cambios de Estado"/>
    <s v="MEDIA"/>
    <s v="REGIONAL"/>
    <s v="Funcionalidades Locales"/>
    <s v="Transformación Digital"/>
    <m/>
    <m/>
    <s v="Argentina"/>
    <s v="Daniel Barreno"/>
    <s v="daniel.barreno@kfc.com.ec"/>
    <x v="1"/>
    <s v="APROBADO"/>
    <s v="No iniciado"/>
    <m/>
    <s v="Q2"/>
    <m/>
    <s v="MEDIA"/>
    <n v="1"/>
    <n v="2"/>
    <n v="1"/>
    <n v="550"/>
    <m/>
    <n v="1740"/>
    <m/>
    <m/>
    <x v="0"/>
    <d v="2024-03-18T00:00:00"/>
    <d v="2024-03-18T00:00:00"/>
    <n v="0"/>
    <d v="2024-03-18T00:00:00"/>
    <d v="2024-03-25T00:00:00"/>
    <n v="362959"/>
    <d v="2024-03-25T00:00:00"/>
    <d v="2024-04-01T00:00:00"/>
    <d v="2024-05-01T00:00:00"/>
    <d v="2024-05-15T00:00:00"/>
    <n v="0.5"/>
    <n v="7"/>
    <s v="PROYECTO REGIONAL"/>
    <m/>
    <m/>
    <m/>
  </r>
  <r>
    <s v="2024"/>
    <x v="4"/>
    <m/>
    <s v="Generar  Orden de trabajo Directa a SAP desde SIR locales."/>
    <m/>
    <s v="Actualmente , el locla gerena requerimiento atreves de SIR y luego la administradora de mantenimiento  trata este requerimiento y genrea Orden de trabajo en SAP, generando doble trabajo en la apertura y en el cierre de orden y requerimiento . Impacto: 4000 ordenes 2 min = 133h/mes"/>
    <m/>
    <m/>
    <m/>
    <m/>
    <m/>
    <m/>
    <s v="Ecuador"/>
    <s v="Miguel Lincango"/>
    <m/>
    <x v="8"/>
    <s v="IDENTIFICADO"/>
    <s v="No iniciado"/>
    <m/>
    <m/>
    <m/>
    <m/>
    <m/>
    <m/>
    <m/>
    <m/>
    <m/>
    <n v="640"/>
    <m/>
    <m/>
    <x v="2"/>
    <m/>
    <m/>
    <e v="#REF!"/>
    <m/>
    <m/>
    <d v="1899-12-30T00:00:00"/>
    <m/>
    <m/>
    <d v="1899-12-30T00:00:00"/>
    <d v="1899-12-30T00:00:00"/>
    <d v="1899-12-30T00:00:00"/>
    <n v="0"/>
    <s v="Vinculo con SIR"/>
    <m/>
    <m/>
    <m/>
  </r>
  <r>
    <s v="2024"/>
    <x v="0"/>
    <m/>
    <s v="Generar pedido automatico de Consumibles que se disponen en Planta "/>
    <m/>
    <s v="Actualmente  el pedido es de manera Manual y dependemos de una persona para que sean subidos a una orden de trabajo, de lo contrario no se despachan, y el objetivo es automatizar para despacho inmediato ."/>
    <m/>
    <m/>
    <m/>
    <m/>
    <m/>
    <m/>
    <s v="Ecuador"/>
    <m/>
    <m/>
    <x v="32"/>
    <s v="IDENTIFICADO"/>
    <s v="No iniciado"/>
    <m/>
    <m/>
    <m/>
    <m/>
    <m/>
    <m/>
    <m/>
    <m/>
    <m/>
    <n v="640"/>
    <m/>
    <m/>
    <x v="2"/>
    <m/>
    <m/>
    <e v="#REF!"/>
    <m/>
    <m/>
    <d v="1899-12-30T00:00:00"/>
    <m/>
    <m/>
    <d v="1899-12-30T00:00:00"/>
    <d v="1899-12-30T00:00:00"/>
    <d v="1899-12-30T00:00:00"/>
    <n v="0"/>
    <s v="Validar TV reunión con el equipo de datos maestros + Kimberly Ayala + Andrés Rigoli"/>
    <m/>
    <m/>
    <m/>
  </r>
  <r>
    <s v="2024"/>
    <x v="1"/>
    <s v="Kioscos"/>
    <s v="QR Champions Kiosco Tarjetas de Crédito (Adicional)"/>
    <s v="MXP LEGACY_x000a_TRADE"/>
    <s v="Requerimiento adicional. Aprobado por marketing"/>
    <s v="ALTA"/>
    <s v="LOCAL"/>
    <m/>
    <s v="CAR"/>
    <m/>
    <m/>
    <s v="Ecuador"/>
    <s v="Andres Canelos / Ma. Paula Tapia"/>
    <s v="andres.canelos@kfc.com.ec; mpaula.tapia@kfc.com.ec"/>
    <x v="35"/>
    <s v="APROBADO"/>
    <s v="En curso"/>
    <m/>
    <s v="Q2"/>
    <m/>
    <s v="BAJA"/>
    <n v="1"/>
    <n v="4"/>
    <n v="1"/>
    <n v="550"/>
    <m/>
    <n v="2840"/>
    <m/>
    <m/>
    <x v="7"/>
    <d v="2024-03-21T00:00:00"/>
    <m/>
    <e v="#REF!"/>
    <m/>
    <m/>
    <d v="1899-12-30T00:00:00"/>
    <m/>
    <d v="2024-04-12T00:00:00"/>
    <d v="2024-03-21T00:00:00"/>
    <d v="2024-04-18T00:00:00"/>
    <n v="1"/>
    <n v="45394"/>
    <s v="PROYECTO LOCAL"/>
    <m/>
    <m/>
    <m/>
  </r>
  <r>
    <n v="2024"/>
    <x v="0"/>
    <m/>
    <s v="Orden de mantenimiento añadir sociedad SAP"/>
    <m/>
    <s v="Solicitado por ERP "/>
    <m/>
    <m/>
    <m/>
    <s v="DSI"/>
    <m/>
    <m/>
    <m/>
    <m/>
    <m/>
    <x v="32"/>
    <m/>
    <m/>
    <m/>
    <m/>
    <m/>
    <m/>
    <m/>
    <m/>
    <m/>
    <m/>
    <m/>
    <n v="640"/>
    <m/>
    <m/>
    <x v="5"/>
    <m/>
    <m/>
    <e v="#REF!"/>
    <m/>
    <m/>
    <d v="1899-12-30T00:00:00"/>
    <m/>
    <d v="2024-04-09T00:00:00"/>
    <m/>
    <m/>
    <d v="1899-12-30T00:00:00"/>
    <n v="45391"/>
    <m/>
    <m/>
    <m/>
    <m/>
  </r>
  <r>
    <n v="2024"/>
    <x v="0"/>
    <m/>
    <s v="Servidor Capacitación"/>
    <m/>
    <m/>
    <m/>
    <m/>
    <m/>
    <s v="DSI"/>
    <m/>
    <m/>
    <m/>
    <m/>
    <m/>
    <x v="32"/>
    <m/>
    <m/>
    <m/>
    <m/>
    <m/>
    <m/>
    <m/>
    <m/>
    <m/>
    <m/>
    <m/>
    <n v="640"/>
    <m/>
    <m/>
    <x v="7"/>
    <m/>
    <m/>
    <e v="#REF!"/>
    <m/>
    <m/>
    <d v="1899-12-30T00:00:00"/>
    <m/>
    <d v="2024-04-12T00:00:00"/>
    <m/>
    <m/>
    <d v="1899-12-30T00:00:00"/>
    <n v="45394"/>
    <m/>
    <m/>
    <m/>
    <m/>
  </r>
  <r>
    <n v="2024"/>
    <x v="0"/>
    <m/>
    <s v="Pruebas aplicaciones web migración FortiWeb"/>
    <m/>
    <m/>
    <m/>
    <m/>
    <m/>
    <s v="DSI"/>
    <m/>
    <m/>
    <m/>
    <m/>
    <m/>
    <x v="32"/>
    <m/>
    <m/>
    <m/>
    <m/>
    <m/>
    <m/>
    <m/>
    <m/>
    <m/>
    <m/>
    <m/>
    <n v="640"/>
    <m/>
    <m/>
    <x v="7"/>
    <m/>
    <m/>
    <e v="#REF!"/>
    <m/>
    <m/>
    <d v="1899-12-30T00:00:00"/>
    <m/>
    <d v="2024-04-19T00:00:00"/>
    <m/>
    <m/>
    <d v="1899-12-30T00:00:00"/>
    <n v="45401"/>
    <m/>
    <m/>
    <m/>
    <m/>
  </r>
  <r>
    <n v="2024"/>
    <x v="0"/>
    <m/>
    <s v="API Créditos Sin Cupon - Nómina"/>
    <m/>
    <m/>
    <m/>
    <m/>
    <m/>
    <s v="DSI"/>
    <m/>
    <m/>
    <m/>
    <m/>
    <m/>
    <x v="32"/>
    <m/>
    <m/>
    <m/>
    <m/>
    <m/>
    <m/>
    <m/>
    <m/>
    <m/>
    <m/>
    <m/>
    <n v="640"/>
    <m/>
    <m/>
    <x v="7"/>
    <m/>
    <m/>
    <e v="#REF!"/>
    <m/>
    <m/>
    <d v="1899-12-30T00:00:00"/>
    <m/>
    <d v="2024-04-19T00:00:00"/>
    <m/>
    <m/>
    <d v="1899-12-30T00:00:00"/>
    <n v="45401"/>
    <m/>
    <m/>
    <m/>
    <m/>
  </r>
  <r>
    <n v="2024"/>
    <x v="0"/>
    <m/>
    <s v="Error en el reporte de usos y consumos, signo negativo"/>
    <m/>
    <m/>
    <m/>
    <m/>
    <m/>
    <s v="DSI"/>
    <m/>
    <m/>
    <m/>
    <m/>
    <m/>
    <x v="32"/>
    <m/>
    <m/>
    <m/>
    <m/>
    <m/>
    <m/>
    <m/>
    <m/>
    <m/>
    <m/>
    <m/>
    <n v="640"/>
    <m/>
    <m/>
    <x v="7"/>
    <m/>
    <m/>
    <e v="#REF!"/>
    <m/>
    <m/>
    <d v="1899-12-30T00:00:00"/>
    <m/>
    <d v="2024-04-19T00:00:00"/>
    <m/>
    <m/>
    <d v="1899-12-30T00:00:00"/>
    <n v="45401"/>
    <m/>
    <m/>
    <m/>
    <m/>
  </r>
  <r>
    <n v="2024"/>
    <x v="0"/>
    <m/>
    <s v="Exportación Activos Fijos"/>
    <m/>
    <m/>
    <m/>
    <m/>
    <m/>
    <s v="DSI"/>
    <m/>
    <m/>
    <m/>
    <m/>
    <m/>
    <x v="32"/>
    <m/>
    <m/>
    <m/>
    <m/>
    <m/>
    <m/>
    <m/>
    <m/>
    <m/>
    <m/>
    <m/>
    <n v="640"/>
    <m/>
    <m/>
    <x v="7"/>
    <m/>
    <m/>
    <e v="#REF!"/>
    <m/>
    <m/>
    <d v="1899-12-30T00:00:00"/>
    <m/>
    <d v="2024-04-19T00:00:00"/>
    <m/>
    <m/>
    <d v="1899-12-30T00:00:00"/>
    <n v="45401"/>
    <m/>
    <m/>
    <m/>
    <m/>
  </r>
  <r>
    <n v="2024"/>
    <x v="1"/>
    <m/>
    <s v="Cambios de estado para la web"/>
    <m/>
    <s v="1. Hacerlo como está en Ecuador_x000a_Migración de tecnologías últimas millas a una nueva tecnología"/>
    <m/>
    <s v="REGIONAL"/>
    <m/>
    <s v="Transformación Digital"/>
    <m/>
    <m/>
    <s v="Colombia"/>
    <s v="Daniel Barreno"/>
    <s v="daniel.barreno@kfc.com.ec"/>
    <x v="1"/>
    <s v="NO APROBADO"/>
    <s v="No iniciado"/>
    <m/>
    <m/>
    <m/>
    <m/>
    <m/>
    <n v="12"/>
    <n v="2"/>
    <n v="550"/>
    <m/>
    <n v="13840"/>
    <m/>
    <m/>
    <x v="2"/>
    <m/>
    <m/>
    <e v="#REF!"/>
    <m/>
    <m/>
    <d v="1899-12-30T00:00:00"/>
    <m/>
    <m/>
    <m/>
    <m/>
    <d v="1900-01-02T00:00:00"/>
    <n v="0"/>
    <m/>
    <m/>
    <m/>
    <s v="08/04_x000a_Estimar el tiempo para presupuesto"/>
  </r>
  <r>
    <n v="2024"/>
    <x v="1"/>
    <m/>
    <s v="Cambios de estado para la web"/>
    <m/>
    <m/>
    <m/>
    <s v="REGIONAL"/>
    <m/>
    <s v="Transformación Digital"/>
    <m/>
    <m/>
    <s v="Chile"/>
    <s v="Daniel Barreno"/>
    <s v="daniel.barreno@kfc.com.ec"/>
    <x v="1"/>
    <s v="NO APROBADO"/>
    <s v="No iniciado"/>
    <m/>
    <m/>
    <m/>
    <m/>
    <m/>
    <n v="3"/>
    <n v="2"/>
    <n v="700"/>
    <m/>
    <n v="4840"/>
    <m/>
    <m/>
    <x v="2"/>
    <m/>
    <m/>
    <e v="#REF!"/>
    <m/>
    <m/>
    <d v="1899-12-30T00:00:00"/>
    <m/>
    <m/>
    <m/>
    <m/>
    <d v="1899-12-30T18:00:00"/>
    <n v="0"/>
    <m/>
    <m/>
    <m/>
    <s v="08/04_x000a_Estimar el tiempo para presupuesto"/>
  </r>
  <r>
    <n v="2024"/>
    <x v="1"/>
    <m/>
    <s v="Cambios de estado para la web"/>
    <m/>
    <m/>
    <m/>
    <s v="REGIONAL"/>
    <m/>
    <s v="Transformación Digital"/>
    <m/>
    <m/>
    <s v="Venezuela"/>
    <s v="Daniel Barreno"/>
    <s v="daniel.barreno@kfc.com.ec"/>
    <x v="1"/>
    <s v="NO APROBADO"/>
    <s v="No iniciado"/>
    <m/>
    <m/>
    <m/>
    <m/>
    <m/>
    <n v="3"/>
    <n v="2"/>
    <n v="700"/>
    <m/>
    <n v="4840"/>
    <m/>
    <m/>
    <x v="2"/>
    <m/>
    <m/>
    <e v="#REF!"/>
    <m/>
    <m/>
    <d v="1899-12-30T00:00:00"/>
    <m/>
    <m/>
    <m/>
    <m/>
    <d v="1899-12-30T18:00:00"/>
    <n v="0"/>
    <m/>
    <m/>
    <m/>
    <s v="08/04_x000a_Estimar el tiempo para presupuesto"/>
  </r>
  <r>
    <n v="2024"/>
    <x v="1"/>
    <m/>
    <s v="Cambios de estado para la web"/>
    <m/>
    <m/>
    <m/>
    <s v="REGIONAL"/>
    <m/>
    <s v="Transformación Digital"/>
    <m/>
    <m/>
    <s v="Argentina"/>
    <s v="Daniel Barreno"/>
    <s v="daniel.barreno@kfc.com.ec"/>
    <x v="1"/>
    <s v="NO APROBADO"/>
    <s v="No iniciado"/>
    <m/>
    <m/>
    <m/>
    <m/>
    <m/>
    <n v="3"/>
    <n v="2"/>
    <n v="700"/>
    <m/>
    <n v="4840"/>
    <m/>
    <m/>
    <x v="2"/>
    <m/>
    <m/>
    <e v="#REF!"/>
    <m/>
    <m/>
    <d v="1899-12-30T00:00:00"/>
    <m/>
    <m/>
    <m/>
    <m/>
    <d v="1899-12-30T00:00:00"/>
    <m/>
    <m/>
    <m/>
    <m/>
    <s v="08/04_x000a_Estimar el tiempo para presupuesto"/>
  </r>
  <r>
    <n v="2024"/>
    <x v="1"/>
    <m/>
    <s v="TableSide Juan Valdez"/>
    <m/>
    <m/>
    <m/>
    <s v="LOCAL"/>
    <m/>
    <s v="Transformación Digital"/>
    <m/>
    <m/>
    <s v="Ecuador"/>
    <s v="Daniel Barreno"/>
    <s v="daniel.barreno@kfc.com.ec"/>
    <x v="1"/>
    <s v="NO APROBADO"/>
    <s v="No iniciado"/>
    <m/>
    <m/>
    <m/>
    <m/>
    <m/>
    <n v="12"/>
    <n v="2"/>
    <n v="700"/>
    <m/>
    <n v="16800"/>
    <m/>
    <m/>
    <x v="1"/>
    <m/>
    <m/>
    <e v="#REF!"/>
    <m/>
    <m/>
    <d v="1899-12-30T00:00:00"/>
    <m/>
    <m/>
    <m/>
    <m/>
    <d v="1900-01-02T00:00:00"/>
    <n v="0"/>
    <m/>
    <m/>
    <m/>
    <s v="15/04_x000a_Validar si se puede ajustar el presupuesto"/>
  </r>
  <r>
    <n v="2024"/>
    <x v="1"/>
    <m/>
    <s v="Actualización del api de consumo de tarjetas_x000a_Estimación Validación orden Diners Web Ecuador"/>
    <m/>
    <s v="Se detalla el tiempo de SIR y Canales Digitales. Con la consideración que DEUNA envíe el medio. Considerar los tiempos de desarrollo y pruebas de DEUNA. Campo adicional para diferenciar si es web o si es movi por parte de DEUNA._x000a_Procesar a traves de la web para cobro con Diners aplica a todo multimarca. Recibir la forma de pago y guardarla en MXP. Se requiere que todas las ordenes suba el origen como web y no app movil._x000a_Si no me envia el medio sigue el flujo y si me envia se direccione web o movil._x000a_Mapear la columna nueva que deberia existir en el SIR para enviar la información._x000a_SIR: Modificar el triger para afectar al switch transaccional que se identifique las transacciones y se inserte de manera correcta._x000a__x000a_1 semana 1 día, 1 semana_x000a_"/>
    <m/>
    <s v="LOCAL"/>
    <m/>
    <s v="Transformación Digital"/>
    <m/>
    <m/>
    <s v="Ecuador"/>
    <s v="Daniel Barreno"/>
    <s v="daniel.barreno@kfc.com.ec"/>
    <x v="1"/>
    <s v="NO APROBADO"/>
    <s v="En curso"/>
    <m/>
    <s v="Q2"/>
    <m/>
    <m/>
    <m/>
    <n v="8"/>
    <n v="2"/>
    <n v="700"/>
    <m/>
    <n v="11840"/>
    <m/>
    <m/>
    <x v="1"/>
    <d v="2024-05-09T00:00:00"/>
    <m/>
    <e v="#REF!"/>
    <m/>
    <m/>
    <d v="1899-12-30T00:00:00"/>
    <m/>
    <m/>
    <m/>
    <m/>
    <d v="1900-01-01T00:00:00"/>
    <n v="0"/>
    <m/>
    <m/>
    <m/>
    <s v="22/04_x000a_Estimar el tiempo adicional para establecer el origen web en el reporte del SIR. Como se manejaba en la web._x000a_Aprobar requerimiento con Marketing."/>
  </r>
  <r>
    <n v="2024"/>
    <x v="1"/>
    <m/>
    <s v="Proceso de EP Facturación Electrónica (Campos FIDE)"/>
    <s v="Sistemas Internos"/>
    <m/>
    <m/>
    <s v="LOCAL"/>
    <m/>
    <s v="Transformación Digital"/>
    <m/>
    <m/>
    <s v="Ecuador"/>
    <s v="Daniel Barreno"/>
    <s v="daniel.barreno@kfc.com.ec"/>
    <x v="1"/>
    <s v="NO APROBADO"/>
    <s v="No iniciado"/>
    <m/>
    <m/>
    <m/>
    <m/>
    <m/>
    <n v="5"/>
    <n v="2"/>
    <n v="700"/>
    <m/>
    <n v="7640"/>
    <m/>
    <m/>
    <x v="2"/>
    <m/>
    <m/>
    <e v="#REF!"/>
    <m/>
    <m/>
    <d v="1899-12-30T00:00:00"/>
    <m/>
    <m/>
    <m/>
    <m/>
    <d v="1899-12-31T06:00:00"/>
    <n v="0"/>
    <m/>
    <m/>
    <m/>
    <s v="15/04_x000a_Carlos Ortega debe realizar una validación de caracteres y posterior a ello si se requiere estimar por parte de CD"/>
  </r>
  <r>
    <n v="2024"/>
    <x v="1"/>
    <m/>
    <s v="Appedir Revisión de transacciones con puntos"/>
    <m/>
    <m/>
    <m/>
    <s v="LOCAL"/>
    <m/>
    <s v="Transformación Digital"/>
    <m/>
    <m/>
    <s v="Ecuador"/>
    <s v="Daniel Barreno"/>
    <s v="daniel.barreno@kfc.com.ec"/>
    <x v="1"/>
    <s v="NO APROBADO"/>
    <s v="No iniciado"/>
    <m/>
    <m/>
    <m/>
    <m/>
    <m/>
    <m/>
    <m/>
    <m/>
    <m/>
    <m/>
    <m/>
    <m/>
    <x v="2"/>
    <m/>
    <m/>
    <e v="#REF!"/>
    <m/>
    <m/>
    <d v="1899-12-30T00:00:00"/>
    <m/>
    <m/>
    <m/>
    <m/>
    <d v="1899-12-30T00:00:00"/>
    <n v="0"/>
    <m/>
    <m/>
    <m/>
    <s v="Plan de acción para remediar en conjunto con Trade. Si está listo el punto anterior ya no se requiere la reunión"/>
  </r>
  <r>
    <n v="2024"/>
    <x v="1"/>
    <m/>
    <s v="Imprimir en MXP el número de teléfono del usuario de la aplicación en pedido delivery"/>
    <m/>
    <m/>
    <m/>
    <s v="LOCAL"/>
    <m/>
    <s v="Transformación Digital"/>
    <m/>
    <m/>
    <s v="Chile"/>
    <s v="Daniel Barreno"/>
    <s v="daniel.barreno@kfc.com.ec"/>
    <x v="1"/>
    <s v="NO APROBADO"/>
    <s v="No iniciado"/>
    <m/>
    <m/>
    <m/>
    <m/>
    <m/>
    <n v="3"/>
    <n v="2"/>
    <n v="700"/>
    <m/>
    <n v="4840"/>
    <m/>
    <m/>
    <x v="2"/>
    <m/>
    <m/>
    <e v="#REF!"/>
    <m/>
    <m/>
    <d v="1899-12-30T00:00:00"/>
    <m/>
    <m/>
    <m/>
    <m/>
    <d v="1899-12-30T18:00:00"/>
    <n v="0"/>
    <m/>
    <m/>
    <m/>
    <s v="16/04_x000a_Estimar el tiempo para presupuesto"/>
  </r>
  <r>
    <n v="2024"/>
    <x v="1"/>
    <m/>
    <s v="Facturación Kioscos Cédula por default KFC"/>
    <m/>
    <m/>
    <m/>
    <s v="REGIONAL"/>
    <m/>
    <s v="Transformación Digital"/>
    <m/>
    <m/>
    <s v="Ecuador"/>
    <s v="Daniel Barreno"/>
    <s v="daniel.barreno@kfc.com.ec"/>
    <x v="1"/>
    <s v="NO APROBADO"/>
    <s v="No iniciado"/>
    <m/>
    <m/>
    <m/>
    <m/>
    <m/>
    <n v="5"/>
    <n v="2"/>
    <n v="700"/>
    <m/>
    <n v="7640"/>
    <m/>
    <m/>
    <x v="2"/>
    <m/>
    <m/>
    <e v="#REF!"/>
    <m/>
    <m/>
    <d v="1899-12-30T00:00:00"/>
    <m/>
    <m/>
    <m/>
    <m/>
    <d v="1899-12-31T06:00:00"/>
    <n v="0"/>
    <m/>
    <m/>
    <m/>
    <s v="29/04_x000a_Estimar el tiempo para presupuesto_x000a_"/>
  </r>
  <r>
    <n v="2024"/>
    <x v="1"/>
    <m/>
    <s v="Facturación Kioscos Cédula por default KFC"/>
    <m/>
    <m/>
    <m/>
    <s v="REGIONAL"/>
    <m/>
    <s v="Transformación Digital"/>
    <m/>
    <m/>
    <s v="Colombia"/>
    <s v="Daniel Barreno"/>
    <s v="daniel.barreno@kfc.com.ec"/>
    <x v="1"/>
    <s v="NO APROBADO"/>
    <s v="No iniciado"/>
    <m/>
    <m/>
    <m/>
    <m/>
    <m/>
    <n v="3"/>
    <n v="2"/>
    <n v="700"/>
    <m/>
    <n v="4840"/>
    <m/>
    <m/>
    <x v="2"/>
    <m/>
    <m/>
    <e v="#REF!"/>
    <m/>
    <m/>
    <d v="1899-12-30T00:00:00"/>
    <m/>
    <m/>
    <m/>
    <m/>
    <d v="1899-12-30T18:00:00"/>
    <n v="0"/>
    <m/>
    <m/>
    <m/>
    <s v="29/04_x000a_Estimar el tiempo para presupuesto_x000a_"/>
  </r>
  <r>
    <n v="2024"/>
    <x v="1"/>
    <m/>
    <s v="Facturación Kioscos Cédula por default KFC"/>
    <m/>
    <m/>
    <m/>
    <s v="REGIONAL"/>
    <m/>
    <s v="Transformación Digital"/>
    <m/>
    <m/>
    <s v="Chile"/>
    <s v="Daniel Barreno"/>
    <s v="daniel.barreno@kfc.com.ec"/>
    <x v="1"/>
    <s v="NO APROBADO"/>
    <s v="No iniciado"/>
    <m/>
    <m/>
    <m/>
    <m/>
    <m/>
    <n v="3"/>
    <n v="2"/>
    <n v="700"/>
    <m/>
    <n v="4840"/>
    <m/>
    <m/>
    <x v="2"/>
    <m/>
    <m/>
    <e v="#REF!"/>
    <m/>
    <m/>
    <d v="1899-12-30T00:00:00"/>
    <m/>
    <m/>
    <m/>
    <m/>
    <d v="1899-12-30T18:00:00"/>
    <n v="0"/>
    <m/>
    <m/>
    <m/>
    <s v="29/04_x000a_Estimar el tiempo para presupuesto_x000a_"/>
  </r>
  <r>
    <n v="2024"/>
    <x v="1"/>
    <m/>
    <s v="Facturación Kioscos Cédula por default KFC"/>
    <m/>
    <m/>
    <m/>
    <s v="REGIONAL"/>
    <m/>
    <s v="Transformación Digital"/>
    <m/>
    <m/>
    <s v="Venezuela"/>
    <s v="Daniel Barreno"/>
    <s v="daniel.barreno@kfc.com.ec"/>
    <x v="1"/>
    <s v="NO APROBADO"/>
    <s v="No iniciado"/>
    <m/>
    <m/>
    <m/>
    <m/>
    <m/>
    <n v="3"/>
    <n v="2"/>
    <n v="700"/>
    <m/>
    <n v="4840"/>
    <m/>
    <m/>
    <x v="2"/>
    <m/>
    <m/>
    <e v="#REF!"/>
    <m/>
    <m/>
    <d v="1899-12-30T00:00:00"/>
    <m/>
    <m/>
    <m/>
    <m/>
    <d v="1899-12-30T18:00:00"/>
    <n v="0"/>
    <m/>
    <m/>
    <m/>
    <s v="29/04_x000a_Estimar el tiempo para presupuesto_x000a_"/>
  </r>
  <r>
    <n v="2024"/>
    <x v="1"/>
    <m/>
    <s v="Facturación Kioscos Cédula por default KFC"/>
    <m/>
    <m/>
    <m/>
    <s v="REGIONAL"/>
    <m/>
    <s v="Transformación Digital"/>
    <m/>
    <m/>
    <s v="Argentina"/>
    <s v="Daniel Barreno"/>
    <s v="daniel.barreno@kfc.com.ec"/>
    <x v="1"/>
    <s v="NO APROBADO"/>
    <s v="No iniciado"/>
    <m/>
    <m/>
    <m/>
    <m/>
    <m/>
    <n v="3"/>
    <n v="2"/>
    <n v="700"/>
    <m/>
    <n v="4840"/>
    <m/>
    <m/>
    <x v="2"/>
    <m/>
    <m/>
    <e v="#REF!"/>
    <m/>
    <m/>
    <d v="1899-12-30T00:00:00"/>
    <m/>
    <m/>
    <m/>
    <m/>
    <d v="1899-12-30T18:00:00"/>
    <n v="0"/>
    <m/>
    <m/>
    <m/>
    <s v="29/04_x000a_Estimar el tiempo para presupuesto_x000a_"/>
  </r>
  <r>
    <n v="2024"/>
    <x v="1"/>
    <m/>
    <s v="Uber Direct Efectivo"/>
    <m/>
    <m/>
    <m/>
    <s v="LOCAL"/>
    <m/>
    <s v="Operaciones"/>
    <m/>
    <m/>
    <s v="Ecuador"/>
    <s v="Carlos Campo"/>
    <s v="carlos.campo@kfc.com.ec"/>
    <x v="15"/>
    <s v="APROBADO"/>
    <s v="No iniciado"/>
    <m/>
    <m/>
    <m/>
    <m/>
    <m/>
    <n v="7"/>
    <n v="2"/>
    <n v="550"/>
    <m/>
    <n v="7700"/>
    <m/>
    <m/>
    <x v="1"/>
    <m/>
    <m/>
    <e v="#REF!"/>
    <m/>
    <m/>
    <d v="1899-12-30T00:00:00"/>
    <m/>
    <m/>
    <d v="2024-05-13T00:00:00"/>
    <m/>
    <d v="1899-12-31T18:00:00"/>
    <n v="0"/>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r>
    <m/>
    <x v="8"/>
    <m/>
    <m/>
    <m/>
    <m/>
    <m/>
    <m/>
    <m/>
    <m/>
    <m/>
    <m/>
    <m/>
    <m/>
    <m/>
    <x v="32"/>
    <m/>
    <m/>
    <m/>
    <m/>
    <m/>
    <m/>
    <m/>
    <m/>
    <m/>
    <m/>
    <m/>
    <m/>
    <m/>
    <m/>
    <x v="2"/>
    <m/>
    <m/>
    <m/>
    <m/>
    <m/>
    <m/>
    <m/>
    <m/>
    <m/>
    <m/>
    <m/>
    <m/>
    <m/>
    <m/>
    <m/>
    <m/>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6">
  <r>
    <s v="2024"/>
    <x v="0"/>
    <x v="0"/>
    <x v="0"/>
    <s v="Ver Anexo A2"/>
    <m/>
    <s v="LOCAL"/>
    <s v="Celula Operaciones Maxpoint 2024"/>
    <s v="OPER"/>
    <m/>
    <m/>
    <s v="Ecuador"/>
    <s v="OPERACIONES"/>
    <s v="IDENTIFICADO"/>
    <s v="No iniciado"/>
    <n v="3"/>
    <s v="Q2"/>
    <m/>
    <s v="BAJA"/>
    <n v="1"/>
    <n v="2"/>
    <n v="1"/>
    <n v="550"/>
    <m/>
    <n v="1680"/>
  </r>
  <r>
    <s v="2024"/>
    <x v="0"/>
    <x v="0"/>
    <x v="1"/>
    <s v="- El cliente no utilizaría cupón físico, la propuesta sería explorar código QR y registro automático en el sistema._x000a_- Carga de base de datos para eliminar registro de firmas para constancia de consumo_x000a_- proceso de cuadre para facturación de cupones automático_x000a__x000a_- 12 empresas - 400 Personal del aereopuerto + aerolíneas (Pasajeros )_x000a_- _x000a_Aeropuerto UIO_x000a_Se tiene una valor inicial de al menos aprox 4k en pedidas en un AÑO alcance emision factura "/>
    <m/>
    <s v="LOCAL"/>
    <s v="Validar con ambos aeropuertos, pendiente confirmacion Jose Luis Tello"/>
    <s v="OPER"/>
    <m/>
    <m/>
    <s v="Ecuador"/>
    <s v="AEROPUERTO UIO"/>
    <s v="IDENTIFICADO"/>
    <s v="No iniciado"/>
    <m/>
    <s v="Q3"/>
    <m/>
    <s v="MEDIA"/>
    <m/>
    <n v="5"/>
    <n v="1"/>
    <n v="550"/>
    <m/>
    <n v="3330"/>
  </r>
  <r>
    <n v="2024"/>
    <x v="0"/>
    <x v="0"/>
    <x v="2"/>
    <m/>
    <m/>
    <s v="LOCAL"/>
    <s v="Celula Operaciones Maxpoint 2024"/>
    <s v="OPER"/>
    <m/>
    <m/>
    <s v="Ecuador"/>
    <s v="OPERACIONES"/>
    <s v="IDENTIFICADO"/>
    <s v="No iniciado"/>
    <m/>
    <s v="Q3"/>
    <m/>
    <s v="BAJA"/>
    <n v="1"/>
    <n v="4"/>
    <n v="1"/>
    <n v="550"/>
    <m/>
    <n v="2780"/>
  </r>
  <r>
    <s v="2024"/>
    <x v="0"/>
    <x v="0"/>
    <x v="3"/>
    <s v="Ver Anexo A2"/>
    <m/>
    <s v="LOCAL"/>
    <s v="Celula Operaciones Maxpoint 2024"/>
    <s v="OPER"/>
    <m/>
    <m/>
    <s v="Ecuador"/>
    <s v="OPERACIONES"/>
    <s v="IDENTIFICADO"/>
    <s v="No iniciado"/>
    <m/>
    <s v="Q2"/>
    <m/>
    <s v="MEDIA"/>
    <n v="1"/>
    <n v="3"/>
    <n v="2"/>
    <n v="550"/>
    <m/>
    <n v="3880"/>
  </r>
  <r>
    <s v="2024"/>
    <x v="0"/>
    <x v="0"/>
    <x v="4"/>
    <s v="Implementar versión de maxpoint domicilio para dolce;"/>
    <m/>
    <s v="LOCAL"/>
    <s v="Celula Operaciones Maxpoint 2024"/>
    <s v="OPER"/>
    <m/>
    <m/>
    <s v="Ecuador"/>
    <s v="OPERACIONES"/>
    <s v="IDENTIFICADO"/>
    <s v="No iniciado"/>
    <m/>
    <s v="Q2"/>
    <m/>
    <s v="ALTA"/>
    <n v="1"/>
    <n v="4"/>
    <n v="2"/>
    <n v="550"/>
    <m/>
    <n v="4980"/>
  </r>
  <r>
    <s v="2024"/>
    <x v="0"/>
    <x v="0"/>
    <x v="5"/>
    <s v="Se debe incluir el medio del canal a los pedidos de salon, llevar ya que actualmente solo funciona para los pedidos de delivery._x000a_Revisar que en multimarca llegue la información en el orden correcto como lo hace mdn._x000a_Homologar en formato de impresión de la comanda en todas las marcas"/>
    <m/>
    <s v="LOCAL"/>
    <s v="Celula Operaciones Maxpoint 2024"/>
    <s v="OPER"/>
    <m/>
    <m/>
    <s v="Ecuador"/>
    <s v="OPERACIONES"/>
    <s v="IDENTIFICADO"/>
    <s v="No iniciado"/>
    <m/>
    <s v="Q2"/>
    <s v="Se necesita mayor contexto del cliente"/>
    <s v="BAJA"/>
    <n v="1"/>
    <n v="3"/>
    <n v="1"/>
    <n v="550"/>
    <m/>
    <n v="2230"/>
  </r>
  <r>
    <s v="2024"/>
    <x v="0"/>
    <x v="0"/>
    <x v="6"/>
    <s v="Ver Anexo A2"/>
    <m/>
    <s v="LOCAL"/>
    <s v="Celula Operaciones Maxpoint 2024"/>
    <s v="OPER"/>
    <m/>
    <m/>
    <s v="Ecuador"/>
    <s v="OPERACIONES"/>
    <s v="IDENTIFICADO"/>
    <s v="No iniciado"/>
    <n v="1"/>
    <s v="Q2"/>
    <m/>
    <s v="BAJA"/>
    <n v="1"/>
    <n v="3"/>
    <n v="1"/>
    <n v="550"/>
    <m/>
    <n v="2230"/>
  </r>
  <r>
    <s v="2024"/>
    <x v="0"/>
    <x v="0"/>
    <x v="7"/>
    <s v="Ver Anexo A2_x000a_Arqueo, Retiros, proceso de cuadre de caja se lo haga en la oficina y no el en fronting POS, pero Imprimir la cinta en el POS caja, agrupador UX de formas de pago, BACK y Front"/>
    <m/>
    <s v="LOCAL"/>
    <s v="Celula Operaciones Maxpoint 2024"/>
    <s v="OPER"/>
    <m/>
    <m/>
    <s v="Ecuador"/>
    <s v="OPERACIONES"/>
    <s v="IDENTIFICADO"/>
    <s v="No iniciado"/>
    <n v="2"/>
    <s v="Q2"/>
    <m/>
    <s v="BAJA"/>
    <n v="1"/>
    <n v="3"/>
    <n v="1"/>
    <n v="550"/>
    <m/>
    <n v="2230"/>
  </r>
  <r>
    <s v="2024"/>
    <x v="0"/>
    <x v="0"/>
    <x v="8"/>
    <s v="Se debe integrar a la versión de Ecuador la funcionalidad de cupones digitales desde la versión de Colombia_x000a_Compromiso Matriz Regional  (Ecuador)"/>
    <m/>
    <s v="LOCAL"/>
    <s v="Funcionalidades País"/>
    <s v="OPER"/>
    <m/>
    <m/>
    <s v="Ecuador"/>
    <s v="OPERACIONES"/>
    <s v="IDENTIFICADO"/>
    <s v="No iniciado"/>
    <m/>
    <s v="Q3"/>
    <s v="A pesar de ser un requerimiento del 2023 y asociado a la matriz regional sin embargo, ya no existe fondos en este proyecto razón por la cual se debe incluir en la matriz de operaciones ?"/>
    <m/>
    <m/>
    <n v="8"/>
    <n v="1"/>
    <n v="550"/>
    <m/>
    <n v="4980"/>
  </r>
  <r>
    <s v="2024"/>
    <x v="0"/>
    <x v="0"/>
    <x v="9"/>
    <s v="Ver Anexo A2_x000a_Eliminar la pantallla de Datos de Delivery CONFIGURACION"/>
    <m/>
    <s v="LOCAL"/>
    <s v="Celula Operaciones Maxpoint 2024"/>
    <s v="OPER"/>
    <m/>
    <m/>
    <s v="Ecuador"/>
    <s v="OPERACIONES"/>
    <s v="IDENTIFICADO"/>
    <s v="No iniciado"/>
    <n v="3"/>
    <s v="Q2"/>
    <m/>
    <s v="BAJA"/>
    <n v="1"/>
    <n v="4"/>
    <n v="1"/>
    <n v="550"/>
    <m/>
    <n v="2780"/>
  </r>
  <r>
    <s v="2024"/>
    <x v="0"/>
    <x v="0"/>
    <x v="10"/>
    <s v="Mejora de UX del Turnero para estandarización regional_x000a_Mejoras en turnero_x000a_Uso en modo vertical_x000a_Turnero en pantalla completa._x000a__x000a__x000a_"/>
    <m/>
    <s v="LOCAL"/>
    <s v="Celula Operaciones Maxpoint 2024"/>
    <s v="OPER"/>
    <m/>
    <m/>
    <s v="Ecuador"/>
    <s v="OPERACIONES"/>
    <s v="IDENTIFICADO"/>
    <s v="No iniciado"/>
    <m/>
    <s v="Q2"/>
    <m/>
    <s v="MEDIA"/>
    <m/>
    <n v="6"/>
    <n v="1"/>
    <n v="550"/>
    <m/>
    <n v="3880"/>
  </r>
  <r>
    <s v="2024"/>
    <x v="0"/>
    <x v="0"/>
    <x v="11"/>
    <s v="Ver Anexo A2"/>
    <m/>
    <s v="LOCAL"/>
    <s v="Celula Operaciones Maxpoint 2024"/>
    <s v="OPER"/>
    <m/>
    <m/>
    <s v="Ecuador"/>
    <s v="OPERACIONES"/>
    <s v="IDENTIFICADO"/>
    <s v="No iniciado"/>
    <n v="4"/>
    <s v="Q2"/>
    <m/>
    <s v="BAJA"/>
    <n v="1"/>
    <n v="3"/>
    <n v="2"/>
    <n v="550"/>
    <m/>
    <n v="3880"/>
  </r>
  <r>
    <s v="2024"/>
    <x v="0"/>
    <x v="0"/>
    <x v="12"/>
    <s v="Ver Anexo A2_x000a_PICKUP / Pantalla mesas-&gt; boton pickup: Mejorar la experiencia del usuario. Actualmente se debe realizar muchos clicks "/>
    <m/>
    <s v="LOCAL"/>
    <s v="Celula Operaciones Maxpoint 2024"/>
    <s v="OPER"/>
    <m/>
    <m/>
    <s v="Ecuador"/>
    <s v="OPERACIONES"/>
    <s v="IDENTIFICADO"/>
    <s v="No iniciado"/>
    <m/>
    <s v="Q2"/>
    <m/>
    <s v="MEDIA"/>
    <n v="1"/>
    <n v="3"/>
    <n v="2"/>
    <n v="550"/>
    <m/>
    <n v="3880"/>
  </r>
  <r>
    <s v="2024"/>
    <x v="0"/>
    <x v="0"/>
    <x v="13"/>
    <s v="Se necesita una alerta en maxpoint en la pantalla de despachos la cual notifique de manera visual y auditiva que un pedido de agregador ha sido cancelado, esto con la finalidad de que el cajero pueda realizar la nota de crédito una vez que se haya emitido la factura. "/>
    <m/>
    <s v="LOCAL"/>
    <s v="Celula Operaciones Maxpoint 2024"/>
    <s v="OPER"/>
    <m/>
    <m/>
    <s v="Ecuador"/>
    <s v="OPERACIONES"/>
    <s v="IDENTIFICADO"/>
    <s v="No iniciado"/>
    <m/>
    <s v="Q3"/>
    <m/>
    <s v="BAJA"/>
    <n v="1"/>
    <n v="5"/>
    <n v="1"/>
    <n v="550"/>
    <m/>
    <n v="3330"/>
  </r>
  <r>
    <s v="2024"/>
    <x v="0"/>
    <x v="0"/>
    <x v="14"/>
    <s v="Incluir el botón &quot;El pedido está listo&quot; en maxpoint en la pantalla de despachos para notificar al agregador que el pedido se encuentra listo para ser retirado y de esta manera optimizar los tiempos de entrega del pedido con lo cual mejoramos la experiencia de nuestros clientes."/>
    <m/>
    <s v="LOCAL"/>
    <s v="Celula Operaciones Maxpoint 2024"/>
    <s v="OPER"/>
    <m/>
    <m/>
    <s v="Ecuador"/>
    <s v="OPERACIONES"/>
    <s v="IDENTIFICADO"/>
    <s v="No iniciado"/>
    <m/>
    <s v="Q3"/>
    <m/>
    <s v="BAJA"/>
    <n v="1"/>
    <n v="4"/>
    <n v="2"/>
    <n v="550"/>
    <m/>
    <n v="4980"/>
  </r>
  <r>
    <s v="2024"/>
    <x v="0"/>
    <x v="0"/>
    <x v="15"/>
    <s v="Nuevo servicio de tarjetas por api netcore"/>
    <m/>
    <s v="LOCAL"/>
    <s v="Servicio de tarjetas en netCore"/>
    <s v="OPER"/>
    <m/>
    <m/>
    <s v="Ecuador"/>
    <s v="OPERACIONES"/>
    <s v="IDENTIFICADO"/>
    <s v="No iniciado"/>
    <m/>
    <s v="Q2"/>
    <m/>
    <s v="ALTA"/>
    <n v="1"/>
    <n v="8"/>
    <n v="2"/>
    <n v="550"/>
    <m/>
    <n v="9380"/>
  </r>
  <r>
    <s v="2024"/>
    <x v="0"/>
    <x v="0"/>
    <x v="16"/>
    <s v="Ver Anexo A2"/>
    <m/>
    <s v="LOCAL"/>
    <s v="Celula Operaciones Maxpoint 2024"/>
    <s v="OPER"/>
    <m/>
    <m/>
    <s v="Ecuador"/>
    <s v="OPERACIONES"/>
    <s v="IDENTIFICADO"/>
    <s v="Iniciado "/>
    <m/>
    <s v="Q2"/>
    <m/>
    <s v="MEDIA"/>
    <n v="1"/>
    <n v="5"/>
    <n v="2"/>
    <n v="550"/>
    <m/>
    <n v="6080"/>
  </r>
  <r>
    <s v="2024"/>
    <x v="0"/>
    <x v="0"/>
    <x v="17"/>
    <s v="Ver Anexo A2_x000a_Al ingresar a max point tarda en cargar para el ingreso de claves"/>
    <m/>
    <s v="LOCAL"/>
    <s v="Celula Operaciones Maxpoint 2024"/>
    <s v="OPER"/>
    <m/>
    <m/>
    <s v="Ecuador"/>
    <s v="OPERACIONES"/>
    <s v="IDENTIFICADO"/>
    <s v="No iniciado"/>
    <n v="1"/>
    <s v="Q2"/>
    <m/>
    <s v="BAJA"/>
    <n v="1"/>
    <n v="3"/>
    <n v="1"/>
    <n v="550"/>
    <m/>
    <n v="2230"/>
  </r>
  <r>
    <s v="2024"/>
    <x v="0"/>
    <x v="0"/>
    <x v="18"/>
    <s v="Ver Anexo A2_x000a_No hay busqueda compleja de productos por nombres "/>
    <m/>
    <s v="LOCAL"/>
    <s v="Celula Operaciones Maxpoint 2024"/>
    <s v="OPER"/>
    <m/>
    <m/>
    <s v="Ecuador"/>
    <s v="OPERACIONES"/>
    <s v="IDENTIFICADO"/>
    <s v="No iniciado"/>
    <n v="4"/>
    <s v="Q2"/>
    <m/>
    <s v="BAJA"/>
    <n v="1"/>
    <n v="2"/>
    <n v="1"/>
    <n v="550"/>
    <m/>
    <n v="1680"/>
  </r>
  <r>
    <s v="2024"/>
    <x v="0"/>
    <x v="0"/>
    <x v="19"/>
    <s v="Ver Anexo A2_x000a_Al realizar facturas hay cedulas de extranjeros que no permite ingresar"/>
    <m/>
    <s v="LOCAL"/>
    <s v="Celula Operaciones Maxpoint 2024"/>
    <s v="OPER"/>
    <m/>
    <m/>
    <s v="Ecuador"/>
    <s v="OPERACIONES"/>
    <s v="IDENTIFICADO"/>
    <s v="No iniciado"/>
    <n v="3"/>
    <s v="Q2"/>
    <m/>
    <s v="BAJA"/>
    <n v="1"/>
    <n v="4"/>
    <n v="1"/>
    <n v="550"/>
    <m/>
    <n v="2780"/>
  </r>
  <r>
    <s v="2024"/>
    <x v="0"/>
    <x v="0"/>
    <x v="20"/>
    <s v="- Actualmente se realiza ingreso mensual en la caja  (se registra en menú llamadas)_x000a_- Dolce Incontro: no dispones de botón de pago, se utiliza salón_x000a_ - Botones de Pago Inyección (Otros Agregadores Provincias): "/>
    <m/>
    <s v="LOCAL"/>
    <s v="Celula Operaciones Maxpoint 2024"/>
    <s v="OPER"/>
    <m/>
    <m/>
    <s v="Ecuador"/>
    <s v="OPERACIONES"/>
    <s v="IDENTIFICADO"/>
    <s v="No iniciado"/>
    <m/>
    <s v="Q3"/>
    <s v="Se necesita mayor contexto del cliente"/>
    <s v="BAJA"/>
    <n v="1"/>
    <n v="5"/>
    <n v="1"/>
    <n v="550"/>
    <m/>
    <n v="3330"/>
  </r>
  <r>
    <s v="2024"/>
    <x v="1"/>
    <x v="0"/>
    <x v="21"/>
    <s v="Ver Anexo A4"/>
    <m/>
    <s v="LOCAL"/>
    <s v="Célula de Operaciones SIR 2024"/>
    <s v="OPER"/>
    <m/>
    <m/>
    <s v="Ecuador"/>
    <s v="OPERACIONES"/>
    <s v="IDENTIFICADO"/>
    <s v="No iniciado"/>
    <n v="20"/>
    <s v="Q4"/>
    <m/>
    <s v="BAJA"/>
    <m/>
    <n v="6"/>
    <n v="2"/>
    <n v="450"/>
    <m/>
    <n v="6040"/>
  </r>
  <r>
    <s v="2024"/>
    <x v="1"/>
    <x v="0"/>
    <x v="22"/>
    <s v="Ver Anexo A4"/>
    <m/>
    <s v="LOCAL"/>
    <s v="Célula de Operaciones SIR 2024"/>
    <s v="OPER"/>
    <m/>
    <m/>
    <s v="Ecuador"/>
    <s v="OPERACIONES"/>
    <s v="IDENTIFICADO"/>
    <s v="No iniciado"/>
    <n v="26"/>
    <s v="Q4"/>
    <m/>
    <s v="MEDIA"/>
    <m/>
    <n v="4"/>
    <n v="2"/>
    <n v="400"/>
    <m/>
    <n v="3840"/>
  </r>
  <r>
    <s v="2024"/>
    <x v="1"/>
    <x v="0"/>
    <x v="23"/>
    <s v="Ver Anexo A4"/>
    <m/>
    <s v="LOCAL"/>
    <s v="Célula de Operaciones SIR 2024"/>
    <s v="OPER"/>
    <m/>
    <m/>
    <s v="Ecuador"/>
    <s v="OPERACIONES"/>
    <s v="IDENTIFICADO"/>
    <s v="No iniciado"/>
    <n v="17"/>
    <s v="Q3"/>
    <m/>
    <s v="BAJA"/>
    <m/>
    <n v="3"/>
    <n v="2"/>
    <n v="400"/>
    <m/>
    <n v="3040"/>
  </r>
  <r>
    <s v="2024"/>
    <x v="1"/>
    <x v="0"/>
    <x v="24"/>
    <s v="Ver Anexo A4"/>
    <m/>
    <s v="LOCAL"/>
    <s v="Célula de Operaciones SIR 2024"/>
    <s v="OPER"/>
    <m/>
    <m/>
    <s v="Ecuador"/>
    <s v="OPERACIONES"/>
    <s v="IDENTIFICADO"/>
    <s v="Iniciado "/>
    <n v="15"/>
    <s v="Q2"/>
    <m/>
    <s v="MEDIA"/>
    <m/>
    <n v="2"/>
    <n v="2"/>
    <n v="400"/>
    <m/>
    <n v="2240"/>
  </r>
  <r>
    <s v="2024"/>
    <x v="1"/>
    <x v="0"/>
    <x v="25"/>
    <s v="Ver Anexo A4"/>
    <m/>
    <s v="LOCAL"/>
    <s v="Célula de Operaciones SIR 2024"/>
    <s v="OPER"/>
    <m/>
    <m/>
    <s v="Ecuador"/>
    <s v="OPERACIONES"/>
    <s v="IDENTIFICADO"/>
    <s v="No iniciado"/>
    <n v="18"/>
    <s v="Q4"/>
    <m/>
    <s v="ALTA"/>
    <m/>
    <n v="6"/>
    <n v="2"/>
    <n v="450"/>
    <m/>
    <n v="6040"/>
  </r>
  <r>
    <s v="2024"/>
    <x v="1"/>
    <x v="0"/>
    <x v="26"/>
    <s v="Ver Anexo A4"/>
    <m/>
    <s v="LOCAL"/>
    <s v="Célula de Operaciones SIR 2024"/>
    <s v="OPER"/>
    <m/>
    <m/>
    <s v="Ecuador"/>
    <s v="OPERACIONES"/>
    <s v="IDENTIFICADO"/>
    <s v="No iniciado"/>
    <n v="13"/>
    <s v="Q3"/>
    <m/>
    <s v="BAJA"/>
    <m/>
    <n v="3"/>
    <n v="2"/>
    <n v="400"/>
    <m/>
    <n v="3040"/>
  </r>
  <r>
    <s v="2024"/>
    <x v="1"/>
    <x v="0"/>
    <x v="27"/>
    <s v="Ver Anexo A4"/>
    <m/>
    <s v="LOCAL"/>
    <s v="Célula de Operaciones SIR 2024"/>
    <s v="OPER"/>
    <m/>
    <m/>
    <s v="Ecuador"/>
    <s v="OPERACIONES"/>
    <s v="IDENTIFICADO"/>
    <s v="No iniciado"/>
    <n v="20"/>
    <s v="Q3"/>
    <m/>
    <s v="MEDIA"/>
    <m/>
    <n v="5"/>
    <n v="2"/>
    <n v="450"/>
    <m/>
    <n v="5140"/>
  </r>
  <r>
    <s v="2024"/>
    <x v="1"/>
    <x v="0"/>
    <x v="28"/>
    <s v="Ver Anexo A4"/>
    <m/>
    <s v="LOCAL"/>
    <s v="Célula de Operaciones SIR 2024"/>
    <s v="OPER"/>
    <m/>
    <m/>
    <s v="Ecuador"/>
    <s v="OPERACIONES"/>
    <s v="IDENTIFICADO"/>
    <s v="No iniciado"/>
    <n v="14"/>
    <s v="Q3"/>
    <m/>
    <s v="ALTA"/>
    <m/>
    <n v="6"/>
    <n v="2"/>
    <n v="450"/>
    <m/>
    <n v="6040"/>
  </r>
  <r>
    <s v="2024"/>
    <x v="1"/>
    <x v="0"/>
    <x v="29"/>
    <s v="Ver Anexo A4"/>
    <m/>
    <s v="LOCAL"/>
    <s v="Célula de Operaciones SIR 2024"/>
    <s v="OPER"/>
    <m/>
    <m/>
    <s v="Ecuador"/>
    <s v="OPERACIONES"/>
    <s v="IDENTIFICADO"/>
    <s v="No iniciado"/>
    <n v="9"/>
    <s v="Q2"/>
    <m/>
    <s v="MEDIA"/>
    <m/>
    <n v="4"/>
    <n v="2"/>
    <n v="400"/>
    <m/>
    <n v="3840"/>
  </r>
  <r>
    <s v="2024"/>
    <x v="1"/>
    <x v="0"/>
    <x v="30"/>
    <s v="Ver Anexo A4"/>
    <m/>
    <s v="LOCAL"/>
    <s v="Célula de Operaciones SIR 2024"/>
    <s v="OPER"/>
    <m/>
    <m/>
    <s v="Ecuador"/>
    <s v="OPERACIONES"/>
    <s v="IDENTIFICADO"/>
    <s v="No iniciado"/>
    <n v="20"/>
    <s v="Q4"/>
    <m/>
    <s v="ALTA"/>
    <m/>
    <n v="8"/>
    <n v="1"/>
    <n v="400"/>
    <m/>
    <n v="3840"/>
  </r>
  <r>
    <s v="2024"/>
    <x v="1"/>
    <x v="0"/>
    <x v="31"/>
    <s v="Ver Anexo A4"/>
    <m/>
    <s v="LOCAL"/>
    <s v="Célula de Operaciones SIR 2024"/>
    <s v="OPER"/>
    <m/>
    <m/>
    <s v="Ecuador"/>
    <s v="OPERACIONES"/>
    <s v="IDENTIFICADO"/>
    <s v="No iniciado"/>
    <n v="23"/>
    <s v="Q4"/>
    <m/>
    <s v="ALTA"/>
    <m/>
    <n v="8"/>
    <n v="2"/>
    <n v="450"/>
    <m/>
    <n v="7840"/>
  </r>
  <r>
    <s v="2024"/>
    <x v="1"/>
    <x v="0"/>
    <x v="32"/>
    <s v="Ver Anexo A4"/>
    <m/>
    <s v="LOCAL"/>
    <s v="Célula de Operaciones SIR 2024"/>
    <s v="OPER"/>
    <m/>
    <m/>
    <s v="Ecuador"/>
    <s v="OPERACIONES"/>
    <s v="IDENTIFICADO"/>
    <s v="No iniciado"/>
    <n v="11"/>
    <s v="Q3"/>
    <m/>
    <s v="ALTA"/>
    <m/>
    <n v="8"/>
    <n v="2"/>
    <n v="450"/>
    <m/>
    <n v="7840"/>
  </r>
  <r>
    <s v="2024"/>
    <x v="1"/>
    <x v="0"/>
    <x v="33"/>
    <s v="Ver Anexo A4"/>
    <m/>
    <s v="LOCAL"/>
    <s v="Célula de Operaciones SIR 2024"/>
    <s v="OPER"/>
    <m/>
    <m/>
    <s v="Ecuador"/>
    <s v="OPERACIONES"/>
    <s v="IDENTIFICADO"/>
    <s v="No iniciado"/>
    <n v="24"/>
    <s v="Q2"/>
    <m/>
    <s v="MEDIA"/>
    <m/>
    <n v="4"/>
    <n v="2"/>
    <n v="400"/>
    <m/>
    <n v="3840"/>
  </r>
  <r>
    <s v="2024"/>
    <x v="1"/>
    <x v="0"/>
    <x v="34"/>
    <s v="Ver Anexo A4"/>
    <m/>
    <s v="LOCAL"/>
    <s v="Célula de Operaciones SIR 2024"/>
    <s v="OPER"/>
    <m/>
    <m/>
    <s v="Ecuador"/>
    <s v="OPERACIONES"/>
    <s v="IDENTIFICADO"/>
    <s v="No iniciado"/>
    <n v="24"/>
    <s v="Q4"/>
    <m/>
    <s v="ALTA"/>
    <m/>
    <n v="5"/>
    <n v="2"/>
    <n v="450"/>
    <m/>
    <n v="4500"/>
  </r>
  <r>
    <s v="2024"/>
    <x v="1"/>
    <x v="0"/>
    <x v="35"/>
    <s v="Ver Anexo A4"/>
    <m/>
    <s v="LOCAL"/>
    <s v="Célula de Operaciones SIR 2024"/>
    <s v="OPER"/>
    <m/>
    <m/>
    <s v="Ecuador"/>
    <s v="OPERACIONES"/>
    <s v="IDENTIFICADO"/>
    <s v="No iniciado"/>
    <n v="24"/>
    <s v="Q3"/>
    <m/>
    <s v="MEDIA"/>
    <m/>
    <n v="4"/>
    <n v="2"/>
    <n v="400"/>
    <m/>
    <n v="384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201068D-9352-4D15-9591-8012C2CA38CE}" name="TablaDinámica2" cacheId="3"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A3:C66" firstHeaderRow="1" firstDataRow="1" firstDataCol="3"/>
  <pivotFields count="43">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8">
        <item x="0"/>
        <item x="1"/>
        <item x="3"/>
        <item x="4"/>
        <item x="5"/>
        <item x="6"/>
        <item x="7"/>
        <item x="2"/>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67">
        <item x="56"/>
        <item x="41"/>
        <item x="63"/>
        <item x="23"/>
        <item x="31"/>
        <item x="10"/>
        <item x="13"/>
        <item x="2"/>
        <item x="66"/>
        <item x="53"/>
        <item x="12"/>
        <item x="3"/>
        <item x="24"/>
        <item x="14"/>
        <item x="61"/>
        <item x="36"/>
        <item x="64"/>
        <item x="6"/>
        <item x="28"/>
        <item x="8"/>
        <item x="15"/>
        <item x="40"/>
        <item x="54"/>
        <item x="4"/>
        <item x="5"/>
        <item x="62"/>
        <item x="33"/>
        <item x="1"/>
        <item x="50"/>
        <item x="18"/>
        <item x="42"/>
        <item x="44"/>
        <item x="48"/>
        <item x="45"/>
        <item x="43"/>
        <item x="7"/>
        <item x="39"/>
        <item x="60"/>
        <item x="22"/>
        <item x="38"/>
        <item x="17"/>
        <item x="65"/>
        <item x="37"/>
        <item x="11"/>
        <item x="20"/>
        <item x="35"/>
        <item x="16"/>
        <item x="49"/>
        <item x="51"/>
        <item x="21"/>
        <item x="25"/>
        <item x="29"/>
        <item x="47"/>
        <item x="57"/>
        <item x="46"/>
        <item x="52"/>
        <item x="58"/>
        <item x="59"/>
        <item x="32"/>
        <item x="30"/>
        <item x="26"/>
        <item x="27"/>
        <item x="19"/>
        <item x="0"/>
        <item x="55"/>
        <item x="34"/>
        <item x="9"/>
      </items>
      <extLst>
        <ext xmlns:x14="http://schemas.microsoft.com/office/spreadsheetml/2009/9/main" uri="{2946ED86-A175-432a-8AC1-64E0C546D7DE}">
          <x14:pivotField fillDownLabels="1"/>
        </ext>
      </extLst>
    </pivotField>
    <pivotField axis="axisRow" compact="0" outline="0" showAll="0" defaultSubtotal="0">
      <items count="34">
        <item x="23"/>
        <item x="24"/>
        <item h="1" x="20"/>
        <item x="0"/>
        <item h="1" x="21"/>
        <item x="28"/>
        <item x="15"/>
        <item x="26"/>
        <item h="1" x="19"/>
        <item h="1" x="18"/>
        <item x="5"/>
        <item x="4"/>
        <item x="6"/>
        <item h="1" x="14"/>
        <item h="1" x="32"/>
        <item h="1" x="31"/>
        <item x="3"/>
        <item x="11"/>
        <item x="27"/>
        <item x="33"/>
        <item x="2"/>
        <item x="10"/>
        <item x="8"/>
        <item x="16"/>
        <item x="22"/>
        <item x="25"/>
        <item x="9"/>
        <item x="12"/>
        <item x="29"/>
        <item x="13"/>
        <item x="7"/>
        <item x="1"/>
        <item h="1" x="17"/>
        <item h="1" x="3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3">
    <field x="9"/>
    <field x="12"/>
    <field x="11"/>
  </rowFields>
  <rowItems count="63">
    <i>
      <x/>
      <x v="3"/>
      <x v="63"/>
    </i>
    <i r="1">
      <x v="6"/>
      <x v="61"/>
    </i>
    <i r="1">
      <x v="10"/>
      <x v="35"/>
    </i>
    <i r="1">
      <x v="11"/>
      <x v="17"/>
    </i>
    <i r="2">
      <x v="18"/>
    </i>
    <i r="2">
      <x v="19"/>
    </i>
    <i r="2">
      <x v="50"/>
    </i>
    <i r="2">
      <x v="62"/>
    </i>
    <i r="1">
      <x v="12"/>
      <x v="17"/>
    </i>
    <i r="2">
      <x v="19"/>
    </i>
    <i r="2">
      <x v="29"/>
    </i>
    <i r="1">
      <x v="16"/>
      <x v="23"/>
    </i>
    <i r="2">
      <x v="24"/>
    </i>
    <i r="1">
      <x v="17"/>
      <x v="3"/>
    </i>
    <i r="2">
      <x v="66"/>
    </i>
    <i r="1">
      <x v="20"/>
      <x v="7"/>
    </i>
    <i r="2">
      <x v="40"/>
    </i>
    <i r="1">
      <x v="21"/>
      <x v="20"/>
    </i>
    <i r="2">
      <x v="59"/>
    </i>
    <i r="2">
      <x v="60"/>
    </i>
    <i r="1">
      <x v="22"/>
      <x v="10"/>
    </i>
    <i r="2">
      <x v="43"/>
    </i>
    <i r="1">
      <x v="23"/>
      <x v="51"/>
    </i>
    <i r="1">
      <x v="26"/>
      <x v="6"/>
    </i>
    <i r="2">
      <x v="46"/>
    </i>
    <i r="1">
      <x v="27"/>
      <x v="6"/>
    </i>
    <i r="1">
      <x v="29"/>
      <x v="49"/>
    </i>
    <i r="1">
      <x v="30"/>
      <x v="5"/>
    </i>
    <i r="1">
      <x v="31"/>
      <x v="4"/>
    </i>
    <i r="2">
      <x v="11"/>
    </i>
    <i r="2">
      <x v="12"/>
    </i>
    <i r="2">
      <x v="13"/>
    </i>
    <i r="2">
      <x v="27"/>
    </i>
    <i r="2">
      <x v="38"/>
    </i>
    <i r="2">
      <x v="44"/>
    </i>
    <i r="2">
      <x v="66"/>
    </i>
    <i>
      <x v="3"/>
      <x/>
      <x v="32"/>
    </i>
    <i r="1">
      <x v="1"/>
      <x v="28"/>
    </i>
    <i r="2">
      <x v="47"/>
    </i>
    <i r="1">
      <x v="7"/>
      <x/>
    </i>
    <i r="1">
      <x v="24"/>
      <x v="9"/>
    </i>
    <i r="2">
      <x v="22"/>
    </i>
    <i r="2">
      <x v="29"/>
    </i>
    <i r="2">
      <x v="36"/>
    </i>
    <i r="2">
      <x v="48"/>
    </i>
    <i r="2">
      <x v="52"/>
    </i>
    <i r="2">
      <x v="53"/>
    </i>
    <i r="2">
      <x v="54"/>
    </i>
    <i r="2">
      <x v="55"/>
    </i>
    <i r="2">
      <x v="66"/>
    </i>
    <i r="1">
      <x v="25"/>
      <x v="64"/>
    </i>
    <i>
      <x v="4"/>
      <x v="5"/>
      <x v="18"/>
    </i>
    <i r="1">
      <x v="11"/>
      <x v="17"/>
    </i>
    <i r="2">
      <x v="18"/>
    </i>
    <i r="1">
      <x v="12"/>
      <x v="18"/>
    </i>
    <i r="1">
      <x v="18"/>
      <x v="18"/>
    </i>
    <i r="1">
      <x v="27"/>
      <x v="56"/>
    </i>
    <i r="2">
      <x v="57"/>
    </i>
    <i r="1">
      <x v="28"/>
      <x v="18"/>
    </i>
    <i>
      <x v="6"/>
      <x v="31"/>
      <x v="45"/>
    </i>
    <i>
      <x v="7"/>
      <x v="19"/>
      <x v="66"/>
    </i>
    <i r="1">
      <x v="22"/>
      <x v="43"/>
    </i>
    <i r="2">
      <x v="66"/>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D1789D-56C7-4741-9458-7B96A0AF521F}" name="TablaDinámica11"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 firstHeaderRow="0" firstDataRow="0" firstDataCol="0" rowPageCount="1" colPageCount="1"/>
  <pivotFields count="43">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showAll="0">
      <items count="5">
        <item x="1"/>
        <item x="0"/>
        <item x="2"/>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ageFields count="1">
    <pageField fld="13" hier="-1"/>
  </page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ACB5CB-CABE-4570-8420-98EDC99B37C2}" name="TablaDinámica12" cacheId="3"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C21" firstHeaderRow="1" firstDataRow="1" firstDataCol="0"/>
  <pivotFields count="43">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C5000E7-9597-4E24-8B3C-9F0520A27094}" name="TablaDinámica13" cacheId="5"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B41" firstHeaderRow="1" firstDataRow="1" firstDataCol="1"/>
  <pivotFields count="25">
    <pivotField showAll="0"/>
    <pivotField axis="axisRow" showAll="0">
      <items count="3">
        <item x="0"/>
        <item x="1"/>
        <item t="default"/>
      </items>
    </pivotField>
    <pivotField showAll="0">
      <items count="2">
        <item x="0"/>
        <item t="default"/>
      </items>
    </pivotField>
    <pivotField axis="axisRow" showAll="0" sortType="descending">
      <items count="37">
        <item x="0"/>
        <item x="21"/>
        <item x="22"/>
        <item x="23"/>
        <item x="24"/>
        <item x="25"/>
        <item x="26"/>
        <item x="1"/>
        <item x="27"/>
        <item x="2"/>
        <item x="3"/>
        <item x="4"/>
        <item x="5"/>
        <item x="6"/>
        <item x="7"/>
        <item x="28"/>
        <item x="29"/>
        <item x="8"/>
        <item x="9"/>
        <item x="11"/>
        <item x="12"/>
        <item x="13"/>
        <item x="14"/>
        <item x="10"/>
        <item h="1" x="15"/>
        <item x="16"/>
        <item x="17"/>
        <item x="18"/>
        <item x="30"/>
        <item x="19"/>
        <item x="31"/>
        <item x="20"/>
        <item x="32"/>
        <item x="33"/>
        <item x="34"/>
        <item x="35"/>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numFmtId="166" showAll="0"/>
  </pivotFields>
  <rowFields count="2">
    <field x="1"/>
    <field x="3"/>
  </rowFields>
  <rowItems count="38">
    <i>
      <x/>
    </i>
    <i r="1">
      <x v="25"/>
    </i>
    <i r="1">
      <x v="22"/>
    </i>
    <i r="1">
      <x v="11"/>
    </i>
    <i r="1">
      <x v="17"/>
    </i>
    <i r="1">
      <x v="20"/>
    </i>
    <i r="1">
      <x v="23"/>
    </i>
    <i r="1">
      <x v="10"/>
    </i>
    <i r="1">
      <x v="19"/>
    </i>
    <i r="1">
      <x v="7"/>
    </i>
    <i r="1">
      <x v="21"/>
    </i>
    <i r="1">
      <x v="31"/>
    </i>
    <i r="1">
      <x v="29"/>
    </i>
    <i r="1">
      <x v="9"/>
    </i>
    <i r="1">
      <x v="18"/>
    </i>
    <i r="1">
      <x v="12"/>
    </i>
    <i r="1">
      <x v="13"/>
    </i>
    <i r="1">
      <x v="14"/>
    </i>
    <i r="1">
      <x v="26"/>
    </i>
    <i r="1">
      <x/>
    </i>
    <i r="1">
      <x v="27"/>
    </i>
    <i>
      <x v="1"/>
    </i>
    <i r="1">
      <x v="30"/>
    </i>
    <i r="1">
      <x v="32"/>
    </i>
    <i r="1">
      <x v="1"/>
    </i>
    <i r="1">
      <x v="5"/>
    </i>
    <i r="1">
      <x v="15"/>
    </i>
    <i r="1">
      <x v="8"/>
    </i>
    <i r="1">
      <x v="34"/>
    </i>
    <i r="1">
      <x v="2"/>
    </i>
    <i r="1">
      <x v="33"/>
    </i>
    <i r="1">
      <x v="35"/>
    </i>
    <i r="1">
      <x v="16"/>
    </i>
    <i r="1">
      <x v="28"/>
    </i>
    <i r="1">
      <x v="6"/>
    </i>
    <i r="1">
      <x v="3"/>
    </i>
    <i r="1">
      <x v="4"/>
    </i>
    <i t="grand">
      <x/>
    </i>
  </rowItems>
  <colItems count="1">
    <i/>
  </colItems>
  <dataFields count="1">
    <dataField name="Suma de TOTAL" fld="24" baseField="0" baseItem="0"/>
  </dataFields>
  <formats count="5">
    <format dxfId="453">
      <pivotArea collapsedLevelsAreSubtotals="1" fieldPosition="0">
        <references count="1">
          <reference field="1" count="1">
            <x v="0"/>
          </reference>
        </references>
      </pivotArea>
    </format>
    <format dxfId="452">
      <pivotArea collapsedLevelsAreSubtotals="1" fieldPosition="0">
        <references count="2">
          <reference field="1" count="1" selected="0">
            <x v="0"/>
          </reference>
          <reference field="3" count="21">
            <x v="0"/>
            <x v="7"/>
            <x v="9"/>
            <x v="10"/>
            <x v="11"/>
            <x v="12"/>
            <x v="13"/>
            <x v="14"/>
            <x v="17"/>
            <x v="18"/>
            <x v="19"/>
            <x v="20"/>
            <x v="21"/>
            <x v="22"/>
            <x v="23"/>
            <x v="24"/>
            <x v="25"/>
            <x v="26"/>
            <x v="27"/>
            <x v="29"/>
            <x v="31"/>
          </reference>
        </references>
      </pivotArea>
    </format>
    <format dxfId="451">
      <pivotArea collapsedLevelsAreSubtotals="1" fieldPosition="0">
        <references count="1">
          <reference field="1" count="1">
            <x v="1"/>
          </reference>
        </references>
      </pivotArea>
    </format>
    <format dxfId="450">
      <pivotArea collapsedLevelsAreSubtotals="1" fieldPosition="0">
        <references count="2">
          <reference field="1" count="1" selected="0">
            <x v="1"/>
          </reference>
          <reference field="3" count="15">
            <x v="1"/>
            <x v="2"/>
            <x v="3"/>
            <x v="4"/>
            <x v="5"/>
            <x v="6"/>
            <x v="8"/>
            <x v="15"/>
            <x v="16"/>
            <x v="28"/>
            <x v="30"/>
            <x v="32"/>
            <x v="33"/>
            <x v="34"/>
            <x v="35"/>
          </reference>
        </references>
      </pivotArea>
    </format>
    <format dxfId="449">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06557F-DEA5-4F02-814E-48B832C2A105}" name="TablaDinámica5" cacheId="4"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B15" firstHeaderRow="1" firstDataRow="1" firstDataCol="1" rowPageCount="2" colPageCount="1"/>
  <pivotFields count="47">
    <pivotField showAll="0"/>
    <pivotField axis="axisPage" multipleItemSelectionAllowed="1" showAll="0">
      <items count="10">
        <item h="1" x="6"/>
        <item x="1"/>
        <item h="1" x="5"/>
        <item h="1" x="4"/>
        <item h="1" x="3"/>
        <item h="1" x="7"/>
        <item h="1" x="0"/>
        <item h="1" x="2"/>
        <item h="1" x="8"/>
        <item t="default"/>
      </items>
    </pivotField>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axis="axisPage" multipleItemSelectionAllowed="1" showAll="0">
      <items count="37">
        <item x="25"/>
        <item x="26"/>
        <item x="22"/>
        <item x="0"/>
        <item x="24"/>
        <item x="30"/>
        <item x="17"/>
        <item x="28"/>
        <item x="21"/>
        <item x="23"/>
        <item x="5"/>
        <item x="4"/>
        <item x="6"/>
        <item x="16"/>
        <item x="34"/>
        <item x="33"/>
        <item x="3"/>
        <item x="11"/>
        <item x="29"/>
        <item x="35"/>
        <item x="2"/>
        <item x="10"/>
        <item x="8"/>
        <item x="18"/>
        <item x="15"/>
        <item x="27"/>
        <item x="13"/>
        <item x="9"/>
        <item x="20"/>
        <item x="12"/>
        <item x="31"/>
        <item x="14"/>
        <item x="7"/>
        <item x="1"/>
        <item x="19"/>
        <item x="3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18">
        <item x="5"/>
        <item m="1" x="16"/>
        <item m="1" x="15"/>
        <item m="1" x="14"/>
        <item x="6"/>
        <item x="13"/>
        <item x="12"/>
        <item x="9"/>
        <item x="7"/>
        <item x="1"/>
        <item x="0"/>
        <item x="4"/>
        <item x="10"/>
        <item x="11"/>
        <item x="3"/>
        <item x="8"/>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0"/>
  </rowFields>
  <rowItems count="11">
    <i>
      <x v="7"/>
    </i>
    <i>
      <x v="8"/>
    </i>
    <i>
      <x v="9"/>
    </i>
    <i>
      <x v="10"/>
    </i>
    <i>
      <x v="11"/>
    </i>
    <i>
      <x v="12"/>
    </i>
    <i>
      <x v="13"/>
    </i>
    <i>
      <x v="14"/>
    </i>
    <i>
      <x v="15"/>
    </i>
    <i>
      <x v="16"/>
    </i>
    <i t="grand">
      <x/>
    </i>
  </rowItems>
  <colItems count="1">
    <i/>
  </colItems>
  <pageFields count="2">
    <pageField fld="1" hier="-1"/>
    <pageField fld="15" hier="-1"/>
  </pageFields>
  <dataFields count="1">
    <dataField name="Cuenta de Sprint" fld="3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706870D-A5D1-4B7C-8D98-CF34F7B70055}"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F23" firstHeaderRow="1" firstDataRow="2" firstDataCol="1" rowPageCount="4" colPageCount="1"/>
  <pivotFields count="42">
    <pivotField axis="axisPage" multipleItemSelectionAllowed="1" showAll="0">
      <items count="7">
        <item m="1" x="5"/>
        <item x="3"/>
        <item x="1"/>
        <item x="0"/>
        <item m="1" x="4"/>
        <item x="2"/>
        <item t="default"/>
      </items>
    </pivotField>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axis="axisPage" multipleItemSelectionAllowed="1" showAll="0">
      <items count="13">
        <item h="1" x="2"/>
        <item m="1" x="10"/>
        <item h="1" x="1"/>
        <item m="1" x="11"/>
        <item x="0"/>
        <item h="1" x="4"/>
        <item h="1" x="3"/>
        <item h="1" x="6"/>
        <item h="1" m="1" x="8"/>
        <item h="1" m="1" x="9"/>
        <item h="1" m="1" x="7"/>
        <item h="1" x="5"/>
        <item t="default"/>
      </items>
    </pivotField>
    <pivotField axis="axisPage" multipleItemSelectionAllowed="1" showAll="0">
      <items count="10">
        <item h="1" x="2"/>
        <item h="1" x="4"/>
        <item h="1" x="3"/>
        <item x="0"/>
        <item h="1" x="5"/>
        <item m="1" x="8"/>
        <item h="1" x="1"/>
        <item h="1" x="6"/>
        <item h="1" m="1" x="7"/>
        <item t="default"/>
      </items>
    </pivotField>
    <pivotField showAll="0"/>
    <pivotField showAll="0"/>
    <pivotField showAll="0"/>
    <pivotField showAll="0"/>
    <pivotField showAll="0"/>
    <pivotField axis="axisCol" showAll="0">
      <items count="7">
        <item m="1" x="5"/>
        <item x="1"/>
        <item x="2"/>
        <item x="0"/>
        <item x="3"/>
        <item h="1" x="4"/>
        <item t="default"/>
      </items>
    </pivotField>
    <pivotField showAll="0"/>
    <pivotField axis="axisRow" showAll="0">
      <items count="10">
        <item m="1" x="6"/>
        <item x="1"/>
        <item m="1" x="5"/>
        <item m="1" x="4"/>
        <item h="1" m="1" x="8"/>
        <item h="1"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4">
    <pageField fld="9" hier="-1"/>
    <pageField fld="10" hier="-1"/>
    <pageField fld="1" hier="-1"/>
    <pageField fld="0" hier="-1"/>
  </pageFields>
  <dataFields count="1">
    <dataField name="Suma de TOTAL" fld="24" baseField="0" baseItem="0" numFmtId="165"/>
  </dataFields>
  <formats count="9">
    <format dxfId="437">
      <pivotArea outline="0" collapsedLevelsAreSubtotals="1" fieldPosition="0"/>
    </format>
    <format dxfId="436">
      <pivotArea dataOnly="0" labelOnly="1" grandCol="1" outline="0" fieldPosition="0"/>
    </format>
    <format dxfId="435">
      <pivotArea dataOnly="0" labelOnly="1" fieldPosition="0">
        <references count="1">
          <reference field="18" count="1">
            <x v="0"/>
          </reference>
        </references>
      </pivotArea>
    </format>
    <format dxfId="434">
      <pivotArea dataOnly="0" labelOnly="1" fieldPosition="0">
        <references count="1">
          <reference field="18" count="1">
            <x v="1"/>
          </reference>
        </references>
      </pivotArea>
    </format>
    <format dxfId="433">
      <pivotArea dataOnly="0" labelOnly="1" fieldPosition="0">
        <references count="1">
          <reference field="18" count="1">
            <x v="3"/>
          </reference>
        </references>
      </pivotArea>
    </format>
    <format dxfId="432">
      <pivotArea dataOnly="0" labelOnly="1" fieldPosition="0">
        <references count="1">
          <reference field="18" count="1">
            <x v="3"/>
          </reference>
        </references>
      </pivotArea>
    </format>
    <format dxfId="431">
      <pivotArea dataOnly="0" labelOnly="1" fieldPosition="0">
        <references count="1">
          <reference field="16" count="3">
            <x v="1"/>
            <x v="2"/>
            <x v="4"/>
          </reference>
        </references>
      </pivotArea>
    </format>
    <format dxfId="430">
      <pivotArea field="16" grandRow="1" outline="0" collapsedLevelsAreSubtotals="1" axis="axisCol" fieldPosition="0">
        <references count="1">
          <reference field="16" count="1" selected="0">
            <x v="1"/>
          </reference>
        </references>
      </pivotArea>
    </format>
    <format dxfId="4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D5ABF5-501E-4F71-AEE4-4BBECEE5851E}"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0:C35" firstHeaderRow="0" firstDataRow="1" firstDataCol="1" rowPageCount="3" colPageCount="1"/>
  <pivotFields count="42">
    <pivotField axis="axisPage" multipleItemSelectionAllowed="1" showAll="0">
      <items count="7">
        <item h="1" m="1" x="5"/>
        <item x="3"/>
        <item x="1"/>
        <item x="0"/>
        <item h="1" m="1" x="4"/>
        <item h="1" x="2"/>
        <item t="default"/>
      </items>
    </pivotField>
    <pivotField axis="axisRow" multipleItemSelectionAllowed="1" showAll="0">
      <items count="19">
        <item h="1" x="4"/>
        <item sd="0" x="2"/>
        <item sd="0" x="5"/>
        <item m="1" x="12"/>
        <item m="1" x="14"/>
        <item sd="0" x="1"/>
        <item sd="0" x="3"/>
        <item x="6"/>
        <item x="7"/>
        <item m="1" x="15"/>
        <item m="1" x="16"/>
        <item m="1" x="17"/>
        <item sd="0" x="0"/>
        <item m="1" x="13"/>
        <item h="1" x="8"/>
        <item h="1" m="1" x="11"/>
        <item h="1" m="1" x="10"/>
        <item h="1" m="1" x="9"/>
        <item t="default"/>
      </items>
    </pivotField>
    <pivotField showAll="0"/>
    <pivotField showAll="0"/>
    <pivotField showAll="0"/>
    <pivotField showAll="0"/>
    <pivotField showAll="0"/>
    <pivotField showAll="0"/>
    <pivotField showAll="0"/>
    <pivotField axis="axisPage" multipleItemSelectionAllowed="1" showAll="0">
      <items count="13">
        <item h="1" x="2"/>
        <item m="1" x="10"/>
        <item h="1" x="1"/>
        <item m="1" x="11"/>
        <item x="0"/>
        <item h="1" x="4"/>
        <item h="1" x="3"/>
        <item h="1" x="6"/>
        <item h="1" m="1" x="8"/>
        <item h="1" m="1" x="9"/>
        <item h="1" m="1" x="7"/>
        <item h="1" x="5"/>
        <item t="default"/>
      </items>
    </pivotField>
    <pivotField multipleItemSelectionAllowed="1" showAll="0"/>
    <pivotField showAll="0"/>
    <pivotField axis="axisPage" showAll="0">
      <items count="46">
        <item x="3"/>
        <item x="13"/>
        <item x="18"/>
        <item x="2"/>
        <item x="30"/>
        <item x="26"/>
        <item x="29"/>
        <item m="1" x="43"/>
        <item m="1" x="40"/>
        <item x="12"/>
        <item x="8"/>
        <item x="10"/>
        <item x="9"/>
        <item m="1" x="35"/>
        <item x="11"/>
        <item x="1"/>
        <item x="22"/>
        <item m="1" x="37"/>
        <item x="6"/>
        <item x="20"/>
        <item m="1" x="33"/>
        <item m="1" x="36"/>
        <item x="15"/>
        <item x="19"/>
        <item x="32"/>
        <item x="0"/>
        <item x="25"/>
        <item x="17"/>
        <item m="1" x="42"/>
        <item m="1" x="41"/>
        <item x="21"/>
        <item x="23"/>
        <item m="1" x="44"/>
        <item m="1" x="38"/>
        <item m="1" x="39"/>
        <item x="14"/>
        <item m="1" x="34"/>
        <item x="4"/>
        <item x="5"/>
        <item x="7"/>
        <item x="28"/>
        <item x="27"/>
        <item x="24"/>
        <item x="16"/>
        <item x="31"/>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5">
    <i>
      <x v="1"/>
    </i>
    <i>
      <x v="5"/>
    </i>
    <i>
      <x v="6"/>
    </i>
    <i>
      <x v="12"/>
    </i>
    <i t="grand">
      <x/>
    </i>
  </rowItems>
  <colFields count="1">
    <field x="-2"/>
  </colFields>
  <colItems count="2">
    <i>
      <x/>
    </i>
    <i i="1">
      <x v="1"/>
    </i>
  </colItems>
  <pageFields count="3">
    <pageField fld="0" hier="-1"/>
    <pageField fld="9" hier="-1"/>
    <pageField fld="12" hier="-1"/>
  </pageFields>
  <dataFields count="2">
    <dataField name="Suma de TOTAL" fld="24" baseField="0" baseItem="0" numFmtId="165"/>
    <dataField name="Suma de TOTAL2" fld="24" showDataAs="percentOfTotal" baseField="2" baseItem="2" numFmtId="10"/>
  </dataFields>
  <formats count="4">
    <format dxfId="441">
      <pivotArea grandRow="1" outline="0" collapsedLevelsAreSubtotals="1" fieldPosition="0"/>
    </format>
    <format dxfId="440">
      <pivotArea outline="0" collapsedLevelsAreSubtotals="1" fieldPosition="0"/>
    </format>
    <format dxfId="439">
      <pivotArea outline="0" fieldPosition="0">
        <references count="1">
          <reference field="4294967294" count="1">
            <x v="1"/>
          </reference>
        </references>
      </pivotArea>
    </format>
    <format dxfId="438">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AAC72C1-CC4A-4246-AEFE-AD18FE376312}"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3" colPageCount="1"/>
  <pivotFields count="42">
    <pivotField showAll="0"/>
    <pivotField axis="axisPage" multipleItemSelectionAllowed="1" showAll="0">
      <items count="19">
        <item h="1" x="4"/>
        <item x="2"/>
        <item x="5"/>
        <item m="1" x="12"/>
        <item m="1" x="14"/>
        <item x="1"/>
        <item x="3"/>
        <item h="1" x="6"/>
        <item h="1"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axis="axisPage" multipleItemSelectionAllowed="1" showAll="0">
      <items count="13">
        <item h="1" x="2"/>
        <item m="1" x="10"/>
        <item h="1" x="1"/>
        <item m="1" x="11"/>
        <item x="0"/>
        <item h="1" x="4"/>
        <item h="1" x="3"/>
        <item h="1" x="6"/>
        <item h="1" m="1" x="8"/>
        <item h="1" m="1" x="9"/>
        <item h="1" m="1" x="7"/>
        <item h="1" x="5"/>
        <item t="default"/>
      </items>
    </pivotField>
    <pivotField axis="axisPage" multipleItemSelectionAllowed="1" showAll="0">
      <items count="10">
        <item h="1" x="2"/>
        <item h="1" x="4"/>
        <item h="1" x="3"/>
        <item x="0"/>
        <item h="1" x="5"/>
        <item m="1" x="8"/>
        <item h="1" x="1"/>
        <item h="1" x="6"/>
        <item h="1"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h="1" m="1" x="8"/>
        <item h="1"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3">
    <pageField fld="9" hier="-1"/>
    <pageField fld="10" hier="-1"/>
    <pageField fld="1" hier="-1"/>
  </pageFields>
  <formats count="7">
    <format dxfId="448">
      <pivotArea outline="0" collapsedLevelsAreSubtotals="1" fieldPosition="0"/>
    </format>
    <format dxfId="447">
      <pivotArea dataOnly="0" labelOnly="1" grandCol="1" outline="0" fieldPosition="0"/>
    </format>
    <format dxfId="446">
      <pivotArea dataOnly="0" labelOnly="1" fieldPosition="0">
        <references count="1">
          <reference field="18" count="1">
            <x v="0"/>
          </reference>
        </references>
      </pivotArea>
    </format>
    <format dxfId="445">
      <pivotArea dataOnly="0" labelOnly="1" fieldPosition="0">
        <references count="1">
          <reference field="18" count="1">
            <x v="1"/>
          </reference>
        </references>
      </pivotArea>
    </format>
    <format dxfId="444">
      <pivotArea dataOnly="0" labelOnly="1" fieldPosition="0">
        <references count="1">
          <reference field="18" count="1">
            <x v="3"/>
          </reference>
        </references>
      </pivotArea>
    </format>
    <format dxfId="443">
      <pivotArea dataOnly="0" labelOnly="1" fieldPosition="0">
        <references count="1">
          <reference field="18" count="1">
            <x v="3"/>
          </reference>
        </references>
      </pivotArea>
    </format>
    <format dxfId="442">
      <pivotArea dataOnly="0" labelOnly="1" fieldPosition="0">
        <references count="1">
          <reference field="16" count="3">
            <x v="1"/>
            <x v="2"/>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0BF4AAE-A9C1-4010-91AC-490DCDBC3B50}"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B25" firstHeaderRow="1" firstDataRow="1" firstDataCol="1" rowPageCount="3" colPageCount="1"/>
  <pivotFields count="42">
    <pivotField showAll="0"/>
    <pivotField axis="axisRow" multipleItemSelectionAllowed="1" showAll="0">
      <items count="19">
        <item m="1" x="10"/>
        <item x="4"/>
        <item x="2"/>
        <item x="7"/>
        <item x="5"/>
        <item m="1" x="16"/>
        <item m="1" x="13"/>
        <item m="1" x="15"/>
        <item m="1" x="17"/>
        <item m="1" x="12"/>
        <item x="1"/>
        <item x="0"/>
        <item x="8"/>
        <item m="1" x="14"/>
        <item m="1" x="11"/>
        <item x="3"/>
        <item x="6"/>
        <item m="1" x="9"/>
        <item t="default"/>
      </items>
    </pivotField>
    <pivotField showAll="0"/>
    <pivotField showAll="0"/>
    <pivotField showAll="0"/>
    <pivotField showAll="0"/>
    <pivotField showAll="0"/>
    <pivotField showAll="0"/>
    <pivotField showAll="0"/>
    <pivotField axis="axisRow" showAll="0">
      <items count="13">
        <item m="1" x="8"/>
        <item m="1" x="9"/>
        <item x="2"/>
        <item m="1" x="10"/>
        <item x="1"/>
        <item m="1" x="11"/>
        <item x="0"/>
        <item x="4"/>
        <item h="1" x="3"/>
        <item x="6"/>
        <item h="1" m="1" x="7"/>
        <item h="1" x="5"/>
        <item t="default"/>
      </items>
    </pivotField>
    <pivotField axis="axisPage" multipleItemSelectionAllowed="1" showAll="0">
      <items count="10">
        <item x="2"/>
        <item x="4"/>
        <item x="3"/>
        <item x="0"/>
        <item x="5"/>
        <item m="1" x="8"/>
        <item x="1"/>
        <item x="6"/>
        <item m="1" x="7"/>
        <item t="default"/>
      </items>
    </pivotField>
    <pivotField axis="axisPage" multipleItemSelectionAllowed="1" showAll="0">
      <items count="70">
        <item h="1" x="61"/>
        <item h="1" x="26"/>
        <item h="1" x="43"/>
        <item h="1" x="47"/>
        <item h="1" x="31"/>
        <item h="1" x="19"/>
        <item h="1" x="23"/>
        <item h="1" x="20"/>
        <item h="1" x="64"/>
        <item h="1" x="49"/>
        <item h="1" x="22"/>
        <item h="1" x="10"/>
        <item h="1" x="52"/>
        <item h="1" x="34"/>
        <item h="1" x="39"/>
        <item h="1" x="17"/>
        <item h="1" x="57"/>
        <item h="1" x="13"/>
        <item h="1" x="12"/>
        <item h="1" x="16"/>
        <item h="1" x="27"/>
        <item h="1" x="41"/>
        <item h="1" x="51"/>
        <item h="1" m="1" x="68"/>
        <item h="1" x="8"/>
        <item h="1" x="9"/>
        <item h="1" x="42"/>
        <item h="1" x="7"/>
        <item h="1" x="5"/>
        <item h="1" x="29"/>
        <item h="1" x="36"/>
        <item h="1" x="48"/>
        <item h="1" x="54"/>
        <item h="1" x="4"/>
        <item h="1" x="58"/>
        <item h="1" x="50"/>
        <item h="1" x="15"/>
        <item h="1" x="40"/>
        <item h="1" x="14"/>
        <item h="1" x="46"/>
        <item h="1" x="35"/>
        <item h="1" x="37"/>
        <item h="1" x="63"/>
        <item h="1" x="28"/>
        <item h="1" x="21"/>
        <item h="1" x="6"/>
        <item h="1" x="24"/>
        <item h="1" x="32"/>
        <item h="1" x="18"/>
        <item h="1" x="44"/>
        <item h="1" x="53"/>
        <item h="1" x="62"/>
        <item h="1" x="1"/>
        <item h="1" x="66"/>
        <item h="1" x="0"/>
        <item h="1" x="33"/>
        <item h="1" x="45"/>
        <item h="1" x="60"/>
        <item h="1" x="2"/>
        <item x="65"/>
        <item h="1" x="59"/>
        <item h="1" x="38"/>
        <item h="1" x="3"/>
        <item h="1" x="56"/>
        <item h="1" x="11"/>
        <item h="1" x="25"/>
        <item h="1" x="55"/>
        <item h="1" m="1" x="67"/>
        <item h="1" x="30"/>
        <item t="default"/>
      </items>
    </pivotField>
    <pivotField axis="axisPage" multipleItemSelectionAllowed="1" showAll="0" sortType="descending">
      <items count="46">
        <item x="3"/>
        <item x="13"/>
        <item x="18"/>
        <item sd="0" x="2"/>
        <item x="30"/>
        <item sd="0" x="26"/>
        <item sd="0" x="29"/>
        <item m="1" x="43"/>
        <item m="1" x="40"/>
        <item x="12"/>
        <item x="8"/>
        <item sd="0" x="10"/>
        <item sd="0" x="9"/>
        <item m="1" x="35"/>
        <item sd="0" x="11"/>
        <item x="1"/>
        <item x="22"/>
        <item m="1" x="37"/>
        <item x="6"/>
        <item sd="0" x="20"/>
        <item sd="0" m="1" x="33"/>
        <item m="1" x="36"/>
        <item sd="0" x="15"/>
        <item sd="0" x="19"/>
        <item sd="0" x="32"/>
        <item sd="0" x="0"/>
        <item x="25"/>
        <item x="17"/>
        <item m="1" x="42"/>
        <item m="1" x="41"/>
        <item sd="0" x="21"/>
        <item x="23"/>
        <item m="1" x="44"/>
        <item m="1" x="38"/>
        <item m="1" x="39"/>
        <item sd="0" x="14"/>
        <item m="1" x="34"/>
        <item sd="0" x="4"/>
        <item x="5"/>
        <item x="7"/>
        <item sd="0" x="28"/>
        <item sd="0" x="27"/>
        <item sd="0"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9"/>
    <field x="1"/>
  </rowFields>
  <rowItems count="3">
    <i>
      <x v="2"/>
    </i>
    <i r="1">
      <x v="15"/>
    </i>
    <i t="grand">
      <x/>
    </i>
  </rowItems>
  <colItems count="1">
    <i/>
  </colItems>
  <pageFields count="3">
    <pageField fld="10" hier="-1"/>
    <pageField fld="12" hier="-1"/>
    <pageField fld="11" hier="-1"/>
  </pageFields>
  <dataFields count="1">
    <dataField name="Suma de TOTAL" fld="24" baseField="0" baseItem="0"/>
  </dataFields>
  <formats count="17">
    <format dxfId="409">
      <pivotArea field="1" outline="0" collapsedLevelsAreSubtotals="1" axis="axisRow" fieldPosition="1">
        <references count="1">
          <reference field="4294967294" count="1" selected="0">
            <x v="0"/>
          </reference>
        </references>
      </pivotArea>
    </format>
    <format dxfId="408">
      <pivotArea field="12" collapsedLevelsAreSubtotals="1" axis="axisPage" fieldPosition="1">
        <references count="3">
          <reference field="4294967294" count="1" selected="0">
            <x v="0"/>
          </reference>
          <reference field="9" count="1" selected="0">
            <x v="2"/>
          </reference>
          <reference field="12" count="1">
            <x v="37"/>
          </reference>
        </references>
      </pivotArea>
    </format>
    <format dxfId="407">
      <pivotArea field="12" collapsedLevelsAreSubtotals="1" axis="axisPage" fieldPosition="1">
        <references count="3">
          <reference field="4294967294" count="1" selected="0">
            <x v="0"/>
          </reference>
          <reference field="9" count="1" selected="0">
            <x v="2"/>
          </reference>
          <reference field="12" count="1">
            <x v="12"/>
          </reference>
        </references>
      </pivotArea>
    </format>
    <format dxfId="406">
      <pivotArea field="12" collapsedLevelsAreSubtotals="1" axis="axisPage" fieldPosition="1">
        <references count="3">
          <reference field="4294967294" count="1" selected="0">
            <x v="0"/>
          </reference>
          <reference field="9" count="1" selected="0">
            <x v="2"/>
          </reference>
          <reference field="12" count="1">
            <x v="14"/>
          </reference>
        </references>
      </pivotArea>
    </format>
    <format dxfId="405">
      <pivotArea field="12" collapsedLevelsAreSubtotals="1" axis="axisPage" fieldPosition="1">
        <references count="3">
          <reference field="4294967294" count="1" selected="0">
            <x v="0"/>
          </reference>
          <reference field="9" count="1" selected="0">
            <x v="2"/>
          </reference>
          <reference field="12" count="1">
            <x v="22"/>
          </reference>
        </references>
      </pivotArea>
    </format>
    <format dxfId="404">
      <pivotArea dataOnly="0" labelOnly="1" fieldPosition="0">
        <references count="2">
          <reference field="9" count="1" selected="0">
            <x v="2"/>
          </reference>
          <reference field="12" count="1">
            <x v="12"/>
          </reference>
        </references>
      </pivotArea>
    </format>
    <format dxfId="403">
      <pivotArea dataOnly="0" labelOnly="1" fieldPosition="0">
        <references count="2">
          <reference field="9" count="1" selected="0">
            <x v="2"/>
          </reference>
          <reference field="12" count="1">
            <x v="37"/>
          </reference>
        </references>
      </pivotArea>
    </format>
    <format dxfId="402">
      <pivotArea dataOnly="0" labelOnly="1" fieldPosition="0">
        <references count="2">
          <reference field="9" count="1" selected="0">
            <x v="2"/>
          </reference>
          <reference field="12" count="1">
            <x v="14"/>
          </reference>
        </references>
      </pivotArea>
    </format>
    <format dxfId="401">
      <pivotArea dataOnly="0" labelOnly="1" fieldPosition="0">
        <references count="2">
          <reference field="9" count="1" selected="0">
            <x v="2"/>
          </reference>
          <reference field="12" count="1">
            <x v="3"/>
          </reference>
        </references>
      </pivotArea>
    </format>
    <format dxfId="400">
      <pivotArea dataOnly="0" labelOnly="1" fieldPosition="0">
        <references count="2">
          <reference field="9" count="1" selected="0">
            <x v="2"/>
          </reference>
          <reference field="12" count="1">
            <x v="22"/>
          </reference>
        </references>
      </pivotArea>
    </format>
    <format dxfId="399">
      <pivotArea dataOnly="0" labelOnly="1" fieldPosition="0">
        <references count="2">
          <reference field="9" count="1" selected="0">
            <x v="6"/>
          </reference>
          <reference field="12" count="1">
            <x v="25"/>
          </reference>
        </references>
      </pivotArea>
    </format>
    <format dxfId="398">
      <pivotArea dataOnly="0" labelOnly="1" fieldPosition="0">
        <references count="2">
          <reference field="9" count="1" selected="0">
            <x v="6"/>
          </reference>
          <reference field="12" count="1">
            <x v="6"/>
          </reference>
        </references>
      </pivotArea>
    </format>
    <format dxfId="397">
      <pivotArea dataOnly="0" labelOnly="1" fieldPosition="0">
        <references count="2">
          <reference field="9" count="1" selected="0">
            <x v="2"/>
          </reference>
          <reference field="12" count="1">
            <x v="19"/>
          </reference>
        </references>
      </pivotArea>
    </format>
    <format dxfId="396">
      <pivotArea collapsedLevelsAreSubtotals="1" fieldPosition="0">
        <references count="1">
          <reference field="9" count="1">
            <x v="2"/>
          </reference>
        </references>
      </pivotArea>
    </format>
    <format dxfId="395">
      <pivotArea collapsedLevelsAreSubtotals="1" fieldPosition="0">
        <references count="1">
          <reference field="9" count="1">
            <x v="7"/>
          </reference>
        </references>
      </pivotArea>
    </format>
    <format dxfId="394">
      <pivotArea collapsedLevelsAreSubtotals="1" fieldPosition="0">
        <references count="1">
          <reference field="9" count="1">
            <x v="2"/>
          </reference>
        </references>
      </pivotArea>
    </format>
    <format dxfId="393">
      <pivotArea collapsedLevelsAreSubtotals="1" fieldPosition="0">
        <references count="1">
          <reference field="9" count="1">
            <x v="7"/>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D4FF0CA-3F6B-4D5B-A9AF-FBCC1912C312}"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B10" firstHeaderRow="1" firstDataRow="1" firstDataCol="1" rowPageCount="3" colPageCount="1"/>
  <pivotFields count="42">
    <pivotField showAll="0"/>
    <pivotField axis="axisRow" multipleItemSelectionAllowed="1" showAll="0">
      <items count="19">
        <item m="1" x="10"/>
        <item x="4"/>
        <item x="2"/>
        <item x="7"/>
        <item x="5"/>
        <item m="1" x="16"/>
        <item m="1" x="13"/>
        <item m="1" x="15"/>
        <item m="1" x="17"/>
        <item m="1" x="12"/>
        <item x="1"/>
        <item x="0"/>
        <item x="8"/>
        <item m="1" x="14"/>
        <item m="1" x="11"/>
        <item x="3"/>
        <item x="6"/>
        <item m="1" x="9"/>
        <item t="default"/>
      </items>
    </pivotField>
    <pivotField showAll="0"/>
    <pivotField showAll="0"/>
    <pivotField showAll="0"/>
    <pivotField showAll="0"/>
    <pivotField showAll="0"/>
    <pivotField showAll="0"/>
    <pivotField showAll="0"/>
    <pivotField axis="axisRow" showAll="0">
      <items count="13">
        <item m="1" x="8"/>
        <item m="1" x="9"/>
        <item x="2"/>
        <item m="1" x="10"/>
        <item x="1"/>
        <item m="1" x="11"/>
        <item x="0"/>
        <item x="4"/>
        <item h="1" x="3"/>
        <item x="6"/>
        <item h="1" m="1" x="7"/>
        <item h="1" x="5"/>
        <item t="default"/>
      </items>
    </pivotField>
    <pivotField axis="axisPage" multipleItemSelectionAllowed="1" showAll="0">
      <items count="10">
        <item x="2"/>
        <item x="4"/>
        <item x="3"/>
        <item x="0"/>
        <item x="5"/>
        <item m="1" x="8"/>
        <item x="1"/>
        <item x="6"/>
        <item m="1" x="7"/>
        <item t="default"/>
      </items>
    </pivotField>
    <pivotField axis="axisPage" multipleItemSelectionAllowed="1" showAll="0">
      <items count="70">
        <item h="1" x="61"/>
        <item h="1" x="26"/>
        <item h="1" x="43"/>
        <item h="1" x="47"/>
        <item h="1" x="31"/>
        <item h="1" x="19"/>
        <item h="1" x="23"/>
        <item x="20"/>
        <item h="1" x="64"/>
        <item h="1" x="49"/>
        <item h="1" x="22"/>
        <item h="1" x="10"/>
        <item h="1" x="52"/>
        <item h="1" x="34"/>
        <item h="1" x="39"/>
        <item h="1" x="17"/>
        <item h="1" x="57"/>
        <item h="1" x="13"/>
        <item h="1" x="12"/>
        <item h="1" x="16"/>
        <item h="1" x="27"/>
        <item h="1" x="41"/>
        <item h="1" x="51"/>
        <item h="1" m="1" x="68"/>
        <item h="1" x="8"/>
        <item h="1" x="9"/>
        <item h="1" x="42"/>
        <item h="1" x="7"/>
        <item h="1" x="5"/>
        <item h="1" x="29"/>
        <item h="1" x="36"/>
        <item h="1" x="48"/>
        <item h="1" x="54"/>
        <item h="1" x="4"/>
        <item h="1" x="58"/>
        <item h="1" x="50"/>
        <item h="1" x="15"/>
        <item h="1" x="40"/>
        <item h="1" x="14"/>
        <item h="1" x="46"/>
        <item h="1" x="35"/>
        <item x="37"/>
        <item h="1" x="63"/>
        <item h="1" x="28"/>
        <item h="1" x="21"/>
        <item h="1" x="6"/>
        <item h="1" x="24"/>
        <item h="1" x="32"/>
        <item h="1" x="18"/>
        <item h="1" x="44"/>
        <item h="1" x="53"/>
        <item h="1" x="62"/>
        <item h="1" x="1"/>
        <item h="1" x="66"/>
        <item h="1" x="0"/>
        <item h="1" x="33"/>
        <item h="1" x="45"/>
        <item h="1" x="60"/>
        <item h="1" x="2"/>
        <item h="1" x="65"/>
        <item h="1" x="59"/>
        <item h="1" x="38"/>
        <item h="1" x="3"/>
        <item h="1" x="56"/>
        <item h="1" x="11"/>
        <item h="1" x="25"/>
        <item h="1" x="55"/>
        <item h="1" m="1" x="67"/>
        <item h="1" x="30"/>
        <item t="default"/>
      </items>
    </pivotField>
    <pivotField axis="axisPage" multipleItemSelectionAllowed="1" showAll="0" sortType="descending">
      <items count="46">
        <item x="3"/>
        <item x="13"/>
        <item x="18"/>
        <item sd="0" x="2"/>
        <item x="30"/>
        <item sd="0" x="26"/>
        <item sd="0" x="29"/>
        <item m="1" x="43"/>
        <item m="1" x="40"/>
        <item x="12"/>
        <item x="8"/>
        <item sd="0" x="10"/>
        <item sd="0" x="9"/>
        <item m="1" x="35"/>
        <item sd="0" x="11"/>
        <item x="1"/>
        <item x="22"/>
        <item m="1" x="37"/>
        <item x="6"/>
        <item sd="0" x="20"/>
        <item sd="0" m="1" x="33"/>
        <item m="1" x="36"/>
        <item sd="0" x="15"/>
        <item sd="0" x="19"/>
        <item sd="0" x="32"/>
        <item sd="0" x="0"/>
        <item x="25"/>
        <item x="17"/>
        <item m="1" x="42"/>
        <item m="1" x="41"/>
        <item sd="0" x="21"/>
        <item x="23"/>
        <item m="1" x="44"/>
        <item m="1" x="38"/>
        <item m="1" x="39"/>
        <item sd="0" x="14"/>
        <item m="1" x="34"/>
        <item sd="0" x="4"/>
        <item x="5"/>
        <item x="7"/>
        <item sd="0" x="28"/>
        <item sd="0" x="27"/>
        <item sd="0"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9"/>
    <field x="1"/>
  </rowFields>
  <rowItems count="5">
    <i>
      <x v="2"/>
    </i>
    <i r="1">
      <x v="2"/>
    </i>
    <i r="1">
      <x v="11"/>
    </i>
    <i r="1">
      <x v="15"/>
    </i>
    <i t="grand">
      <x/>
    </i>
  </rowItems>
  <colItems count="1">
    <i/>
  </colItems>
  <pageFields count="3">
    <pageField fld="10" hier="-1"/>
    <pageField fld="12" hier="-1"/>
    <pageField fld="11" hier="-1"/>
  </pageFields>
  <dataFields count="1">
    <dataField name="Suma de TOTAL" fld="24" baseField="0" baseItem="0"/>
  </dataFields>
  <formats count="19">
    <format dxfId="428">
      <pivotArea field="1" outline="0" collapsedLevelsAreSubtotals="1" axis="axisRow" fieldPosition="1">
        <references count="1">
          <reference field="4294967294" count="1" selected="0">
            <x v="0"/>
          </reference>
        </references>
      </pivotArea>
    </format>
    <format dxfId="427">
      <pivotArea field="12" collapsedLevelsAreSubtotals="1" axis="axisPage" fieldPosition="1">
        <references count="3">
          <reference field="4294967294" count="1" selected="0">
            <x v="0"/>
          </reference>
          <reference field="9" count="1" selected="0">
            <x v="2"/>
          </reference>
          <reference field="12" count="1">
            <x v="37"/>
          </reference>
        </references>
      </pivotArea>
    </format>
    <format dxfId="426">
      <pivotArea field="12" collapsedLevelsAreSubtotals="1" axis="axisPage" fieldPosition="1">
        <references count="3">
          <reference field="4294967294" count="1" selected="0">
            <x v="0"/>
          </reference>
          <reference field="9" count="1" selected="0">
            <x v="2"/>
          </reference>
          <reference field="12" count="1">
            <x v="12"/>
          </reference>
        </references>
      </pivotArea>
    </format>
    <format dxfId="425">
      <pivotArea field="12" collapsedLevelsAreSubtotals="1" axis="axisPage" fieldPosition="1">
        <references count="3">
          <reference field="4294967294" count="1" selected="0">
            <x v="0"/>
          </reference>
          <reference field="9" count="1" selected="0">
            <x v="2"/>
          </reference>
          <reference field="12" count="1">
            <x v="14"/>
          </reference>
        </references>
      </pivotArea>
    </format>
    <format dxfId="424">
      <pivotArea field="12" collapsedLevelsAreSubtotals="1" axis="axisPage" fieldPosition="1">
        <references count="3">
          <reference field="4294967294" count="1" selected="0">
            <x v="0"/>
          </reference>
          <reference field="9" count="1" selected="0">
            <x v="2"/>
          </reference>
          <reference field="12" count="1">
            <x v="22"/>
          </reference>
        </references>
      </pivotArea>
    </format>
    <format dxfId="423">
      <pivotArea dataOnly="0" labelOnly="1" fieldPosition="0">
        <references count="2">
          <reference field="9" count="1" selected="0">
            <x v="2"/>
          </reference>
          <reference field="12" count="1">
            <x v="12"/>
          </reference>
        </references>
      </pivotArea>
    </format>
    <format dxfId="422">
      <pivotArea dataOnly="0" labelOnly="1" fieldPosition="0">
        <references count="2">
          <reference field="9" count="1" selected="0">
            <x v="2"/>
          </reference>
          <reference field="12" count="1">
            <x v="37"/>
          </reference>
        </references>
      </pivotArea>
    </format>
    <format dxfId="421">
      <pivotArea dataOnly="0" labelOnly="1" fieldPosition="0">
        <references count="2">
          <reference field="9" count="1" selected="0">
            <x v="2"/>
          </reference>
          <reference field="12" count="1">
            <x v="14"/>
          </reference>
        </references>
      </pivotArea>
    </format>
    <format dxfId="420">
      <pivotArea dataOnly="0" labelOnly="1" fieldPosition="0">
        <references count="2">
          <reference field="9" count="1" selected="0">
            <x v="2"/>
          </reference>
          <reference field="12" count="1">
            <x v="3"/>
          </reference>
        </references>
      </pivotArea>
    </format>
    <format dxfId="419">
      <pivotArea dataOnly="0" labelOnly="1" fieldPosition="0">
        <references count="2">
          <reference field="9" count="1" selected="0">
            <x v="2"/>
          </reference>
          <reference field="12" count="1">
            <x v="22"/>
          </reference>
        </references>
      </pivotArea>
    </format>
    <format dxfId="418">
      <pivotArea dataOnly="0" labelOnly="1" fieldPosition="0">
        <references count="2">
          <reference field="9" count="1" selected="0">
            <x v="6"/>
          </reference>
          <reference field="12" count="1">
            <x v="25"/>
          </reference>
        </references>
      </pivotArea>
    </format>
    <format dxfId="417">
      <pivotArea dataOnly="0" labelOnly="1" fieldPosition="0">
        <references count="2">
          <reference field="9" count="1" selected="0">
            <x v="6"/>
          </reference>
          <reference field="12" count="1">
            <x v="6"/>
          </reference>
        </references>
      </pivotArea>
    </format>
    <format dxfId="416">
      <pivotArea dataOnly="0" labelOnly="1" fieldPosition="0">
        <references count="2">
          <reference field="9" count="1" selected="0">
            <x v="2"/>
          </reference>
          <reference field="12" count="1">
            <x v="19"/>
          </reference>
        </references>
      </pivotArea>
    </format>
    <format dxfId="415">
      <pivotArea collapsedLevelsAreSubtotals="1" fieldPosition="0">
        <references count="1">
          <reference field="9" count="1">
            <x v="2"/>
          </reference>
        </references>
      </pivotArea>
    </format>
    <format dxfId="414">
      <pivotArea collapsedLevelsAreSubtotals="1" fieldPosition="0">
        <references count="1">
          <reference field="9" count="1">
            <x v="7"/>
          </reference>
        </references>
      </pivotArea>
    </format>
    <format dxfId="413">
      <pivotArea collapsedLevelsAreSubtotals="1" fieldPosition="0">
        <references count="1">
          <reference field="9" count="1">
            <x v="2"/>
          </reference>
        </references>
      </pivotArea>
    </format>
    <format dxfId="412">
      <pivotArea collapsedLevelsAreSubtotals="1" fieldPosition="0">
        <references count="1">
          <reference field="9" count="1">
            <x v="7"/>
          </reference>
        </references>
      </pivotArea>
    </format>
    <format dxfId="411">
      <pivotArea collapsedLevelsAreSubtotals="1" fieldPosition="0">
        <references count="2">
          <reference field="1" count="1">
            <x v="2"/>
          </reference>
          <reference field="9" count="1" selected="0">
            <x v="2"/>
          </reference>
        </references>
      </pivotArea>
    </format>
    <format dxfId="410">
      <pivotArea dataOnly="0" labelOnly="1" fieldPosition="0">
        <references count="2">
          <reference field="1" count="1">
            <x v="2"/>
          </reference>
          <reference field="9"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7F4BCCE-167E-47B7-B9E2-2D8CB48BF212}"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G24" firstHeaderRow="1" firstDataRow="2" firstDataCol="1" rowPageCount="4" colPageCount="1"/>
  <pivotFields count="43">
    <pivotField dataField="1" showAll="0"/>
    <pivotField axis="axisRow" showAll="0">
      <items count="10">
        <item x="4"/>
        <item x="2"/>
        <item x="6"/>
        <item x="5"/>
        <item x="0"/>
        <item x="7"/>
        <item x="1"/>
        <item sd="0" x="3"/>
        <item x="8"/>
        <item t="default"/>
      </items>
    </pivotField>
    <pivotField showAll="0"/>
    <pivotField showAll="0"/>
    <pivotField showAll="0"/>
    <pivotField showAll="0"/>
    <pivotField showAll="0"/>
    <pivotField axis="axisPage" multipleItemSelectionAllowed="1" showAll="0">
      <items count="7">
        <item x="0"/>
        <item m="1" x="5"/>
        <item x="3"/>
        <item x="4"/>
        <item x="2"/>
        <item h="1" x="1"/>
        <item t="default"/>
      </items>
    </pivotField>
    <pivotField showAll="0"/>
    <pivotField showAll="0"/>
    <pivotField axis="axisCol" multipleItemSelectionAllowed="1" showAll="0">
      <items count="8">
        <item x="3"/>
        <item x="2"/>
        <item x="4"/>
        <item x="1"/>
        <item h="1" x="0"/>
        <item x="5"/>
        <item x="6"/>
        <item t="default"/>
      </items>
    </pivotField>
    <pivotField showAll="0"/>
    <pivotField showAll="0"/>
    <pivotField axis="axisPage" multipleItemSelectionAllowed="1" showAll="0">
      <items count="6">
        <item x="1"/>
        <item h="1" x="2"/>
        <item h="1" m="1" x="4"/>
        <item h="1" x="0"/>
        <item h="1" x="3"/>
        <item t="default"/>
      </items>
    </pivotField>
    <pivotField axis="axisRow" multipleItemSelectionAllowed="1" showAll="0">
      <items count="9">
        <item x="3"/>
        <item m="1" x="4"/>
        <item m="1" x="7"/>
        <item x="2"/>
        <item x="1"/>
        <item x="0"/>
        <item m="1"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84">
        <item x="44"/>
        <item m="1" x="81"/>
        <item x="39"/>
        <item x="40"/>
        <item x="76"/>
        <item x="27"/>
        <item x="11"/>
        <item x="38"/>
        <item x="15"/>
        <item x="52"/>
        <item m="1" x="82"/>
        <item x="7"/>
        <item x="33"/>
        <item x="10"/>
        <item x="19"/>
        <item x="48"/>
        <item x="12"/>
        <item x="47"/>
        <item x="14"/>
        <item x="57"/>
        <item x="41"/>
        <item x="42"/>
        <item x="29"/>
        <item x="0"/>
        <item x="1"/>
        <item x="2"/>
        <item x="3"/>
        <item x="4"/>
        <item x="5"/>
        <item x="6"/>
        <item x="8"/>
        <item x="9"/>
        <item x="13"/>
        <item x="16"/>
        <item x="17"/>
        <item x="18"/>
        <item x="20"/>
        <item x="21"/>
        <item x="22"/>
        <item x="23"/>
        <item x="24"/>
        <item x="25"/>
        <item x="26"/>
        <item x="28"/>
        <item x="30"/>
        <item x="31"/>
        <item x="32"/>
        <item x="34"/>
        <item x="35"/>
        <item x="36"/>
        <item x="37"/>
        <item x="43"/>
        <item x="45"/>
        <item x="46"/>
        <item x="49"/>
        <item x="50"/>
        <item x="51"/>
        <item x="53"/>
        <item x="54"/>
        <item x="55"/>
        <item x="56"/>
        <item x="58"/>
        <item x="59"/>
        <item m="1" x="80"/>
        <item x="60"/>
        <item x="61"/>
        <item x="62"/>
        <item x="63"/>
        <item x="64"/>
        <item x="65"/>
        <item x="66"/>
        <item x="67"/>
        <item x="68"/>
        <item x="69"/>
        <item x="70"/>
        <item x="71"/>
        <item x="72"/>
        <item x="73"/>
        <item x="74"/>
        <item x="75"/>
        <item x="77"/>
        <item x="78"/>
        <item x="79"/>
        <item t="default"/>
      </items>
    </pivotField>
    <pivotField axis="axisPage" showAll="0">
      <items count="136">
        <item x="43"/>
        <item x="22"/>
        <item x="101"/>
        <item x="132"/>
        <item x="124"/>
        <item x="32"/>
        <item x="67"/>
        <item x="5"/>
        <item x="35"/>
        <item x="33"/>
        <item x="60"/>
        <item x="42"/>
        <item x="34"/>
        <item x="18"/>
        <item x="12"/>
        <item x="7"/>
        <item x="27"/>
        <item x="3"/>
        <item x="91"/>
        <item x="74"/>
        <item x="30"/>
        <item x="83"/>
        <item x="4"/>
        <item x="41"/>
        <item x="24"/>
        <item x="21"/>
        <item x="50"/>
        <item x="79"/>
        <item x="70"/>
        <item x="6"/>
        <item x="77"/>
        <item x="23"/>
        <item x="53"/>
        <item x="82"/>
        <item x="78"/>
        <item x="81"/>
        <item x="52"/>
        <item x="85"/>
        <item x="129"/>
        <item x="51"/>
        <item x="75"/>
        <item x="123"/>
        <item x="37"/>
        <item x="102"/>
        <item x="130"/>
        <item x="68"/>
        <item x="106"/>
        <item x="11"/>
        <item x="38"/>
        <item x="36"/>
        <item x="115"/>
        <item x="76"/>
        <item x="103"/>
        <item x="69"/>
        <item x="110"/>
        <item x="31"/>
        <item x="0"/>
        <item x="1"/>
        <item x="2"/>
        <item x="8"/>
        <item x="9"/>
        <item x="10"/>
        <item x="13"/>
        <item x="14"/>
        <item x="15"/>
        <item x="16"/>
        <item x="17"/>
        <item x="19"/>
        <item x="20"/>
        <item x="25"/>
        <item x="26"/>
        <item x="28"/>
        <item x="29"/>
        <item x="39"/>
        <item x="40"/>
        <item x="44"/>
        <item x="45"/>
        <item x="46"/>
        <item x="47"/>
        <item x="48"/>
        <item x="49"/>
        <item x="54"/>
        <item x="55"/>
        <item x="56"/>
        <item x="57"/>
        <item x="58"/>
        <item x="59"/>
        <item x="61"/>
        <item x="62"/>
        <item x="63"/>
        <item x="64"/>
        <item x="65"/>
        <item x="66"/>
        <item x="71"/>
        <item x="72"/>
        <item m="1" x="134"/>
        <item x="80"/>
        <item x="84"/>
        <item x="86"/>
        <item x="87"/>
        <item x="88"/>
        <item x="89"/>
        <item x="90"/>
        <item x="92"/>
        <item x="93"/>
        <item x="94"/>
        <item x="95"/>
        <item x="96"/>
        <item x="97"/>
        <item x="98"/>
        <item x="99"/>
        <item x="100"/>
        <item x="104"/>
        <item x="105"/>
        <item x="107"/>
        <item x="108"/>
        <item x="109"/>
        <item x="111"/>
        <item x="112"/>
        <item x="113"/>
        <item x="114"/>
        <item x="116"/>
        <item x="117"/>
        <item x="118"/>
        <item x="119"/>
        <item x="120"/>
        <item x="121"/>
        <item x="122"/>
        <item x="125"/>
        <item x="126"/>
        <item x="127"/>
        <item x="128"/>
        <item x="131"/>
        <item x="133"/>
        <item x="73"/>
        <item t="default"/>
      </items>
    </pivotField>
    <pivotField showAll="0"/>
    <pivotField showAll="0"/>
    <pivotField showAll="0"/>
    <pivotField showAll="0"/>
    <pivotField showAll="0"/>
    <pivotField showAll="0"/>
  </pivotFields>
  <rowFields count="2">
    <field x="14"/>
    <field x="1"/>
  </rowFields>
  <rowItems count="17">
    <i>
      <x v="3"/>
    </i>
    <i r="1">
      <x v="1"/>
    </i>
    <i r="1">
      <x v="4"/>
    </i>
    <i r="1">
      <x v="6"/>
    </i>
    <i>
      <x v="4"/>
    </i>
    <i r="1">
      <x v="1"/>
    </i>
    <i r="1">
      <x v="3"/>
    </i>
    <i r="1">
      <x v="4"/>
    </i>
    <i r="1">
      <x v="6"/>
    </i>
    <i r="1">
      <x v="7"/>
    </i>
    <i>
      <x v="5"/>
    </i>
    <i r="1">
      <x v="1"/>
    </i>
    <i r="1">
      <x v="3"/>
    </i>
    <i r="1">
      <x v="4"/>
    </i>
    <i r="1">
      <x v="6"/>
    </i>
    <i r="1">
      <x v="7"/>
    </i>
    <i t="grand">
      <x/>
    </i>
  </rowItems>
  <colFields count="1">
    <field x="10"/>
  </colFields>
  <colItems count="6">
    <i>
      <x/>
    </i>
    <i>
      <x v="1"/>
    </i>
    <i>
      <x v="2"/>
    </i>
    <i>
      <x v="3"/>
    </i>
    <i>
      <x v="5"/>
    </i>
    <i t="grand">
      <x/>
    </i>
  </colItems>
  <pageFields count="4">
    <pageField fld="13" hier="-1"/>
    <pageField fld="7" hier="-1"/>
    <pageField fld="35" hier="-1"/>
    <pageField fld="36" hier="-1"/>
  </pageFields>
  <dataFields count="1">
    <dataField name="Cuenta de Año" fld="0" subtotal="count" baseField="0" baseItem="0"/>
  </dataFields>
  <formats count="2">
    <format dxfId="382">
      <pivotArea outline="0" collapsedLevelsAreSubtotals="1" fieldPosition="0"/>
    </format>
    <format dxfId="38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5469C01-B487-4965-AFB8-7FE49E71FB98}" name="TablaDinámica7"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9:G63" firstHeaderRow="1" firstDataRow="2" firstDataCol="1" rowPageCount="2" colPageCount="1"/>
  <pivotFields count="43">
    <pivotField dataField="1" showAll="0"/>
    <pivotField axis="axisRow" showAll="0">
      <items count="10">
        <item x="4"/>
        <item x="2"/>
        <item x="6"/>
        <item x="5"/>
        <item x="0"/>
        <item x="7"/>
        <item x="1"/>
        <item sd="0" x="3"/>
        <item x="8"/>
        <item t="default"/>
      </items>
    </pivotField>
    <pivotField showAll="0"/>
    <pivotField showAll="0"/>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Col" multipleItemSelectionAllowed="1" showAll="0">
      <items count="8">
        <item x="3"/>
        <item x="2"/>
        <item x="4"/>
        <item x="1"/>
        <item h="1" x="0"/>
        <item x="5"/>
        <item x="6"/>
        <item t="default"/>
      </items>
    </pivotField>
    <pivotField showAll="0"/>
    <pivotField showAll="0"/>
    <pivotField axis="axisPage" multipleItemSelectionAllowed="1" showAll="0">
      <items count="6">
        <item x="1"/>
        <item h="1" x="2"/>
        <item h="1" m="1" x="4"/>
        <item h="1" x="0"/>
        <item h="1" x="3"/>
        <item t="default"/>
      </items>
    </pivotField>
    <pivotField axis="axisRow" multipleItemSelectionAllowed="1" showAll="0">
      <items count="9">
        <item x="3"/>
        <item m="1" x="4"/>
        <item m="1" x="7"/>
        <item x="2"/>
        <item x="1"/>
        <item x="0"/>
        <item m="1"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s>
  <rowFields count="2">
    <field x="14"/>
    <field x="1"/>
  </rowFields>
  <rowItems count="13">
    <i>
      <x v="4"/>
    </i>
    <i r="1">
      <x v="1"/>
    </i>
    <i r="1">
      <x v="3"/>
    </i>
    <i r="1">
      <x v="4"/>
    </i>
    <i r="1">
      <x v="6"/>
    </i>
    <i r="1">
      <x v="7"/>
    </i>
    <i>
      <x v="5"/>
    </i>
    <i r="1">
      <x v="1"/>
    </i>
    <i r="1">
      <x v="3"/>
    </i>
    <i r="1">
      <x v="4"/>
    </i>
    <i r="1">
      <x v="6"/>
    </i>
    <i r="1">
      <x v="7"/>
    </i>
    <i t="grand">
      <x/>
    </i>
  </rowItems>
  <colFields count="1">
    <field x="10"/>
  </colFields>
  <colItems count="6">
    <i>
      <x/>
    </i>
    <i>
      <x v="1"/>
    </i>
    <i>
      <x v="2"/>
    </i>
    <i>
      <x v="3"/>
    </i>
    <i>
      <x v="5"/>
    </i>
    <i t="grand">
      <x/>
    </i>
  </colItems>
  <pageFields count="2">
    <pageField fld="13" hier="-1"/>
    <pageField fld="7" hier="-1"/>
  </pageFields>
  <dataFields count="1">
    <dataField name="Cuenta de Año" fld="0" subtotal="count" baseField="0" baseItem="0"/>
  </dataFields>
  <formats count="5">
    <format dxfId="387">
      <pivotArea outline="0" collapsedLevelsAreSubtotals="1" fieldPosition="0"/>
    </format>
    <format dxfId="386">
      <pivotArea outline="0" collapsedLevelsAreSubtotals="1" fieldPosition="0"/>
    </format>
    <format dxfId="385">
      <pivotArea collapsedLevelsAreSubtotals="1" fieldPosition="0">
        <references count="2">
          <reference field="10" count="1" selected="0">
            <x v="0"/>
          </reference>
          <reference field="14" count="1">
            <x v="4"/>
          </reference>
        </references>
      </pivotArea>
    </format>
    <format dxfId="384">
      <pivotArea collapsedLevelsAreSubtotals="1" fieldPosition="0">
        <references count="2">
          <reference field="10" count="1" selected="0">
            <x v="0"/>
          </reference>
          <reference field="14" count="1">
            <x v="5"/>
          </reference>
        </references>
      </pivotArea>
    </format>
    <format dxfId="383">
      <pivotArea collapsedLevelsAreSubtotals="1" fieldPosition="0">
        <references count="2">
          <reference field="10" count="4" selected="0">
            <x v="1"/>
            <x v="2"/>
            <x v="3"/>
            <x v="5"/>
          </reference>
          <reference field="14" count="1">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B93D39A-CE90-401B-B04C-28D01A082289}" name="TablaDinámica6"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0:F45" firstHeaderRow="1" firstDataRow="2" firstDataCol="1" rowPageCount="2" colPageCount="1"/>
  <pivotFields count="43">
    <pivotField dataField="1" showAll="0"/>
    <pivotField axis="axisRow" showAll="0">
      <items count="10">
        <item x="4"/>
        <item x="2"/>
        <item x="6"/>
        <item x="5"/>
        <item x="0"/>
        <item x="7"/>
        <item x="1"/>
        <item sd="0" x="3"/>
        <item x="8"/>
        <item t="default"/>
      </items>
    </pivotField>
    <pivotField showAll="0"/>
    <pivotField showAll="0"/>
    <pivotField showAll="0"/>
    <pivotField showAll="0"/>
    <pivotField showAll="0"/>
    <pivotField axis="axisPage" multipleItemSelectionAllowed="1" showAll="0">
      <items count="7">
        <item h="1" x="0"/>
        <item h="1" m="1" x="5"/>
        <item x="3"/>
        <item x="4"/>
        <item x="2"/>
        <item h="1" x="1"/>
        <item t="default"/>
      </items>
    </pivotField>
    <pivotField showAll="0"/>
    <pivotField showAll="0"/>
    <pivotField axis="axisCol" multipleItemSelectionAllowed="1" showAll="0">
      <items count="8">
        <item x="3"/>
        <item x="4"/>
        <item x="2"/>
        <item x="1"/>
        <item h="1" x="0"/>
        <item x="5"/>
        <item x="6"/>
        <item t="default"/>
      </items>
    </pivotField>
    <pivotField showAll="0"/>
    <pivotField showAll="0"/>
    <pivotField axis="axisPage" multipleItemSelectionAllowed="1" showAll="0">
      <items count="6">
        <item x="1"/>
        <item h="1" x="2"/>
        <item h="1" m="1" x="4"/>
        <item h="1" x="0"/>
        <item h="1" x="3"/>
        <item t="default"/>
      </items>
    </pivotField>
    <pivotField axis="axisRow" multipleItemSelectionAllowed="1" showAll="0">
      <items count="9">
        <item x="3"/>
        <item m="1" x="4"/>
        <item m="1" x="7"/>
        <item x="2"/>
        <item x="1"/>
        <item x="0"/>
        <item m="1" x="5"/>
        <item m="1"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showAll="0"/>
    <pivotField showAll="0"/>
    <pivotField showAll="0"/>
    <pivotField showAll="0"/>
    <pivotField showAll="0"/>
    <pivotField showAll="0"/>
    <pivotField showAll="0"/>
  </pivotFields>
  <rowFields count="2">
    <field x="14"/>
    <field x="1"/>
  </rowFields>
  <rowItems count="14">
    <i>
      <x v="3"/>
    </i>
    <i r="1">
      <x v="1"/>
    </i>
    <i r="1">
      <x v="4"/>
    </i>
    <i r="1">
      <x v="6"/>
    </i>
    <i>
      <x v="4"/>
    </i>
    <i r="1">
      <x v="1"/>
    </i>
    <i r="1">
      <x v="3"/>
    </i>
    <i r="1">
      <x v="4"/>
    </i>
    <i r="1">
      <x v="6"/>
    </i>
    <i>
      <x v="5"/>
    </i>
    <i r="1">
      <x v="1"/>
    </i>
    <i r="1">
      <x v="3"/>
    </i>
    <i r="1">
      <x v="4"/>
    </i>
    <i t="grand">
      <x/>
    </i>
  </rowItems>
  <colFields count="1">
    <field x="10"/>
  </colFields>
  <colItems count="5">
    <i>
      <x/>
    </i>
    <i>
      <x v="1"/>
    </i>
    <i>
      <x v="2"/>
    </i>
    <i>
      <x v="3"/>
    </i>
    <i t="grand">
      <x/>
    </i>
  </colItems>
  <pageFields count="2">
    <pageField fld="13" hier="-1"/>
    <pageField fld="7" hier="-1"/>
  </pageFields>
  <dataFields count="1">
    <dataField name="Cuenta de Año" fld="0" subtotal="count" baseField="0" baseItem="0"/>
  </dataFields>
  <formats count="5">
    <format dxfId="392">
      <pivotArea outline="0" collapsedLevelsAreSubtotals="1" fieldPosition="0"/>
    </format>
    <format dxfId="391">
      <pivotArea outline="0" collapsedLevelsAreSubtotals="1" fieldPosition="0"/>
    </format>
    <format dxfId="390">
      <pivotArea collapsedLevelsAreSubtotals="1" fieldPosition="0">
        <references count="2">
          <reference field="10" count="1" selected="0">
            <x v="3"/>
          </reference>
          <reference field="14" count="1">
            <x v="3"/>
          </reference>
        </references>
      </pivotArea>
    </format>
    <format dxfId="389">
      <pivotArea collapsedLevelsAreSubtotals="1" fieldPosition="0">
        <references count="2">
          <reference field="10" count="1" selected="0">
            <x v="3"/>
          </reference>
          <reference field="14" count="1">
            <x v="4"/>
          </reference>
        </references>
      </pivotArea>
    </format>
    <format dxfId="388">
      <pivotArea collapsedLevelsAreSubtotals="1" fieldPosition="0">
        <references count="2">
          <reference field="10" count="1" selected="0">
            <x v="1"/>
          </reference>
          <reference field="1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1A37C8F1-E632-4F00-93DF-70032718F655}" name="TablaDinámica2"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9:M54" firstHeaderRow="1" firstDataRow="3" firstDataCol="1" rowPageCount="3" colPageCount="1"/>
  <pivotFields count="43">
    <pivotField dataField="1" showAll="0"/>
    <pivotField axis="axisRow" showAll="0">
      <items count="10">
        <item x="4"/>
        <item x="2"/>
        <item x="6"/>
        <item x="5"/>
        <item x="0"/>
        <item x="7"/>
        <item x="1"/>
        <item sd="0"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h="1" x="0"/>
        <item h="1" m="1" x="5"/>
        <item x="3"/>
        <item x="4"/>
        <item x="2"/>
        <item h="1" x="1"/>
        <item t="default"/>
      </items>
    </pivotField>
    <pivotField showAll="0"/>
    <pivotField showAll="0"/>
    <pivotField axis="axisCol" multipleItemSelectionAllowed="1" showAll="0">
      <items count="8">
        <item x="1"/>
        <item x="4"/>
        <item x="3"/>
        <item h="1" x="0"/>
        <item x="5"/>
        <item x="2"/>
        <item x="6"/>
        <item t="default"/>
      </items>
    </pivotField>
    <pivotField showAll="0"/>
    <pivotField axis="axisPage" multipleItemSelectionAllowed="1" showAll="0">
      <items count="35">
        <item h="1" x="3"/>
        <item h="1" x="14"/>
        <item h="1" x="18"/>
        <item h="1" x="2"/>
        <item h="1" x="31"/>
        <item h="1" x="28"/>
        <item h="1" x="27"/>
        <item h="1" x="30"/>
        <item h="1" x="13"/>
        <item h="1" x="9"/>
        <item h="1" x="11"/>
        <item h="1" x="10"/>
        <item h="1" x="12"/>
        <item h="1" x="1"/>
        <item h="1" x="24"/>
        <item h="1" x="22"/>
        <item h="1" x="7"/>
        <item h="1" x="20"/>
        <item h="1" x="25"/>
        <item h="1" x="33"/>
        <item h="1" x="5"/>
        <item h="1" x="19"/>
        <item h="1" x="16"/>
        <item h="1" x="32"/>
        <item h="1" x="0"/>
        <item h="1" x="26"/>
        <item h="1" x="17"/>
        <item h="1" x="21"/>
        <item h="1" x="29"/>
        <item h="1" x="23"/>
        <item h="1" x="15"/>
        <item x="4"/>
        <item h="1" x="6"/>
        <item h="1" x="8"/>
        <item t="default"/>
      </items>
    </pivotField>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multipleItemSelectionAllowed="1" showAll="0"/>
    <pivotField showAll="0"/>
    <pivotField showAll="0"/>
    <pivotField showAll="0"/>
    <pivotField showAll="0"/>
    <pivotField showAll="0"/>
    <pivotField showAll="0"/>
  </pivotFields>
  <rowFields count="2">
    <field x="1"/>
    <field x="3"/>
  </rowFields>
  <rowItems count="13">
    <i>
      <x v="1"/>
    </i>
    <i r="1">
      <x v="69"/>
    </i>
    <i r="1">
      <x v="99"/>
    </i>
    <i r="1">
      <x v="100"/>
    </i>
    <i r="1">
      <x v="144"/>
    </i>
    <i r="1">
      <x v="149"/>
    </i>
    <i r="1">
      <x v="155"/>
    </i>
    <i r="1">
      <x v="192"/>
    </i>
    <i r="1">
      <x v="201"/>
    </i>
    <i r="1">
      <x v="306"/>
    </i>
    <i r="1">
      <x v="308"/>
    </i>
    <i r="1">
      <x v="334"/>
    </i>
    <i t="grand">
      <x/>
    </i>
  </rowItems>
  <colFields count="2">
    <field x="10"/>
    <field x="14"/>
  </colFields>
  <colItems count="12">
    <i>
      <x/>
      <x v="4"/>
    </i>
    <i t="default">
      <x/>
    </i>
    <i>
      <x v="1"/>
      <x/>
    </i>
    <i r="1">
      <x v="4"/>
    </i>
    <i t="default">
      <x v="1"/>
    </i>
    <i>
      <x v="2"/>
      <x/>
    </i>
    <i r="1">
      <x v="4"/>
    </i>
    <i t="default">
      <x v="2"/>
    </i>
    <i>
      <x v="5"/>
      <x/>
    </i>
    <i r="1">
      <x v="4"/>
    </i>
    <i t="default">
      <x v="5"/>
    </i>
    <i t="grand">
      <x/>
    </i>
  </colItems>
  <pageFields count="3">
    <pageField fld="13" hier="-1"/>
    <pageField fld="7" hier="-1"/>
    <pageField fld="12"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0658F50-09FE-4007-A893-9D86A8A5E9A0}"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N30" firstHeaderRow="1" firstDataRow="3" firstDataCol="1" rowPageCount="2" colPageCount="1"/>
  <pivotFields count="43">
    <pivotField dataField="1" showAll="0"/>
    <pivotField axis="axisRow" showAll="0">
      <items count="10">
        <item h="1" x="4"/>
        <item x="2"/>
        <item h="1" x="6"/>
        <item h="1" x="5"/>
        <item h="1" x="0"/>
        <item h="1" x="7"/>
        <item h="1" x="1"/>
        <item h="1" sd="0" x="3"/>
        <item h="1"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h="1" x="0"/>
        <item h="1" m="1" x="5"/>
        <item x="3"/>
        <item x="4"/>
        <item x="2"/>
        <item h="1" x="1"/>
        <item t="default"/>
      </items>
    </pivotField>
    <pivotField showAll="0"/>
    <pivotField showAll="0"/>
    <pivotField axis="axisCol" multipleItemSelectionAllowed="1" showAll="0">
      <items count="8">
        <item x="1"/>
        <item x="4"/>
        <item x="3"/>
        <item h="1" x="0"/>
        <item x="5"/>
        <item x="2"/>
        <item x="6"/>
        <item t="default"/>
      </items>
    </pivotField>
    <pivotField showAll="0"/>
    <pivotField axis="axisRow" multipleItemSelectionAllowed="1" showAll="0">
      <items count="35">
        <item x="3"/>
        <item x="14"/>
        <item x="18"/>
        <item x="2"/>
        <item x="31"/>
        <item x="28"/>
        <item x="27"/>
        <item x="30"/>
        <item x="13"/>
        <item x="9"/>
        <item x="11"/>
        <item x="10"/>
        <item x="12"/>
        <item x="1"/>
        <item x="24"/>
        <item x="22"/>
        <item x="7"/>
        <item x="20"/>
        <item x="25"/>
        <item h="1" x="33"/>
        <item h="1" x="5"/>
        <item h="1" x="19"/>
        <item x="16"/>
        <item x="32"/>
        <item x="0"/>
        <item x="26"/>
        <item x="17"/>
        <item x="21"/>
        <item x="29"/>
        <item x="23"/>
        <item x="15"/>
        <item h="1" x="4"/>
        <item x="6"/>
        <item x="8"/>
        <item t="default"/>
      </items>
    </pivotField>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multipleItemSelectionAllowed="1" showAll="0"/>
    <pivotField multipleItemSelectionAllowed="1" showAll="0"/>
    <pivotField showAll="0"/>
    <pivotField showAll="0"/>
    <pivotField showAll="0"/>
    <pivotField showAll="0"/>
    <pivotField showAll="0"/>
    <pivotField showAll="0"/>
  </pivotFields>
  <rowFields count="3">
    <field x="12"/>
    <field x="1"/>
    <field x="3"/>
  </rowFields>
  <rowItems count="22">
    <i>
      <x v="9"/>
    </i>
    <i r="1">
      <x v="1"/>
    </i>
    <i r="2">
      <x v="54"/>
    </i>
    <i>
      <x v="13"/>
    </i>
    <i r="1">
      <x v="1"/>
    </i>
    <i r="2">
      <x v="14"/>
    </i>
    <i r="2">
      <x v="54"/>
    </i>
    <i r="2">
      <x v="63"/>
    </i>
    <i r="2">
      <x v="66"/>
    </i>
    <i r="2">
      <x v="67"/>
    </i>
    <i r="2">
      <x v="68"/>
    </i>
    <i r="2">
      <x v="133"/>
    </i>
    <i r="2">
      <x v="138"/>
    </i>
    <i r="2">
      <x v="139"/>
    </i>
    <i r="2">
      <x v="189"/>
    </i>
    <i r="2">
      <x v="263"/>
    </i>
    <i r="2">
      <x v="265"/>
    </i>
    <i r="2">
      <x v="266"/>
    </i>
    <i r="2">
      <x v="321"/>
    </i>
    <i r="2">
      <x v="322"/>
    </i>
    <i r="2">
      <x v="326"/>
    </i>
    <i t="grand">
      <x/>
    </i>
  </rowItems>
  <colFields count="2">
    <field x="10"/>
    <field x="14"/>
  </colFields>
  <colItems count="13">
    <i>
      <x/>
      <x/>
    </i>
    <i r="1">
      <x v="1"/>
    </i>
    <i r="1">
      <x v="4"/>
    </i>
    <i t="default">
      <x/>
    </i>
    <i>
      <x v="1"/>
      <x v="4"/>
    </i>
    <i t="default">
      <x v="1"/>
    </i>
    <i>
      <x v="2"/>
      <x/>
    </i>
    <i r="1">
      <x v="4"/>
    </i>
    <i t="default">
      <x v="2"/>
    </i>
    <i>
      <x v="5"/>
      <x/>
    </i>
    <i r="1">
      <x v="4"/>
    </i>
    <i t="default">
      <x v="5"/>
    </i>
    <i t="grand">
      <x/>
    </i>
  </colItems>
  <pageFields count="2">
    <pageField fld="13" hier="-1"/>
    <pageField fld="7" hier="-1"/>
  </pageFields>
  <dataFields count="1">
    <dataField name="Cuenta de Año" fld="0" subtotal="count" baseField="0" baseItem="0"/>
  </dataFields>
  <formats count="2">
    <format dxfId="380">
      <pivotArea dataOnly="0" labelOnly="1" fieldPosition="0">
        <references count="1">
          <reference field="3" count="0"/>
        </references>
      </pivotArea>
    </format>
    <format dxfId="379">
      <pivotArea dataOnly="0" labelOnly="1" fieldPosition="0">
        <references count="3">
          <reference field="1" count="0" selected="0"/>
          <reference field="3" count="16">
            <x v="14"/>
            <x v="54"/>
            <x v="63"/>
            <x v="66"/>
            <x v="67"/>
            <x v="68"/>
            <x v="133"/>
            <x v="138"/>
            <x v="139"/>
            <x v="189"/>
            <x v="263"/>
            <x v="265"/>
            <x v="266"/>
            <x v="321"/>
            <x v="322"/>
            <x v="326"/>
          </reference>
          <reference field="12" count="1" selected="0">
            <x v="1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37D3C25-554B-4457-B61C-575D6ABA16EE}" name="TablaDinámica4"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85:D111"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h="1" x="4"/>
        <item h="1" x="3"/>
        <item h="1" x="0"/>
        <item h="1" x="5"/>
        <item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25">
    <i>
      <x v="1"/>
    </i>
    <i r="1">
      <x v="109"/>
    </i>
    <i r="1">
      <x v="135"/>
    </i>
    <i>
      <x v="3"/>
    </i>
    <i r="1">
      <x v="285"/>
    </i>
    <i>
      <x v="4"/>
    </i>
    <i r="1">
      <x v="28"/>
    </i>
    <i r="1">
      <x v="136"/>
    </i>
    <i r="1">
      <x v="145"/>
    </i>
    <i r="1">
      <x v="170"/>
    </i>
    <i r="1">
      <x v="172"/>
    </i>
    <i r="1">
      <x v="204"/>
    </i>
    <i r="1">
      <x v="282"/>
    </i>
    <i>
      <x v="6"/>
    </i>
    <i r="1">
      <x v="171"/>
    </i>
    <i r="1">
      <x v="194"/>
    </i>
    <i r="1">
      <x v="206"/>
    </i>
    <i>
      <x v="7"/>
    </i>
    <i r="1">
      <x v="15"/>
    </i>
    <i r="1">
      <x v="41"/>
    </i>
    <i r="1">
      <x v="132"/>
    </i>
    <i r="1">
      <x v="193"/>
    </i>
    <i r="1">
      <x v="235"/>
    </i>
    <i r="1">
      <x v="247"/>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23A21612-8D6C-4796-A5C9-C2DE53151C24}" name="TablaDinámica3"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2:D78"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h="1" x="4"/>
        <item x="3"/>
        <item h="1" x="0"/>
        <item h="1"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15">
    <i>
      <x v="1"/>
    </i>
    <i r="1">
      <x v="205"/>
    </i>
    <i>
      <x v="3"/>
    </i>
    <i r="1">
      <x v="197"/>
    </i>
    <i>
      <x v="4"/>
    </i>
    <i r="1">
      <x v="21"/>
    </i>
    <i r="1">
      <x v="96"/>
    </i>
    <i r="1">
      <x v="130"/>
    </i>
    <i r="1">
      <x v="170"/>
    </i>
    <i r="1">
      <x v="225"/>
    </i>
    <i r="1">
      <x v="266"/>
    </i>
    <i>
      <x v="6"/>
    </i>
    <i r="1">
      <x v="167"/>
    </i>
    <i r="1">
      <x v="180"/>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0A24722-08EF-43F4-995C-DFFED00EB0B5}" name="TablaDinámica2"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3:D55"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x="4"/>
        <item h="1" x="3"/>
        <item h="1" x="0"/>
        <item h="1"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31">
    <i>
      <x v="1"/>
    </i>
    <i r="1">
      <x v="75"/>
    </i>
    <i r="1">
      <x v="203"/>
    </i>
    <i r="1">
      <x v="257"/>
    </i>
    <i r="1">
      <x v="333"/>
    </i>
    <i>
      <x v="3"/>
    </i>
    <i r="1">
      <x v="112"/>
    </i>
    <i r="1">
      <x v="141"/>
    </i>
    <i r="1">
      <x v="142"/>
    </i>
    <i r="1">
      <x v="197"/>
    </i>
    <i r="1">
      <x v="284"/>
    </i>
    <i>
      <x v="4"/>
    </i>
    <i r="1">
      <x v="173"/>
    </i>
    <i r="1">
      <x v="174"/>
    </i>
    <i r="1">
      <x v="254"/>
    </i>
    <i r="1">
      <x v="272"/>
    </i>
    <i r="1">
      <x v="305"/>
    </i>
    <i r="1">
      <x v="316"/>
    </i>
    <i>
      <x v="6"/>
    </i>
    <i r="1">
      <x v="143"/>
    </i>
    <i r="1">
      <x v="166"/>
    </i>
    <i r="1">
      <x v="177"/>
    </i>
    <i>
      <x v="7"/>
    </i>
    <i r="1">
      <x v="35"/>
    </i>
    <i r="1">
      <x v="79"/>
    </i>
    <i r="1">
      <x v="246"/>
    </i>
    <i r="1">
      <x v="293"/>
    </i>
    <i r="1">
      <x v="296"/>
    </i>
    <i r="1">
      <x v="297"/>
    </i>
    <i r="1">
      <x v="298"/>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1203A99-9513-47B0-9D44-EC6BA4096FAC}" name="TablaDinámica1"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D16" firstHeaderRow="1" firstDataRow="2" firstDataCol="1" rowPageCount="3" colPageCount="1"/>
  <pivotFields count="43">
    <pivotField dataField="1" showAll="0"/>
    <pivotField axis="axisRow" showAll="0">
      <items count="10">
        <item x="4"/>
        <item x="2"/>
        <item x="6"/>
        <item x="5"/>
        <item x="0"/>
        <item x="7"/>
        <item x="1"/>
        <item sd="0"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x="1"/>
        <item h="1" x="4"/>
        <item h="1" x="3"/>
        <item h="1" x="0"/>
        <item h="1"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10">
    <i>
      <x v="4"/>
    </i>
    <i r="1">
      <x v="71"/>
    </i>
    <i r="1">
      <x v="89"/>
    </i>
    <i r="1">
      <x v="170"/>
    </i>
    <i r="1">
      <x v="195"/>
    </i>
    <i r="1">
      <x v="315"/>
    </i>
    <i>
      <x v="6"/>
    </i>
    <i r="1">
      <x v="140"/>
    </i>
    <i r="1">
      <x v="165"/>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9D8EA50-8B52-4279-A9A9-603B7A8E6476}" name="TablaDinámica5" cacheId="2"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18:D129" firstHeaderRow="1" firstDataRow="2" firstDataCol="1" rowPageCount="3" colPageCount="1"/>
  <pivotFields count="43">
    <pivotField dataField="1" showAll="0"/>
    <pivotField axis="axisRow" showAll="0">
      <items count="10">
        <item x="4"/>
        <item x="2"/>
        <item x="6"/>
        <item x="5"/>
        <item x="0"/>
        <item x="7"/>
        <item x="1"/>
        <item x="3"/>
        <item x="8"/>
        <item t="default"/>
      </items>
    </pivotField>
    <pivotField showAll="0"/>
    <pivotField axis="axisRow" showAll="0">
      <items count="337">
        <item x="151"/>
        <item x="0"/>
        <item x="1"/>
        <item x="2"/>
        <item x="3"/>
        <item x="4"/>
        <item x="5"/>
        <item x="6"/>
        <item x="7"/>
        <item x="179"/>
        <item x="8"/>
        <item x="158"/>
        <item x="9"/>
        <item m="1" x="324"/>
        <item x="12"/>
        <item x="14"/>
        <item x="15"/>
        <item x="16"/>
        <item x="17"/>
        <item x="18"/>
        <item x="20"/>
        <item x="21"/>
        <item x="150"/>
        <item x="157"/>
        <item x="22"/>
        <item x="23"/>
        <item x="24"/>
        <item x="25"/>
        <item x="26"/>
        <item x="27"/>
        <item x="28"/>
        <item x="29"/>
        <item x="30"/>
        <item x="19"/>
        <item x="31"/>
        <item x="32"/>
        <item x="33"/>
        <item x="34"/>
        <item x="35"/>
        <item x="36"/>
        <item x="37"/>
        <item x="38"/>
        <item x="39"/>
        <item m="1" x="325"/>
        <item x="41"/>
        <item x="42"/>
        <item x="43"/>
        <item x="44"/>
        <item x="45"/>
        <item x="46"/>
        <item x="47"/>
        <item x="48"/>
        <item x="49"/>
        <item x="50"/>
        <item x="51"/>
        <item m="1" x="326"/>
        <item x="53"/>
        <item x="54"/>
        <item x="55"/>
        <item x="56"/>
        <item x="57"/>
        <item x="58"/>
        <item x="59"/>
        <item x="60"/>
        <item x="61"/>
        <item x="62"/>
        <item x="167"/>
        <item x="201"/>
        <item x="65"/>
        <item x="66"/>
        <item x="67"/>
        <item x="68"/>
        <item x="183"/>
        <item x="69"/>
        <item x="70"/>
        <item x="71"/>
        <item x="72"/>
        <item x="73"/>
        <item x="74"/>
        <item x="76"/>
        <item x="77"/>
        <item x="78"/>
        <item x="80"/>
        <item x="81"/>
        <item x="82"/>
        <item x="83"/>
        <item x="11"/>
        <item x="84"/>
        <item x="85"/>
        <item x="86"/>
        <item x="13"/>
        <item x="88"/>
        <item x="89"/>
        <item x="90"/>
        <item x="91"/>
        <item x="92"/>
        <item x="93"/>
        <item x="94"/>
        <item x="122"/>
        <item x="95"/>
        <item x="96"/>
        <item x="97"/>
        <item x="98"/>
        <item x="99"/>
        <item x="100"/>
        <item x="101"/>
        <item x="102"/>
        <item x="103"/>
        <item x="104"/>
        <item x="63"/>
        <item x="106"/>
        <item x="107"/>
        <item x="108"/>
        <item x="109"/>
        <item x="110"/>
        <item x="111"/>
        <item x="112"/>
        <item x="113"/>
        <item x="114"/>
        <item x="115"/>
        <item x="116"/>
        <item x="117"/>
        <item x="118"/>
        <item x="119"/>
        <item x="161"/>
        <item x="120"/>
        <item x="121"/>
        <item x="123"/>
        <item x="124"/>
        <item x="125"/>
        <item x="126"/>
        <item x="127"/>
        <item x="128"/>
        <item x="130"/>
        <item x="131"/>
        <item x="132"/>
        <item x="133"/>
        <item x="134"/>
        <item x="135"/>
        <item x="136"/>
        <item x="137"/>
        <item x="138"/>
        <item x="139"/>
        <item x="140"/>
        <item x="64"/>
        <item x="144"/>
        <item x="145"/>
        <item x="146"/>
        <item x="147"/>
        <item x="148"/>
        <item x="152"/>
        <item x="153"/>
        <item x="156"/>
        <item x="159"/>
        <item x="160"/>
        <item x="87"/>
        <item x="165"/>
        <item m="1" x="334"/>
        <item m="1" x="335"/>
        <item x="105"/>
        <item x="168"/>
        <item x="169"/>
        <item x="170"/>
        <item x="171"/>
        <item x="172"/>
        <item x="173"/>
        <item x="174"/>
        <item x="175"/>
        <item x="176"/>
        <item x="177"/>
        <item x="178"/>
        <item x="180"/>
        <item x="181"/>
        <item x="182"/>
        <item x="184"/>
        <item x="185"/>
        <item x="186"/>
        <item x="187"/>
        <item x="188"/>
        <item x="189"/>
        <item x="192"/>
        <item x="193"/>
        <item m="1" x="329"/>
        <item x="195"/>
        <item x="196"/>
        <item x="197"/>
        <item x="198"/>
        <item x="199"/>
        <item x="200"/>
        <item x="224"/>
        <item x="204"/>
        <item x="205"/>
        <item x="206"/>
        <item x="207"/>
        <item x="208"/>
        <item x="209"/>
        <item x="210"/>
        <item x="211"/>
        <item x="149"/>
        <item x="212"/>
        <item x="213"/>
        <item x="214"/>
        <item x="215"/>
        <item x="216"/>
        <item x="217"/>
        <item x="218"/>
        <item x="221"/>
        <item x="222"/>
        <item m="1" x="331"/>
        <item m="1" x="332"/>
        <item m="1" x="333"/>
        <item x="270"/>
        <item m="1" x="330"/>
        <item m="1" x="328"/>
        <item x="228"/>
        <item x="229"/>
        <item x="230"/>
        <item x="231"/>
        <item x="194"/>
        <item x="232"/>
        <item x="233"/>
        <item x="234"/>
        <item x="235"/>
        <item x="236"/>
        <item x="237"/>
        <item x="238"/>
        <item x="79"/>
        <item x="239"/>
        <item x="240"/>
        <item x="241"/>
        <item x="242"/>
        <item x="154"/>
        <item x="243"/>
        <item x="244"/>
        <item x="245"/>
        <item x="246"/>
        <item x="247"/>
        <item x="248"/>
        <item x="249"/>
        <item x="250"/>
        <item x="251"/>
        <item x="252"/>
        <item x="253"/>
        <item m="1" x="327"/>
        <item x="255"/>
        <item x="256"/>
        <item x="257"/>
        <item x="258"/>
        <item x="259"/>
        <item x="260"/>
        <item x="162"/>
        <item x="261"/>
        <item x="262"/>
        <item x="263"/>
        <item x="264"/>
        <item x="265"/>
        <item x="266"/>
        <item x="267"/>
        <item x="308"/>
        <item x="155"/>
        <item x="268"/>
        <item x="269"/>
        <item m="1" x="323"/>
        <item x="271"/>
        <item x="272"/>
        <item x="273"/>
        <item x="274"/>
        <item x="275"/>
        <item x="276"/>
        <item x="277"/>
        <item x="278"/>
        <item x="279"/>
        <item x="280"/>
        <item x="281"/>
        <item x="141"/>
        <item x="282"/>
        <item x="142"/>
        <item x="283"/>
        <item x="284"/>
        <item x="227"/>
        <item x="285"/>
        <item x="226"/>
        <item x="286"/>
        <item x="287"/>
        <item x="288"/>
        <item x="289"/>
        <item x="290"/>
        <item x="291"/>
        <item x="292"/>
        <item x="293"/>
        <item x="163"/>
        <item x="294"/>
        <item x="295"/>
        <item x="296"/>
        <item x="297"/>
        <item x="298"/>
        <item x="299"/>
        <item x="300"/>
        <item x="301"/>
        <item x="302"/>
        <item x="303"/>
        <item x="304"/>
        <item x="305"/>
        <item x="306"/>
        <item x="164"/>
        <item x="307"/>
        <item x="309"/>
        <item x="310"/>
        <item x="311"/>
        <item x="312"/>
        <item x="313"/>
        <item x="314"/>
        <item x="315"/>
        <item x="316"/>
        <item x="317"/>
        <item x="318"/>
        <item x="319"/>
        <item x="320"/>
        <item x="321"/>
        <item x="75"/>
        <item x="322"/>
        <item x="166"/>
        <item x="223"/>
        <item x="225"/>
        <item x="10"/>
        <item x="40"/>
        <item x="52"/>
        <item x="190"/>
        <item x="191"/>
        <item x="202"/>
        <item x="203"/>
        <item x="219"/>
        <item x="220"/>
        <item x="254"/>
        <item x="129"/>
        <item x="143"/>
        <item t="default"/>
      </items>
    </pivotField>
    <pivotField showAll="0"/>
    <pivotField showAll="0"/>
    <pivotField showAll="0"/>
    <pivotField axis="axisPage" multipleItemSelectionAllowed="1" showAll="0">
      <items count="7">
        <item x="0"/>
        <item m="1" x="5"/>
        <item h="1" x="3"/>
        <item h="1" x="4"/>
        <item h="1" x="2"/>
        <item h="1" x="1"/>
        <item t="default"/>
      </items>
    </pivotField>
    <pivotField showAll="0"/>
    <pivotField showAll="0"/>
    <pivotField axis="axisPage" multipleItemSelectionAllowed="1" showAll="0">
      <items count="8">
        <item h="1" x="1"/>
        <item h="1" x="4"/>
        <item h="1" x="3"/>
        <item h="1" x="0"/>
        <item x="5"/>
        <item h="1" x="2"/>
        <item h="1" x="6"/>
        <item t="default"/>
      </items>
    </pivotField>
    <pivotField showAll="0"/>
    <pivotField showAll="0"/>
    <pivotField axis="axisPage" multipleItemSelectionAllowed="1" showAll="0">
      <items count="6">
        <item x="1"/>
        <item h="1" x="2"/>
        <item h="1" m="1" x="4"/>
        <item h="1" x="0"/>
        <item h="1" x="3"/>
        <item t="default"/>
      </items>
    </pivotField>
    <pivotField axis="axisCol" multipleItemSelectionAllowed="1" showAll="0">
      <items count="9">
        <item x="1"/>
        <item x="2"/>
        <item m="1" x="6"/>
        <item m="1" x="5"/>
        <item x="0"/>
        <item m="1" x="7"/>
        <item m="1" x="4"/>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1"/>
    <field x="3"/>
  </rowFields>
  <rowItems count="10">
    <i>
      <x v="4"/>
    </i>
    <i r="1">
      <x v="186"/>
    </i>
    <i r="1">
      <x v="187"/>
    </i>
    <i r="1">
      <x v="188"/>
    </i>
    <i r="1">
      <x v="224"/>
    </i>
    <i>
      <x v="6"/>
    </i>
    <i r="1">
      <x v="137"/>
    </i>
    <i r="1">
      <x v="168"/>
    </i>
    <i r="1">
      <x v="190"/>
    </i>
    <i t="grand">
      <x/>
    </i>
  </rowItems>
  <colFields count="1">
    <field x="14"/>
  </colFields>
  <colItems count="3">
    <i>
      <x/>
    </i>
    <i>
      <x v="4"/>
    </i>
    <i t="grand">
      <x/>
    </i>
  </colItems>
  <pageFields count="3">
    <pageField fld="13" hier="-1"/>
    <pageField fld="7" hier="-1"/>
    <pageField fld="10" hier="-1"/>
  </pageFields>
  <dataFields count="1">
    <dataField name="Cuenta de Año"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60C4345-4BCB-4E1B-888C-E08308DDC9C0}" name="TablaDinámica2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80:D83"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axis="axisRow" showAll="0">
      <items count="46">
        <item x="3"/>
        <item x="13"/>
        <item x="18"/>
        <item x="2"/>
        <item x="30"/>
        <item x="27"/>
        <item x="26"/>
        <item x="29"/>
        <item m="1" x="43"/>
        <item m="1" x="40"/>
        <item x="12"/>
        <item x="8"/>
        <item x="10"/>
        <item x="9"/>
        <item m="1" x="35"/>
        <item x="11"/>
        <item x="1"/>
        <item x="22"/>
        <item m="1" x="37"/>
        <item x="6"/>
        <item x="20"/>
        <item x="24"/>
        <item m="1" x="33"/>
        <item m="1" x="36"/>
        <item x="15"/>
        <item x="19"/>
        <item x="16"/>
        <item x="32"/>
        <item x="0"/>
        <item x="25"/>
        <item x="17"/>
        <item m="1" x="42"/>
        <item m="1" x="41"/>
        <item x="21"/>
        <item x="28"/>
        <item x="23"/>
        <item m="1" x="44"/>
        <item m="1" x="38"/>
        <item m="1" x="39"/>
        <item x="14"/>
        <item m="1" x="34"/>
        <item x="4"/>
        <item x="5"/>
        <item x="7"/>
        <item x="31"/>
        <item t="default"/>
      </items>
    </pivotField>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3">
    <i>
      <x v="2"/>
    </i>
    <i r="1">
      <x v="7"/>
    </i>
    <i t="grand">
      <x/>
    </i>
  </rowItems>
  <colFields count="1">
    <field x="-2"/>
  </colFields>
  <colItems count="2">
    <i>
      <x/>
    </i>
    <i i="1">
      <x v="1"/>
    </i>
  </colItems>
  <pageFields count="4">
    <pageField fld="1" item="6" hier="-1"/>
    <pageField fld="10" hier="-1"/>
    <pageField fld="0" hier="-1"/>
    <pageField fld="13" item="0" hier="-1"/>
  </pageFields>
  <dataFields count="2">
    <dataField name="Presupuesto" fld="24" baseField="0" baseItem="0" numFmtId="165"/>
    <dataField name="% Presupuesto" fld="24" showDataAs="percentOfTotal" baseField="5" baseItem="3" numFmtId="9"/>
  </dataFields>
  <formats count="5">
    <format dxfId="343">
      <pivotArea outline="0" fieldPosition="0">
        <references count="1">
          <reference field="4294967294" count="1">
            <x v="1"/>
          </reference>
        </references>
      </pivotArea>
    </format>
    <format dxfId="342">
      <pivotArea outline="0" collapsedLevelsAreSubtotals="1" fieldPosition="0">
        <references count="1">
          <reference field="4294967294" count="1" selected="0">
            <x v="0"/>
          </reference>
        </references>
      </pivotArea>
    </format>
    <format dxfId="341">
      <pivotArea grandRow="1" outline="0" collapsedLevelsAreSubtotals="1" fieldPosition="0"/>
    </format>
    <format dxfId="340">
      <pivotArea outline="0" collapsedLevelsAreSubtotals="1" fieldPosition="0">
        <references count="1">
          <reference field="4294967294" count="1" selected="0">
            <x v="1"/>
          </reference>
        </references>
      </pivotArea>
    </format>
    <format dxfId="33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A27832A-DDD2-4B8B-AE2C-7BBB504B944C}"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17:F37" firstHeaderRow="1" firstDataRow="2" firstDataCol="1" rowPageCount="3" colPageCount="1"/>
  <pivotFields count="42">
    <pivotField axis="axisPage" multipleItemSelectionAllowed="1" showAll="0">
      <items count="7">
        <item x="3"/>
        <item x="1"/>
        <item x="0"/>
        <item m="1" x="5"/>
        <item m="1" x="4"/>
        <item x="2"/>
        <item t="default"/>
      </items>
    </pivotField>
    <pivotField axis="axisPage" multipleItemSelectionAllowed="1" showAll="0">
      <items count="19">
        <item h="1" x="4"/>
        <item h="1" x="2"/>
        <item h="1" x="5"/>
        <item h="1" m="1" x="12"/>
        <item h="1" m="1" x="14"/>
        <item h="1" x="1"/>
        <item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m="1" x="11"/>
        <item x="4"/>
        <item x="0"/>
        <item x="6"/>
        <item x="3"/>
        <item x="1"/>
        <item m="1" x="10"/>
        <item m="1" x="8"/>
        <item m="1" x="9"/>
        <item m="1" x="7"/>
        <item x="5"/>
        <item t="default"/>
      </items>
    </pivotField>
    <pivotField axis="axisCol" showAll="0">
      <items count="10">
        <item x="0"/>
        <item x="3"/>
        <item x="4"/>
        <item x="1"/>
        <item x="5"/>
        <item m="1" x="8"/>
        <item x="6"/>
        <item x="2"/>
        <item m="1" x="7"/>
        <item t="default"/>
      </items>
    </pivotField>
    <pivotField showAll="0"/>
    <pivotField axis="axisRow" showAll="0" sortType="descending">
      <items count="46">
        <item x="3"/>
        <item sd="0" x="13"/>
        <item sd="0" x="18"/>
        <item x="2"/>
        <item x="26"/>
        <item x="29"/>
        <item m="1" x="43"/>
        <item x="12"/>
        <item x="8"/>
        <item sd="0" x="10"/>
        <item x="9"/>
        <item x="11"/>
        <item sd="0" x="1"/>
        <item x="22"/>
        <item x="6"/>
        <item m="1" x="33"/>
        <item x="15"/>
        <item x="19"/>
        <item x="32"/>
        <item x="0"/>
        <item x="25"/>
        <item x="17"/>
        <item sd="0" m="1" x="41"/>
        <item sd="0" x="23"/>
        <item sd="0" x="14"/>
        <item m="1" x="34"/>
        <item sd="0" x="4"/>
        <item x="5"/>
        <item x="7"/>
        <item m="1" x="44"/>
        <item x="21"/>
        <item sd="0" m="1" x="38"/>
        <item m="1" x="40"/>
        <item m="1" x="35"/>
        <item x="30"/>
        <item m="1" x="42"/>
        <item m="1" x="39"/>
        <item x="20"/>
        <item m="1" x="37"/>
        <item m="1" x="36"/>
        <item x="28"/>
        <item x="27"/>
        <item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multipleItemSelectionAllowed="1"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9">
    <i>
      <x/>
    </i>
    <i r="1">
      <x v="11"/>
    </i>
    <i r="1">
      <x v="14"/>
    </i>
    <i r="1">
      <x v="21"/>
    </i>
    <i r="1">
      <x v="4"/>
    </i>
    <i r="1">
      <x v="18"/>
    </i>
    <i r="1">
      <x v="30"/>
    </i>
    <i r="1">
      <x v="16"/>
    </i>
    <i r="1">
      <x v="17"/>
    </i>
    <i>
      <x v="2"/>
    </i>
    <i r="1">
      <x v="30"/>
    </i>
    <i r="1">
      <x v="11"/>
    </i>
    <i>
      <x v="3"/>
    </i>
    <i r="1">
      <x v="5"/>
    </i>
    <i>
      <x v="5"/>
    </i>
    <i r="1">
      <x v="7"/>
    </i>
    <i>
      <x v="6"/>
    </i>
    <i r="1">
      <x v="27"/>
    </i>
    <i t="grand">
      <x/>
    </i>
  </rowItems>
  <colFields count="1">
    <field x="10"/>
  </colFields>
  <colItems count="4">
    <i>
      <x/>
    </i>
    <i>
      <x v="2"/>
    </i>
    <i>
      <x v="3"/>
    </i>
    <i t="grand">
      <x/>
    </i>
  </colItems>
  <pageFields count="3">
    <pageField fld="0" hier="-1"/>
    <pageField fld="1" hier="-1"/>
    <pageField fld="16" hier="-1"/>
  </pageFields>
  <dataFields count="1">
    <dataField name="Presupuesto" fld="24" baseField="0" baseItem="0" numFmtId="165"/>
  </dataFields>
  <formats count="12">
    <format dxfId="355">
      <pivotArea outline="0" collapsedLevelsAreSubtotals="1" fieldPosition="0">
        <references count="1">
          <reference field="4294967294" count="1" selected="0">
            <x v="0"/>
          </reference>
        </references>
      </pivotArea>
    </format>
    <format dxfId="354">
      <pivotArea grandRow="1" outline="0" collapsedLevelsAreSubtotals="1" fieldPosition="0"/>
    </format>
    <format dxfId="353">
      <pivotArea outline="0" collapsedLevelsAreSubtotals="1" fieldPosition="0"/>
    </format>
    <format dxfId="352">
      <pivotArea field="10" type="button" dataOnly="0" labelOnly="1" outline="0" axis="axisCol" fieldPosition="0"/>
    </format>
    <format dxfId="351">
      <pivotArea type="topRight" dataOnly="0" labelOnly="1" outline="0" fieldPosition="0"/>
    </format>
    <format dxfId="350">
      <pivotArea dataOnly="0" labelOnly="1" fieldPosition="0">
        <references count="1">
          <reference field="10" count="3">
            <x v="0"/>
            <x v="2"/>
            <x v="3"/>
          </reference>
        </references>
      </pivotArea>
    </format>
    <format dxfId="349">
      <pivotArea dataOnly="0" labelOnly="1" grandCol="1" outline="0" fieldPosition="0"/>
    </format>
    <format dxfId="348">
      <pivotArea outline="0" collapsedLevelsAreSubtotals="1" fieldPosition="0"/>
    </format>
    <format dxfId="347">
      <pivotArea field="10" type="button" dataOnly="0" labelOnly="1" outline="0" axis="axisCol" fieldPosition="0"/>
    </format>
    <format dxfId="346">
      <pivotArea type="topRight" dataOnly="0" labelOnly="1" outline="0" fieldPosition="0"/>
    </format>
    <format dxfId="345">
      <pivotArea dataOnly="0" labelOnly="1" fieldPosition="0">
        <references count="1">
          <reference field="10" count="3">
            <x v="0"/>
            <x v="2"/>
            <x v="3"/>
          </reference>
        </references>
      </pivotArea>
    </format>
    <format dxfId="344">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CA36626-DC0C-4033-94FC-4EA82AA86F41}" name="TablaDinámica19"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46:D49"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showAll="0"/>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3">
    <i>
      <x/>
    </i>
    <i>
      <x v="3"/>
    </i>
    <i t="grand">
      <x/>
    </i>
  </rowItems>
  <colFields count="1">
    <field x="-2"/>
  </colFields>
  <colItems count="2">
    <i>
      <x/>
    </i>
    <i i="1">
      <x v="1"/>
    </i>
  </colItems>
  <pageFields count="4">
    <pageField fld="1" item="6"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360">
      <pivotArea outline="0" fieldPosition="0">
        <references count="1">
          <reference field="4294967294" count="1">
            <x v="1"/>
          </reference>
        </references>
      </pivotArea>
    </format>
    <format dxfId="359">
      <pivotArea outline="0" collapsedLevelsAreSubtotals="1" fieldPosition="0">
        <references count="1">
          <reference field="4294967294" count="1" selected="0">
            <x v="0"/>
          </reference>
        </references>
      </pivotArea>
    </format>
    <format dxfId="358">
      <pivotArea grandRow="1" outline="0" collapsedLevelsAreSubtotals="1" fieldPosition="0"/>
    </format>
    <format dxfId="357">
      <pivotArea outline="0" collapsedLevelsAreSubtotals="1" fieldPosition="0">
        <references count="1">
          <reference field="4294967294" count="1" selected="0">
            <x v="1"/>
          </reference>
        </references>
      </pivotArea>
    </format>
    <format dxfId="35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2C0D39E6-7A9B-4233-A49A-2571C4B6306D}" name="TablaDinámica18"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54:L56"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dataField="1"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2"/>
    </i>
    <i>
      <x v="3"/>
    </i>
    <i>
      <x v="4"/>
    </i>
    <i t="grand">
      <x/>
    </i>
  </colItems>
  <pageFields count="4">
    <pageField fld="1" item="6" hier="-1"/>
    <pageField fld="10" hier="-1"/>
    <pageField fld="0" hier="-1"/>
    <pageField fld="13" hier="-1"/>
  </pageFields>
  <dataFields count="1">
    <dataField name="Cuenta de Frente" fld="9" subtotal="count" baseField="0" baseItem="0"/>
  </dataFields>
  <formats count="3">
    <format dxfId="363">
      <pivotArea grandRow="1" outline="0" collapsedLevelsAreSubtotals="1" fieldPosition="0"/>
    </format>
    <format dxfId="362">
      <pivotArea outline="0" collapsedLevelsAreSubtotals="1" fieldPosition="0"/>
    </format>
    <format dxfId="361">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B491ECA-6D43-4AC3-A66B-6C23E08F2B28}" name="TablaDinámica17"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45:L47"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2"/>
    </i>
    <i>
      <x v="3"/>
    </i>
    <i>
      <x v="4"/>
    </i>
    <i t="grand">
      <x/>
    </i>
  </colItems>
  <pageFields count="4">
    <pageField fld="1" item="6" hier="-1"/>
    <pageField fld="10" hier="-1"/>
    <pageField fld="0" hier="-1"/>
    <pageField fld="13" hier="-1"/>
  </pageFields>
  <dataFields count="1">
    <dataField name="Suma de TOTAL" fld="24" baseField="0" baseItem="0"/>
  </dataFields>
  <formats count="3">
    <format dxfId="366">
      <pivotArea grandRow="1" outline="0" collapsedLevelsAreSubtotals="1" fieldPosition="0"/>
    </format>
    <format dxfId="365">
      <pivotArea outline="0" collapsedLevelsAreSubtotals="1" fieldPosition="0"/>
    </format>
    <format dxfId="364">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51AE343-D90D-465F-885D-C8B02E137768}"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B4:H10" firstHeaderRow="1" firstDataRow="2" firstDataCol="1" rowPageCount="1" colPageCount="1"/>
  <pivotFields count="42">
    <pivotField showAll="0"/>
    <pivotField axis="axisPage" multipleItemSelectionAllowed="1" showAll="0">
      <items count="19">
        <item h="1" x="4"/>
        <item h="1" x="2"/>
        <item x="5"/>
        <item m="1" x="12"/>
        <item m="1" x="14"/>
        <item h="1" x="1"/>
        <item h="1" x="3"/>
        <item x="6"/>
        <item h="1" x="7"/>
        <item m="1" x="15"/>
        <item m="1" x="16"/>
        <item m="1" x="17"/>
        <item h="1" x="0"/>
        <item m="1" x="13"/>
        <item h="1" x="8"/>
        <item h="1" m="1" x="11"/>
        <item h="1" m="1" x="10"/>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5">
    <i>
      <x v="1"/>
    </i>
    <i>
      <x v="5"/>
    </i>
    <i>
      <x v="7"/>
    </i>
    <i>
      <x v="8"/>
    </i>
    <i t="grand">
      <x/>
    </i>
  </rowItems>
  <colFields count="1">
    <field x="16"/>
  </colFields>
  <colItems count="6">
    <i>
      <x v="1"/>
    </i>
    <i>
      <x v="2"/>
    </i>
    <i>
      <x v="3"/>
    </i>
    <i>
      <x v="4"/>
    </i>
    <i>
      <x v="5"/>
    </i>
    <i t="grand">
      <x/>
    </i>
  </colItems>
  <pageFields count="1">
    <pageField fld="1" hier="-1"/>
  </pageFields>
  <formats count="12">
    <format dxfId="378">
      <pivotArea outline="0" collapsedLevelsAreSubtotals="1" fieldPosition="0"/>
    </format>
    <format dxfId="377">
      <pivotArea dataOnly="0" labelOnly="1" grandCol="1" outline="0" fieldPosition="0"/>
    </format>
    <format dxfId="376">
      <pivotArea dataOnly="0" labelOnly="1" fieldPosition="0">
        <references count="1">
          <reference field="18" count="1">
            <x v="0"/>
          </reference>
        </references>
      </pivotArea>
    </format>
    <format dxfId="375">
      <pivotArea dataOnly="0" labelOnly="1" fieldPosition="0">
        <references count="1">
          <reference field="18" count="1">
            <x v="1"/>
          </reference>
        </references>
      </pivotArea>
    </format>
    <format dxfId="374">
      <pivotArea dataOnly="0" labelOnly="1" fieldPosition="0">
        <references count="1">
          <reference field="18" count="1">
            <x v="3"/>
          </reference>
        </references>
      </pivotArea>
    </format>
    <format dxfId="373">
      <pivotArea dataOnly="0" labelOnly="1" fieldPosition="0">
        <references count="1">
          <reference field="18" count="1">
            <x v="3"/>
          </reference>
        </references>
      </pivotArea>
    </format>
    <format dxfId="372">
      <pivotArea dataOnly="0" labelOnly="1" outline="0" fieldPosition="0">
        <references count="1">
          <reference field="1" count="0"/>
        </references>
      </pivotArea>
    </format>
    <format dxfId="371">
      <pivotArea field="16" type="button" dataOnly="0" labelOnly="1" outline="0" axis="axisCol" fieldPosition="0"/>
    </format>
    <format dxfId="370">
      <pivotArea type="topRight" dataOnly="0" labelOnly="1" outline="0" fieldPosition="0"/>
    </format>
    <format dxfId="369">
      <pivotArea dataOnly="0" labelOnly="1" outline="0" fieldPosition="0">
        <references count="1">
          <reference field="1" count="0"/>
        </references>
      </pivotArea>
    </format>
    <format dxfId="368">
      <pivotArea field="16" type="button" dataOnly="0" labelOnly="1" outline="0" axis="axisCol" fieldPosition="0"/>
    </format>
    <format dxfId="367">
      <pivotArea type="topRight" dataOnly="0" labelOnly="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E2362E5-D1D7-46F1-8BE4-A1D71BCD3571}"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F27" firstHeaderRow="1" firstDataRow="2" firstDataCol="1" rowPageCount="2" colPageCount="1"/>
  <pivotFields count="42">
    <pivotField dataField="1" showAll="0"/>
    <pivotField axis="axisPage" showAll="0">
      <items count="19">
        <item m="1" x="10"/>
        <item h="1" x="4"/>
        <item h="1" x="2"/>
        <item h="1" x="7"/>
        <item h="1" x="5"/>
        <item m="1" x="16"/>
        <item m="1" x="13"/>
        <item m="1" x="15"/>
        <item m="1" x="17"/>
        <item m="1" x="12"/>
        <item x="0"/>
        <item h="1" x="8"/>
        <item m="1" x="14"/>
        <item m="1" x="11"/>
        <item h="1" m="1" x="9"/>
        <item h="1" x="1"/>
        <item h="1" x="3"/>
        <item h="1" x="6"/>
        <item t="default"/>
      </items>
    </pivotField>
    <pivotField showAll="0"/>
    <pivotField axis="axisRow" showAll="0" sortType="descending">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m="1" x="343"/>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32"/>
        <item m="1" x="342"/>
        <item x="284"/>
        <item x="285"/>
        <item x="286"/>
        <item x="287"/>
        <item x="288"/>
        <item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x="319"/>
        <item x="27"/>
        <item x="265"/>
        <item x="96"/>
        <item x="97"/>
        <item x="1"/>
        <item x="61"/>
        <item x="68"/>
        <item x="69"/>
        <item x="86"/>
        <item x="133"/>
        <item x="134"/>
        <item x="165"/>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Row" showAll="0">
      <items count="8">
        <item x="2"/>
        <item m="1" x="6"/>
        <item x="3"/>
        <item x="5"/>
        <item x="1"/>
        <item x="0"/>
        <item x="4"/>
        <item t="default"/>
      </items>
    </pivotField>
    <pivotField showAll="0"/>
    <pivotField showAll="0"/>
    <pivotField axis="axisCol" multipleItemSelectionAllowed="1" showAll="0">
      <items count="10">
        <item x="2"/>
        <item x="4"/>
        <item x="3"/>
        <item h="1" x="0"/>
        <item h="1" x="5"/>
        <item m="1" x="8"/>
        <item m="1" x="7"/>
        <item x="1"/>
        <item x="6"/>
        <item t="default"/>
      </items>
    </pivotField>
    <pivotField showAll="0"/>
    <pivotField showAll="0"/>
    <pivotField showAll="0"/>
    <pivotField axis="axisPage" multipleItemSelectionAllowed="1" showAll="0">
      <items count="10">
        <item h="1" m="1" x="8"/>
        <item x="4"/>
        <item h="1" x="3"/>
        <item h="1" x="6"/>
        <item x="2"/>
        <item h="1" x="0"/>
        <item h="1" x="7"/>
        <item h="1" x="1"/>
        <item h="1" x="5"/>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7"/>
    <field x="3"/>
  </rowFields>
  <rowItems count="22">
    <i>
      <x/>
    </i>
    <i r="1">
      <x v="175"/>
    </i>
    <i r="1">
      <x v="262"/>
    </i>
    <i r="1">
      <x v="179"/>
    </i>
    <i r="1">
      <x v="134"/>
    </i>
    <i r="1">
      <x v="140"/>
    </i>
    <i r="1">
      <x v="210"/>
    </i>
    <i r="1">
      <x v="150"/>
    </i>
    <i r="1">
      <x v="273"/>
    </i>
    <i r="1">
      <x v="280"/>
    </i>
    <i r="1">
      <x v="326"/>
    </i>
    <i r="1">
      <x v="92"/>
    </i>
    <i r="1">
      <x v="178"/>
    </i>
    <i>
      <x v="2"/>
    </i>
    <i r="1">
      <x v="338"/>
    </i>
    <i r="1">
      <x v="226"/>
    </i>
    <i r="1">
      <x v="131"/>
    </i>
    <i r="1">
      <x v="213"/>
    </i>
    <i>
      <x v="3"/>
    </i>
    <i r="1">
      <x v="278"/>
    </i>
    <i r="1">
      <x v="213"/>
    </i>
    <i t="grand">
      <x/>
    </i>
  </rowItems>
  <colFields count="1">
    <field x="10"/>
  </colFields>
  <colItems count="5">
    <i>
      <x/>
    </i>
    <i>
      <x v="1"/>
    </i>
    <i>
      <x v="2"/>
    </i>
    <i>
      <x v="7"/>
    </i>
    <i t="grand">
      <x/>
    </i>
  </colItems>
  <pageFields count="2">
    <pageField fld="14" hier="-1"/>
    <pageField fld="1" item="10" hier="-1"/>
  </pageFields>
  <dataFields count="1">
    <dataField name="Cuenta de Año" fld="0" subtotal="count" baseField="0" baseItem="0"/>
  </dataFields>
  <formats count="4">
    <format dxfId="338">
      <pivotArea collapsedLevelsAreSubtotals="1" fieldPosition="0">
        <references count="2">
          <reference field="3" count="1">
            <x v="86"/>
          </reference>
          <reference field="7" count="1" selected="0">
            <x v="0"/>
          </reference>
        </references>
      </pivotArea>
    </format>
    <format dxfId="337">
      <pivotArea dataOnly="0" labelOnly="1" fieldPosition="0">
        <references count="2">
          <reference field="3" count="1">
            <x v="86"/>
          </reference>
          <reference field="7" count="1" selected="0">
            <x v="0"/>
          </reference>
        </references>
      </pivotArea>
    </format>
    <format dxfId="336">
      <pivotArea collapsedLevelsAreSubtotals="1" fieldPosition="0">
        <references count="2">
          <reference field="3" count="7">
            <x v="56"/>
            <x v="69"/>
            <x v="144"/>
            <x v="149"/>
            <x v="215"/>
            <x v="217"/>
            <x v="269"/>
          </reference>
          <reference field="7" count="1" selected="0">
            <x v="2"/>
          </reference>
        </references>
      </pivotArea>
    </format>
    <format dxfId="335">
      <pivotArea dataOnly="0" labelOnly="1" fieldPosition="0">
        <references count="2">
          <reference field="3" count="7">
            <x v="56"/>
            <x v="69"/>
            <x v="144"/>
            <x v="149"/>
            <x v="215"/>
            <x v="217"/>
            <x v="269"/>
          </reference>
          <reference field="7"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E3E8D369-1DF8-443B-A9E6-10FD8113568B}" name="TablaDinámica6" cacheId="1" applyNumberFormats="0" applyBorderFormats="0" applyFontFormats="0" applyPatternFormats="0" applyAlignmentFormats="0" applyWidthHeightFormats="1" dataCaption="Valores" updatedVersion="8" minRefreshableVersion="3" useAutoFormatting="1" colGrandTotals="0" itemPrintTitles="1" createdVersion="8" indent="0" outline="1" outlineData="1" multipleFieldFilters="0">
  <location ref="I20:J26" firstHeaderRow="1" firstDataRow="2" firstDataCol="1" rowPageCount="2" colPageCount="1"/>
  <pivotFields count="42">
    <pivotField axis="axisPage" multipleItemSelectionAllowed="1" showAll="0">
      <items count="7">
        <item h="1" m="1" x="5"/>
        <item x="3"/>
        <item h="1" x="1"/>
        <item x="0"/>
        <item h="1" m="1" x="4"/>
        <item h="1" x="2"/>
        <item t="default"/>
      </items>
    </pivotField>
    <pivotField axis="axisRow" multipleItemSelectionAllowed="1" showAll="0" sortType="descending">
      <items count="19">
        <item h="1" sd="0" x="4"/>
        <item h="1" x="2"/>
        <item x="5"/>
        <item m="1" x="12"/>
        <item m="1" x="14"/>
        <item x="1"/>
        <item x="3"/>
        <item x="6"/>
        <item h="1" sd="0" x="7"/>
        <item m="1" x="15"/>
        <item m="1" x="16"/>
        <item m="1" x="17"/>
        <item x="0"/>
        <item m="1" x="13"/>
        <item h="1" x="8"/>
        <item m="1" x="11"/>
        <item h="1" m="1" x="10"/>
        <item h="1" m="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ame="|||||" multipleItemSelectionAllowed="1" showAll="0"/>
    <pivotField axis="axisCol" multipleItemSelectionAllowed="1" showAll="0">
      <items count="10">
        <item x="0"/>
        <item h="1" x="3"/>
        <item h="1" x="5"/>
        <item h="1" m="1" x="8"/>
        <item h="1" x="1"/>
        <item h="1" x="2"/>
        <item h="1" x="4"/>
        <item x="6"/>
        <item h="1" m="1" x="7"/>
        <item t="default"/>
      </items>
    </pivotField>
    <pivotField showAll="0"/>
    <pivotField showAll="0"/>
    <pivotField axis="axisPage" multipleItemSelectionAllowed="1" showAll="0">
      <items count="7">
        <item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5">
    <i>
      <x v="2"/>
    </i>
    <i>
      <x v="12"/>
    </i>
    <i>
      <x v="5"/>
    </i>
    <i>
      <x v="6"/>
    </i>
    <i t="grand">
      <x/>
    </i>
  </rowItems>
  <colFields count="1">
    <field x="10"/>
  </colFields>
  <colItems count="1">
    <i>
      <x/>
    </i>
  </colItems>
  <pageFields count="2">
    <pageField fld="0" hier="-1"/>
    <pageField fld="13" hier="-1"/>
  </pageFields>
  <dataFields count="1">
    <dataField name="Suma de TOTAL" fld="24" baseField="0" baseItem="0" numFmtId="165"/>
  </dataFields>
  <formats count="5">
    <format dxfId="292">
      <pivotArea grandRow="1" outline="0" collapsedLevelsAreSubtotals="1" fieldPosition="0"/>
    </format>
    <format dxfId="291">
      <pivotArea outline="0" collapsedLevelsAreSubtotals="1" fieldPosition="0"/>
    </format>
    <format dxfId="290">
      <pivotArea outline="0" collapsedLevelsAreSubtotals="1" fieldPosition="0">
        <references count="1">
          <reference field="4294967294" count="1" selected="0">
            <x v="0"/>
          </reference>
        </references>
      </pivotArea>
    </format>
    <format dxfId="289">
      <pivotArea collapsedLevelsAreSubtotals="1" fieldPosition="0">
        <references count="1">
          <reference field="1" count="1">
            <x v="1"/>
          </reference>
        </references>
      </pivotArea>
    </format>
    <format dxfId="288">
      <pivotArea dataOnly="0" labelOnly="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AD2194-DFD5-4478-97B2-3F24B746FE8B}" name="TablaDinámica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2:G30" firstHeaderRow="1" firstDataRow="2" firstDataCol="1" rowPageCount="3" colPageCount="1"/>
  <pivotFields count="42">
    <pivotField axis="axisPage" multipleItemSelectionAllowed="1" showAll="0">
      <items count="7">
        <item h="1" m="1" x="5"/>
        <item x="3"/>
        <item h="1" x="1"/>
        <item x="0"/>
        <item h="1" m="1" x="4"/>
        <item h="1" x="2"/>
        <item t="default"/>
      </items>
    </pivotField>
    <pivotField axis="axisRow" multipleItemSelectionAllowed="1" showAll="0">
      <items count="19">
        <item h="1" x="4"/>
        <item sd="0" x="2"/>
        <item sd="0" x="5"/>
        <item m="1" x="12"/>
        <item m="1" x="14"/>
        <item sd="0" x="1"/>
        <item sd="0" x="3"/>
        <item x="6"/>
        <item sd="0" x="7"/>
        <item m="1" x="15"/>
        <item m="1" x="16"/>
        <item m="1" x="17"/>
        <item sd="0" x="0"/>
        <item m="1" x="13"/>
        <item h="1" x="8"/>
        <item h="1" m="1" x="11"/>
        <item h="1" m="1" x="10"/>
        <item h="1" m="1" x="9"/>
        <item t="default"/>
      </items>
    </pivotField>
    <pivotField showAll="0"/>
    <pivotField showAll="0"/>
    <pivotField showAll="0"/>
    <pivotField showAll="0"/>
    <pivotField showAll="0"/>
    <pivotField showAll="0"/>
    <pivotField showAll="0"/>
    <pivotField name="|||||" axis="axisPage" multipleItemSelectionAllowed="1" showAll="0">
      <items count="13">
        <item m="1" x="8"/>
        <item m="1" x="9"/>
        <item x="2"/>
        <item m="1" x="10"/>
        <item x="1"/>
        <item m="1" x="11"/>
        <item x="0"/>
        <item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multipleItemSelectionAllowed="1" showAll="0">
      <items count="7">
        <item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7">
    <i>
      <x v="1"/>
    </i>
    <i>
      <x v="2"/>
    </i>
    <i>
      <x v="5"/>
    </i>
    <i>
      <x v="6"/>
    </i>
    <i>
      <x v="8"/>
    </i>
    <i>
      <x v="12"/>
    </i>
    <i t="grand">
      <x/>
    </i>
  </rowItems>
  <colFields count="1">
    <field x="10"/>
  </colFields>
  <colItems count="6">
    <i>
      <x/>
    </i>
    <i>
      <x v="1"/>
    </i>
    <i>
      <x v="4"/>
    </i>
    <i>
      <x v="5"/>
    </i>
    <i>
      <x v="6"/>
    </i>
    <i t="grand">
      <x/>
    </i>
  </colItems>
  <pageFields count="3">
    <pageField fld="0" hier="-1"/>
    <pageField fld="9" hier="-1"/>
    <pageField fld="13" hier="-1"/>
  </pageFields>
  <dataFields count="1">
    <dataField name="Suma de TOTAL" fld="24" baseField="0" baseItem="0" numFmtId="165"/>
  </dataFields>
  <formats count="6">
    <format dxfId="298">
      <pivotArea grandRow="1" outline="0" collapsedLevelsAreSubtotals="1" fieldPosition="0"/>
    </format>
    <format dxfId="297">
      <pivotArea outline="0" collapsedLevelsAreSubtotals="1" fieldPosition="0"/>
    </format>
    <format dxfId="296">
      <pivotArea outline="0" collapsedLevelsAreSubtotals="1" fieldPosition="0">
        <references count="1">
          <reference field="4294967294" count="1" selected="0">
            <x v="0"/>
          </reference>
        </references>
      </pivotArea>
    </format>
    <format dxfId="295">
      <pivotArea collapsedLevelsAreSubtotals="1" fieldPosition="0">
        <references count="1">
          <reference field="1" count="1">
            <x v="1"/>
          </reference>
        </references>
      </pivotArea>
    </format>
    <format dxfId="294">
      <pivotArea dataOnly="0" labelOnly="1" fieldPosition="0">
        <references count="1">
          <reference field="1" count="1">
            <x v="1"/>
          </reference>
        </references>
      </pivotArea>
    </format>
    <format dxfId="293">
      <pivotArea collapsedLevelsAreSubtotals="1" fieldPosition="0">
        <references count="2">
          <reference field="1" count="1">
            <x v="6"/>
          </reference>
          <reference field="10"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C603F7E-5B51-4648-91FB-7B7194A84BF3}" name="TablaDinámica2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L152:N189" firstHeaderRow="1" firstDataRow="2" firstDataCol="1" rowPageCount="2" colPageCount="1"/>
  <pivotFields count="42">
    <pivotField axis="axisPage" multipleItemSelectionAllowed="1" showAll="0">
      <items count="7">
        <item h="1" m="1" x="5"/>
        <item x="3"/>
        <item h="1" x="1"/>
        <item x="0"/>
        <item h="1" m="1" x="4"/>
        <item h="1" x="2"/>
        <item t="default"/>
      </items>
    </pivotField>
    <pivotField axis="axisRow" multipleItemSelectionAllowed="1" showAll="0">
      <items count="19">
        <item h="1" sd="0" x="4"/>
        <item h="1" x="2"/>
        <item m="1" x="12"/>
        <item m="1" x="14"/>
        <item x="0"/>
        <item x="1"/>
        <item x="6"/>
        <item h="1" sd="0" x="7"/>
        <item m="1" x="15"/>
        <item m="1" x="16"/>
        <item m="1" x="17"/>
        <item m="1" x="13"/>
        <item h="1" x="8"/>
        <item m="1" x="11"/>
        <item h="1" m="1" x="10"/>
        <item h="1" m="1" x="9"/>
        <item x="5"/>
        <item x="3"/>
        <item t="default"/>
      </items>
    </pivotField>
    <pivotField showAll="0"/>
    <pivotField showAll="0"/>
    <pivotField showAll="0"/>
    <pivotField showAll="0"/>
    <pivotField showAll="0"/>
    <pivotField showAll="0"/>
    <pivotField showAll="0"/>
    <pivotField name="|||||" multipleItemSelectionAllowed="1" showAll="0"/>
    <pivotField axis="axisCol" multipleItemSelectionAllowed="1" showAll="0">
      <items count="10">
        <item x="0"/>
        <item x="3"/>
        <item h="1" x="5"/>
        <item h="1" m="1" x="8"/>
        <item x="1"/>
        <item x="2"/>
        <item x="4"/>
        <item x="6"/>
        <item h="1" m="1" x="7"/>
        <item t="default"/>
      </items>
    </pivotField>
    <pivotField showAll="0"/>
    <pivotField axis="axisRow" showAll="0" sortType="descending">
      <items count="46">
        <item x="3"/>
        <item x="13"/>
        <item x="18"/>
        <item x="30"/>
        <item x="27"/>
        <item x="6"/>
        <item x="9"/>
        <item x="2"/>
        <item x="11"/>
        <item x="15"/>
        <item x="16"/>
        <item x="14"/>
        <item m="1" x="34"/>
        <item x="4"/>
        <item x="10"/>
        <item x="26"/>
        <item x="29"/>
        <item m="1" x="43"/>
        <item m="1" x="40"/>
        <item x="12"/>
        <item x="8"/>
        <item m="1" x="35"/>
        <item x="1"/>
        <item x="22"/>
        <item m="1" x="37"/>
        <item x="20"/>
        <item x="24"/>
        <item m="1" x="33"/>
        <item m="1" x="36"/>
        <item x="19"/>
        <item x="32"/>
        <item x="0"/>
        <item x="25"/>
        <item x="17"/>
        <item m="1" x="42"/>
        <item m="1" x="41"/>
        <item x="21"/>
        <item x="28"/>
        <item x="23"/>
        <item m="1" x="44"/>
        <item m="1" x="38"/>
        <item m="1" x="39"/>
        <item x="5"/>
        <item x="7"/>
        <item x="31"/>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1"/>
    <field x="12"/>
  </rowFields>
  <rowItems count="36">
    <i>
      <x v="4"/>
    </i>
    <i r="1">
      <x v="31"/>
    </i>
    <i r="1">
      <x v="22"/>
    </i>
    <i r="1">
      <x v="7"/>
    </i>
    <i r="1">
      <x v="8"/>
    </i>
    <i r="1">
      <x v="25"/>
    </i>
    <i r="1">
      <x v="1"/>
    </i>
    <i r="1">
      <x v="9"/>
    </i>
    <i>
      <x v="5"/>
    </i>
    <i r="1">
      <x v="31"/>
    </i>
    <i r="1">
      <x v="6"/>
    </i>
    <i r="1">
      <x v="7"/>
    </i>
    <i r="1">
      <x v="10"/>
    </i>
    <i r="1">
      <x v="22"/>
    </i>
    <i r="1">
      <x v="43"/>
    </i>
    <i>
      <x v="16"/>
    </i>
    <i r="1">
      <x v="22"/>
    </i>
    <i r="1">
      <x v="6"/>
    </i>
    <i r="1">
      <x v="11"/>
    </i>
    <i r="1">
      <x v="13"/>
    </i>
    <i r="1">
      <x v="4"/>
    </i>
    <i r="1">
      <x v="37"/>
    </i>
    <i r="1">
      <x v="14"/>
    </i>
    <i r="1">
      <x v="26"/>
    </i>
    <i r="1">
      <x v="10"/>
    </i>
    <i r="1">
      <x v="33"/>
    </i>
    <i>
      <x v="17"/>
    </i>
    <i r="1">
      <x v="8"/>
    </i>
    <i r="1">
      <x v="33"/>
    </i>
    <i r="1">
      <x v="15"/>
    </i>
    <i r="1">
      <x v="36"/>
    </i>
    <i r="1">
      <x v="30"/>
    </i>
    <i r="1">
      <x v="5"/>
    </i>
    <i r="1">
      <x v="9"/>
    </i>
    <i r="1">
      <x v="29"/>
    </i>
    <i t="grand">
      <x/>
    </i>
  </rowItems>
  <colFields count="1">
    <field x="10"/>
  </colFields>
  <colItems count="2">
    <i>
      <x/>
    </i>
    <i t="grand">
      <x/>
    </i>
  </colItems>
  <pageFields count="2">
    <pageField fld="0" hier="-1"/>
    <pageField fld="13" hier="-1"/>
  </pageFields>
  <dataFields count="1">
    <dataField name="Suma de TOTAL" fld="24" baseField="0" baseItem="0" numFmtId="165"/>
  </dataFields>
  <formats count="10">
    <format dxfId="308">
      <pivotArea grandRow="1" outline="0" collapsedLevelsAreSubtotals="1" fieldPosition="0"/>
    </format>
    <format dxfId="307">
      <pivotArea outline="0" collapsedLevelsAreSubtotals="1" fieldPosition="0">
        <references count="1">
          <reference field="4294967294" count="1" selected="0">
            <x v="0"/>
          </reference>
        </references>
      </pivotArea>
    </format>
    <format dxfId="306">
      <pivotArea collapsedLevelsAreSubtotals="1" fieldPosition="0">
        <references count="1">
          <reference field="1" count="1">
            <x v="1"/>
          </reference>
        </references>
      </pivotArea>
    </format>
    <format dxfId="305">
      <pivotArea dataOnly="0" labelOnly="1" fieldPosition="0">
        <references count="1">
          <reference field="1" count="1">
            <x v="1"/>
          </reference>
        </references>
      </pivotArea>
    </format>
    <format dxfId="304">
      <pivotArea outline="0" collapsedLevelsAreSubtotals="1" fieldPosition="0"/>
    </format>
    <format dxfId="303">
      <pivotArea dataOnly="0" labelOnly="1" fieldPosition="0">
        <references count="1">
          <reference field="1" count="0"/>
        </references>
      </pivotArea>
    </format>
    <format dxfId="302">
      <pivotArea dataOnly="0" labelOnly="1" grandCol="1" outline="0" fieldPosition="0"/>
    </format>
    <format dxfId="301">
      <pivotArea outline="0" collapsedLevelsAreSubtotals="1" fieldPosition="0"/>
    </format>
    <format dxfId="300">
      <pivotArea dataOnly="0" labelOnly="1" fieldPosition="0">
        <references count="1">
          <reference field="1" count="0"/>
        </references>
      </pivotArea>
    </format>
    <format dxfId="299">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939E0AB-07B2-4E72-B346-30899917088B}" name="TablaDinámica2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L116:Q145" firstHeaderRow="1" firstDataRow="2" firstDataCol="1" rowPageCount="4" colPageCount="1"/>
  <pivotFields count="42">
    <pivotField axis="axisPage" multipleItemSelectionAllowed="1" showAll="0">
      <items count="7">
        <item h="1" m="1" x="5"/>
        <item x="3"/>
        <item h="1" x="1"/>
        <item x="0"/>
        <item h="1" m="1" x="4"/>
        <item h="1" x="2"/>
        <item t="default"/>
      </items>
    </pivotField>
    <pivotField axis="axisCol" multipleItemSelectionAllowed="1" showAll="0">
      <items count="19">
        <item h="1" sd="0" x="4"/>
        <item h="1" x="2"/>
        <item m="1" x="12"/>
        <item m="1" x="14"/>
        <item x="0"/>
        <item x="1"/>
        <item x="6"/>
        <item h="1" sd="0" x="7"/>
        <item m="1" x="15"/>
        <item m="1" x="16"/>
        <item m="1" x="17"/>
        <item m="1" x="13"/>
        <item h="1" x="8"/>
        <item m="1" x="11"/>
        <item h="1" m="1" x="10"/>
        <item h="1" m="1" x="9"/>
        <item x="5"/>
        <item x="3"/>
        <item t="default"/>
      </items>
    </pivotField>
    <pivotField showAll="0"/>
    <pivotField axis="axisPage" multipleItemSelectionAllowed="1" showAll="0">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42"/>
        <item x="284"/>
        <item x="285"/>
        <item x="286"/>
        <item x="287"/>
        <item x="288"/>
        <item h="1"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h="1" m="1" x="343"/>
        <item h="1" x="319"/>
        <item h="1" m="1" x="332"/>
        <item h="1" x="27"/>
        <item h="1" x="265"/>
        <item h="1" x="96"/>
        <item h="1" x="97"/>
        <item h="1" x="1"/>
        <item h="1" x="61"/>
        <item h="1" x="68"/>
        <item h="1" x="69"/>
        <item h="1" x="86"/>
        <item h="1" x="133"/>
        <item h="1" x="134"/>
        <item h="1" x="165"/>
        <item t="default"/>
      </items>
    </pivotField>
    <pivotField showAll="0"/>
    <pivotField showAll="0"/>
    <pivotField showAll="0"/>
    <pivotField showAll="0"/>
    <pivotField showAll="0"/>
    <pivotField name="|||||" axis="axisRow" multipleItemSelectionAllowed="1" showAll="0">
      <items count="13">
        <item m="1" x="8"/>
        <item m="1" x="9"/>
        <item x="2"/>
        <item m="1" x="10"/>
        <item m="1" x="11"/>
        <item x="0"/>
        <item m="1" x="7"/>
        <item x="4"/>
        <item x="3"/>
        <item x="6"/>
        <item x="1"/>
        <item x="5"/>
        <item t="default"/>
      </items>
    </pivotField>
    <pivotField axis="axisPage" multipleItemSelectionAllowed="1" showAll="0">
      <items count="10">
        <item x="0"/>
        <item h="1" x="3"/>
        <item h="1" x="5"/>
        <item h="1" m="1" x="8"/>
        <item h="1" x="1"/>
        <item h="1" x="2"/>
        <item h="1" x="4"/>
        <item x="6"/>
        <item h="1" m="1" x="7"/>
        <item t="default"/>
      </items>
    </pivotField>
    <pivotField showAll="0"/>
    <pivotField axis="axisRow" showAll="0" sortType="descending">
      <items count="46">
        <item x="3"/>
        <item x="13"/>
        <item x="18"/>
        <item x="30"/>
        <item x="27"/>
        <item x="6"/>
        <item x="17"/>
        <item x="32"/>
        <item x="21"/>
        <item x="19"/>
        <item x="11"/>
        <item x="15"/>
        <item x="2"/>
        <item x="16"/>
        <item x="14"/>
        <item m="1" x="34"/>
        <item x="4"/>
        <item x="10"/>
        <item x="26"/>
        <item x="29"/>
        <item m="1" x="43"/>
        <item m="1" x="40"/>
        <item x="12"/>
        <item x="8"/>
        <item m="1" x="35"/>
        <item x="1"/>
        <item x="22"/>
        <item m="1" x="37"/>
        <item x="20"/>
        <item x="24"/>
        <item m="1" x="33"/>
        <item m="1" x="36"/>
        <item x="9"/>
        <item x="0"/>
        <item x="25"/>
        <item m="1" x="42"/>
        <item m="1" x="41"/>
        <item x="28"/>
        <item x="23"/>
        <item m="1" x="44"/>
        <item m="1" x="38"/>
        <item m="1" x="39"/>
        <item x="5"/>
        <item x="7"/>
        <item x="31"/>
        <item t="default"/>
      </items>
      <autoSortScope>
        <pivotArea dataOnly="0" outline="0" fieldPosition="0">
          <references count="1">
            <reference field="4294967294" count="1" selected="0">
              <x v="0"/>
            </reference>
          </references>
        </pivotArea>
      </autoSortScope>
    </pivotField>
    <pivotField axis="axisPage" multipleItemSelectionAllowed="1" showAll="0">
      <items count="7">
        <item h="1"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28">
    <i>
      <x v="2"/>
    </i>
    <i r="1">
      <x v="32"/>
    </i>
    <i r="1">
      <x v="14"/>
    </i>
    <i r="1">
      <x v="16"/>
    </i>
    <i r="1">
      <x v="12"/>
    </i>
    <i r="1">
      <x v="10"/>
    </i>
    <i r="1">
      <x v="6"/>
    </i>
    <i r="1">
      <x v="18"/>
    </i>
    <i r="1">
      <x v="7"/>
    </i>
    <i r="1">
      <x v="5"/>
    </i>
    <i r="1">
      <x v="11"/>
    </i>
    <i r="1">
      <x v="13"/>
    </i>
    <i r="1">
      <x v="9"/>
    </i>
    <i r="1">
      <x v="28"/>
    </i>
    <i r="1">
      <x v="17"/>
    </i>
    <i>
      <x v="5"/>
    </i>
    <i r="1">
      <x v="33"/>
    </i>
    <i r="1">
      <x v="1"/>
    </i>
    <i>
      <x v="7"/>
    </i>
    <i r="1">
      <x v="32"/>
    </i>
    <i r="1">
      <x v="4"/>
    </i>
    <i r="1">
      <x v="8"/>
    </i>
    <i r="1">
      <x v="10"/>
    </i>
    <i r="1">
      <x v="37"/>
    </i>
    <i r="1">
      <x v="29"/>
    </i>
    <i>
      <x v="10"/>
    </i>
    <i r="1">
      <x v="25"/>
    </i>
    <i t="grand">
      <x/>
    </i>
  </rowItems>
  <colFields count="1">
    <field x="1"/>
  </colFields>
  <colItems count="5">
    <i>
      <x v="4"/>
    </i>
    <i>
      <x v="5"/>
    </i>
    <i>
      <x v="16"/>
    </i>
    <i>
      <x v="17"/>
    </i>
    <i t="grand">
      <x/>
    </i>
  </colItems>
  <pageFields count="4">
    <pageField fld="0" hier="-1"/>
    <pageField fld="13" hier="-1"/>
    <pageField fld="10" hier="-1"/>
    <pageField fld="3" hier="-1"/>
  </pageFields>
  <dataFields count="1">
    <dataField name="Suma de TOTAL" fld="24" baseField="0" baseItem="0" numFmtId="165"/>
  </dataFields>
  <formats count="10">
    <format dxfId="318">
      <pivotArea grandRow="1" outline="0" collapsedLevelsAreSubtotals="1" fieldPosition="0"/>
    </format>
    <format dxfId="317">
      <pivotArea outline="0" collapsedLevelsAreSubtotals="1" fieldPosition="0">
        <references count="1">
          <reference field="4294967294" count="1" selected="0">
            <x v="0"/>
          </reference>
        </references>
      </pivotArea>
    </format>
    <format dxfId="316">
      <pivotArea collapsedLevelsAreSubtotals="1" fieldPosition="0">
        <references count="1">
          <reference field="1" count="1">
            <x v="1"/>
          </reference>
        </references>
      </pivotArea>
    </format>
    <format dxfId="315">
      <pivotArea dataOnly="0" labelOnly="1" fieldPosition="0">
        <references count="1">
          <reference field="1" count="1">
            <x v="1"/>
          </reference>
        </references>
      </pivotArea>
    </format>
    <format dxfId="314">
      <pivotArea outline="0" collapsedLevelsAreSubtotals="1" fieldPosition="0"/>
    </format>
    <format dxfId="313">
      <pivotArea dataOnly="0" labelOnly="1" fieldPosition="0">
        <references count="1">
          <reference field="1" count="0"/>
        </references>
      </pivotArea>
    </format>
    <format dxfId="312">
      <pivotArea dataOnly="0" labelOnly="1" grandCol="1" outline="0" fieldPosition="0"/>
    </format>
    <format dxfId="311">
      <pivotArea dataOnly="0" labelOnly="1" fieldPosition="0">
        <references count="1">
          <reference field="1" count="0"/>
        </references>
      </pivotArea>
    </format>
    <format dxfId="310">
      <pivotArea dataOnly="0" labelOnly="1" grandCol="1" outline="0" fieldPosition="0"/>
    </format>
    <format dxfId="30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7C7B4D7-F8FB-4E69-AB4C-904C7D2A5C74}" name="TablaDinámica2" cacheId="1" applyNumberFormats="0" applyBorderFormats="0" applyFontFormats="0" applyPatternFormats="0" applyAlignmentFormats="0" applyWidthHeightFormats="1" dataCaption="Valores" updatedVersion="8" minRefreshableVersion="3" useAutoFormatting="1" colGrandTotals="0" itemPrintTitles="1" createdVersion="8" indent="0" outline="1" outlineData="1" multipleFieldFilters="0">
  <location ref="L8:P16" firstHeaderRow="1" firstDataRow="2" firstDataCol="1" rowPageCount="3" colPageCount="1"/>
  <pivotFields count="42">
    <pivotField axis="axisPage" multipleItemSelectionAllowed="1" showAll="0">
      <items count="7">
        <item h="1" m="1" x="5"/>
        <item x="3"/>
        <item x="1"/>
        <item x="0"/>
        <item h="1" m="1" x="4"/>
        <item h="1" x="2"/>
        <item t="default"/>
      </items>
    </pivotField>
    <pivotField axis="axisRow" multipleItemSelectionAllowed="1" showAll="0">
      <items count="19">
        <item h="1" sd="0" x="4"/>
        <item x="2"/>
        <item sd="0" x="8"/>
        <item sd="0" x="0"/>
        <item sd="0" x="5"/>
        <item m="1" x="12"/>
        <item h="1" m="1" x="14"/>
        <item sd="0" x="1"/>
        <item sd="0" x="3"/>
        <item x="6"/>
        <item h="1" sd="0" x="7"/>
        <item m="1" x="15"/>
        <item m="1" x="16"/>
        <item m="1" x="17"/>
        <item m="1" x="13"/>
        <item m="1" x="11"/>
        <item h="1" m="1" x="10"/>
        <item m="1" x="9"/>
        <item t="default"/>
      </items>
    </pivotField>
    <pivotField showAll="0"/>
    <pivotField showAll="0"/>
    <pivotField showAll="0"/>
    <pivotField showAll="0"/>
    <pivotField showAll="0"/>
    <pivotField showAll="0"/>
    <pivotField showAll="0"/>
    <pivotField name="|||||" axis="axisPage" multipleItemSelectionAllowed="1" showAll="0">
      <items count="13">
        <item m="1" x="8"/>
        <item m="1" x="9"/>
        <item x="2"/>
        <item m="1" x="10"/>
        <item x="1"/>
        <item m="1" x="11"/>
        <item x="0"/>
        <item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multipleItemSelectionAllowed="1" showAll="0">
      <items count="7">
        <item h="1" x="1"/>
        <item h="1" x="2"/>
        <item m="1" x="5"/>
        <item x="4"/>
        <item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7">
    <i>
      <x v="1"/>
    </i>
    <i>
      <x v="2"/>
    </i>
    <i>
      <x v="3"/>
    </i>
    <i>
      <x v="4"/>
    </i>
    <i>
      <x v="7"/>
    </i>
    <i>
      <x v="8"/>
    </i>
    <i t="grand">
      <x/>
    </i>
  </rowItems>
  <colFields count="1">
    <field x="10"/>
  </colFields>
  <colItems count="4">
    <i>
      <x/>
    </i>
    <i>
      <x v="1"/>
    </i>
    <i>
      <x v="4"/>
    </i>
    <i>
      <x v="5"/>
    </i>
  </colItems>
  <pageFields count="3">
    <pageField fld="0" hier="-1"/>
    <pageField fld="9" hier="-1"/>
    <pageField fld="13" hier="-1"/>
  </pageFields>
  <dataFields count="1">
    <dataField name="Suma de TOTAL" fld="24" baseField="0" baseItem="0" numFmtId="165"/>
  </dataFields>
  <formats count="5">
    <format dxfId="323">
      <pivotArea grandRow="1" outline="0" collapsedLevelsAreSubtotals="1" fieldPosition="0"/>
    </format>
    <format dxfId="322">
      <pivotArea outline="0" collapsedLevelsAreSubtotals="1" fieldPosition="0"/>
    </format>
    <format dxfId="321">
      <pivotArea outline="0" collapsedLevelsAreSubtotals="1" fieldPosition="0">
        <references count="1">
          <reference field="4294967294" count="1" selected="0">
            <x v="0"/>
          </reference>
        </references>
      </pivotArea>
    </format>
    <format dxfId="320">
      <pivotArea collapsedLevelsAreSubtotals="1" fieldPosition="0">
        <references count="1">
          <reference field="1" count="1">
            <x v="1"/>
          </reference>
        </references>
      </pivotArea>
    </format>
    <format dxfId="319">
      <pivotArea dataOnly="0" labelOnly="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87D347E-57B7-4C71-B8ED-390F82441D80}" name="TablaDinámica1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7:G14" firstHeaderRow="1" firstDataRow="2" firstDataCol="1" rowPageCount="3" colPageCount="1"/>
  <pivotFields count="42">
    <pivotField axis="axisPage" multipleItemSelectionAllowed="1" showAll="0">
      <items count="7">
        <item h="1" m="1" x="5"/>
        <item x="3"/>
        <item h="1" x="1"/>
        <item x="0"/>
        <item h="1" m="1" x="4"/>
        <item h="1" x="2"/>
        <item t="default"/>
      </items>
    </pivotField>
    <pivotField axis="axisRow" multipleItemSelectionAllowed="1" showAll="0">
      <items count="19">
        <item h="1" x="4"/>
        <item sd="0" x="2"/>
        <item sd="0" x="5"/>
        <item m="1" x="12"/>
        <item m="1" x="14"/>
        <item sd="0" x="1"/>
        <item sd="0" x="3"/>
        <item x="6"/>
        <item sd="0" x="7"/>
        <item m="1" x="15"/>
        <item m="1" x="16"/>
        <item m="1" x="17"/>
        <item sd="0" x="0"/>
        <item m="1" x="13"/>
        <item h="1" x="8"/>
        <item h="1" m="1" x="11"/>
        <item h="1" m="1" x="10"/>
        <item h="1" m="1" x="9"/>
        <item t="default"/>
      </items>
    </pivotField>
    <pivotField showAll="0"/>
    <pivotField showAll="0"/>
    <pivotField showAll="0"/>
    <pivotField showAll="0"/>
    <pivotField showAll="0"/>
    <pivotField showAll="0"/>
    <pivotField showAll="0"/>
    <pivotField name="|||||" axis="axisPage" multipleItemSelectionAllowed="1" showAll="0">
      <items count="13">
        <item m="1" x="8"/>
        <item m="1" x="9"/>
        <item x="2"/>
        <item m="1" x="10"/>
        <item x="1"/>
        <item m="1" x="11"/>
        <item x="0"/>
        <item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showAll="0">
      <items count="7">
        <item x="1"/>
        <item x="2"/>
        <item m="1" x="5"/>
        <item x="4"/>
        <item x="0"/>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2"/>
    </i>
    <i>
      <x v="5"/>
    </i>
    <i>
      <x v="6"/>
    </i>
    <i>
      <x v="12"/>
    </i>
    <i t="grand">
      <x/>
    </i>
  </rowItems>
  <colFields count="1">
    <field x="10"/>
  </colFields>
  <colItems count="6">
    <i>
      <x/>
    </i>
    <i>
      <x v="1"/>
    </i>
    <i>
      <x v="4"/>
    </i>
    <i>
      <x v="5"/>
    </i>
    <i>
      <x v="6"/>
    </i>
    <i t="grand">
      <x/>
    </i>
  </colItems>
  <pageFields count="3">
    <pageField fld="0" hier="-1"/>
    <pageField fld="9" hier="-1"/>
    <pageField fld="13" item="0" hier="-1"/>
  </pageFields>
  <dataFields count="1">
    <dataField name="Suma de TOTAL" fld="24" baseField="0" baseItem="0" numFmtId="165"/>
  </dataFields>
  <formats count="6">
    <format dxfId="329">
      <pivotArea grandRow="1" outline="0" collapsedLevelsAreSubtotals="1" fieldPosition="0"/>
    </format>
    <format dxfId="328">
      <pivotArea outline="0" collapsedLevelsAreSubtotals="1" fieldPosition="0"/>
    </format>
    <format dxfId="327">
      <pivotArea outline="0" collapsedLevelsAreSubtotals="1" fieldPosition="0">
        <references count="1">
          <reference field="4294967294" count="1" selected="0">
            <x v="0"/>
          </reference>
        </references>
      </pivotArea>
    </format>
    <format dxfId="326">
      <pivotArea collapsedLevelsAreSubtotals="1" fieldPosition="0">
        <references count="1">
          <reference field="1" count="1">
            <x v="1"/>
          </reference>
        </references>
      </pivotArea>
    </format>
    <format dxfId="325">
      <pivotArea dataOnly="0" labelOnly="1" fieldPosition="0">
        <references count="1">
          <reference field="1" count="1">
            <x v="1"/>
          </reference>
        </references>
      </pivotArea>
    </format>
    <format dxfId="324">
      <pivotArea collapsedLevelsAreSubtotals="1" fieldPosition="0">
        <references count="2">
          <reference field="1" count="1">
            <x v="6"/>
          </reference>
          <reference field="10"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26D7FBE5-DD98-4FCD-A649-7209795C780A}" name="TablaDinámica1" cacheId="1" applyNumberFormats="0" applyBorderFormats="0" applyFontFormats="0" applyPatternFormats="0" applyAlignmentFormats="0" applyWidthHeightFormats="1" dataCaption="Valores" updatedVersion="8" minRefreshableVersion="3" useAutoFormatting="1" colGrandTotals="0" itemPrintTitles="1" createdVersion="8" indent="0" outline="1" outlineData="1" multipleFieldFilters="0">
  <location ref="I8:J14" firstHeaderRow="1" firstDataRow="2"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sd="0" x="4"/>
        <item x="2"/>
        <item x="5"/>
        <item m="1" x="12"/>
        <item h="1" m="1" x="14"/>
        <item sd="0" x="1"/>
        <item sd="0" x="3"/>
        <item x="6"/>
        <item h="1" sd="0" x="7"/>
        <item m="1" x="15"/>
        <item m="1" x="16"/>
        <item m="1" x="17"/>
        <item sd="0" x="0"/>
        <item m="1" x="13"/>
        <item h="1" x="8"/>
        <item m="1" x="11"/>
        <item h="1" m="1" x="10"/>
        <item m="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name="|||||" axis="axisRow" multipleItemSelectionAllowed="1" showAll="0">
      <items count="13">
        <item m="1" x="8"/>
        <item m="1" x="9"/>
        <item sd="0" x="0"/>
        <item sd="0" x="2"/>
        <item m="1" x="10"/>
        <item sd="0" x="1"/>
        <item m="1" x="11"/>
        <item sd="0" x="4"/>
        <item x="3"/>
        <item h="1" x="6"/>
        <item h="1" m="1" x="7"/>
        <item h="1" x="5"/>
        <item t="default"/>
      </items>
    </pivotField>
    <pivotField axis="axisCol" multipleItemSelectionAllowed="1" showAll="0">
      <items count="10">
        <item x="0"/>
        <item x="3"/>
        <item h="1" x="5"/>
        <item h="1" m="1" x="8"/>
        <item x="1"/>
        <item x="2"/>
        <item x="4"/>
        <item h="1" x="6"/>
        <item h="1" m="1" x="7"/>
        <item t="default"/>
      </items>
    </pivotField>
    <pivotField showAll="0"/>
    <pivotField showAll="0"/>
    <pivotField axis="axisPage" multipleItemSelectionAllowed="1" showAll="0">
      <items count="7">
        <item h="1" x="1"/>
        <item x="2"/>
        <item m="1" x="5"/>
        <item x="4"/>
        <item h="1" x="0"/>
        <item h="1"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
  </rowFields>
  <rowItems count="5">
    <i>
      <x v="2"/>
    </i>
    <i>
      <x v="3"/>
    </i>
    <i>
      <x v="5"/>
    </i>
    <i>
      <x v="7"/>
    </i>
    <i t="grand">
      <x/>
    </i>
  </rowItems>
  <colFields count="1">
    <field x="10"/>
  </colFields>
  <colItems count="1">
    <i>
      <x/>
    </i>
  </colItems>
  <pageFields count="2">
    <pageField fld="0" hier="-1"/>
    <pageField fld="13" hier="-1"/>
  </pageFields>
  <dataFields count="1">
    <dataField name="Suma de TOTAL" fld="24" baseField="0" baseItem="0" numFmtId="165"/>
  </dataFields>
  <formats count="5">
    <format dxfId="334">
      <pivotArea grandRow="1" outline="0" collapsedLevelsAreSubtotals="1" fieldPosition="0"/>
    </format>
    <format dxfId="333">
      <pivotArea outline="0" collapsedLevelsAreSubtotals="1" fieldPosition="0"/>
    </format>
    <format dxfId="332">
      <pivotArea outline="0" collapsedLevelsAreSubtotals="1" fieldPosition="0">
        <references count="1">
          <reference field="4294967294" count="1" selected="0">
            <x v="0"/>
          </reference>
        </references>
      </pivotArea>
    </format>
    <format dxfId="331">
      <pivotArea collapsedLevelsAreSubtotals="1" fieldPosition="0">
        <references count="1">
          <reference field="1" count="1">
            <x v="1"/>
          </reference>
        </references>
      </pivotArea>
    </format>
    <format dxfId="330">
      <pivotArea dataOnly="0" labelOnly="1"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7D5A1361-7CB9-4765-A752-FC7AE53A35E2}"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9:G38"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x="2"/>
        <item h="1" x="5"/>
        <item h="1" m="1" x="12"/>
        <item h="1" m="1" x="14"/>
        <item h="1" x="1"/>
        <item h="1" x="3"/>
        <item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sd="0" x="2"/>
        <item m="1" x="11"/>
        <item x="0"/>
        <item sd="0" x="4"/>
        <item x="6"/>
        <item x="1"/>
        <item sd="0" x="3"/>
        <item m="1" x="10"/>
        <item m="1" x="8"/>
        <item m="1" x="9"/>
        <item m="1" x="7"/>
        <item x="5"/>
        <item t="default"/>
      </items>
    </pivotField>
    <pivotField axis="axisCol" showAll="0">
      <items count="10">
        <item x="0"/>
        <item x="3"/>
        <item x="1"/>
        <item x="4"/>
        <item x="5"/>
        <item m="1" x="8"/>
        <item x="6"/>
        <item x="2"/>
        <item m="1" x="7"/>
        <item t="default"/>
      </items>
    </pivotField>
    <pivotField showAll="0"/>
    <pivotField axis="axisRow" showAll="0">
      <items count="46">
        <item sd="0" x="3"/>
        <item x="13"/>
        <item sd="0" x="8"/>
        <item sd="0" x="5"/>
        <item sd="0" x="12"/>
        <item sd="0" x="18"/>
        <item sd="0" x="2"/>
        <item x="26"/>
        <item x="29"/>
        <item m="1" x="43"/>
        <item sd="0" x="10"/>
        <item sd="0" x="9"/>
        <item sd="0" x="11"/>
        <item sd="0" x="1"/>
        <item sd="0" x="22"/>
        <item x="6"/>
        <item sd="0" m="1" x="33"/>
        <item sd="0" x="15"/>
        <item sd="0" x="19"/>
        <item x="32"/>
        <item sd="0" x="0"/>
        <item x="25"/>
        <item sd="0" x="17"/>
        <item m="1" x="41"/>
        <item sd="0" x="23"/>
        <item sd="0" x="14"/>
        <item m="1" x="34"/>
        <item sd="0" x="4"/>
        <item sd="0" x="7"/>
        <item m="1" x="44"/>
        <item sd="0" x="21"/>
        <item sd="0" m="1" x="38"/>
        <item m="1" x="40"/>
        <item sd="0" m="1" x="35"/>
        <item sd="0" x="30"/>
        <item m="1" x="42"/>
        <item m="1" x="39"/>
        <item x="20"/>
        <item m="1" x="37"/>
        <item m="1" x="36"/>
        <item x="28"/>
        <item x="27"/>
        <item x="24"/>
        <item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8">
    <i>
      <x/>
    </i>
    <i>
      <x v="2"/>
    </i>
    <i r="1">
      <x v="21"/>
    </i>
    <i>
      <x v="4"/>
    </i>
    <i r="1">
      <x v="44"/>
    </i>
    <i>
      <x v="5"/>
    </i>
    <i r="1">
      <x v="13"/>
    </i>
    <i t="grand">
      <x/>
    </i>
  </rowItems>
  <colFields count="1">
    <field x="10"/>
  </colFields>
  <colItems count="6">
    <i>
      <x/>
    </i>
    <i>
      <x v="1"/>
    </i>
    <i>
      <x v="2"/>
    </i>
    <i>
      <x v="3"/>
    </i>
    <i>
      <x v="7"/>
    </i>
    <i t="grand">
      <x/>
    </i>
  </colItems>
  <pageFields count="3">
    <pageField fld="0" hier="-1"/>
    <pageField fld="1" hier="-1"/>
    <pageField fld="16" hier="-1"/>
  </pageFields>
  <dataFields count="1">
    <dataField name="Presupuesto" fld="24" baseField="0" baseItem="0" numFmtId="165"/>
  </dataFields>
  <formats count="7">
    <format dxfId="269">
      <pivotArea outline="0" collapsedLevelsAreSubtotals="1" fieldPosition="0">
        <references count="1">
          <reference field="4294967294" count="1" selected="0">
            <x v="0"/>
          </reference>
        </references>
      </pivotArea>
    </format>
    <format dxfId="268">
      <pivotArea grandRow="1" outline="0" collapsedLevelsAreSubtotals="1" fieldPosition="0"/>
    </format>
    <format dxfId="267">
      <pivotArea outline="0" collapsedLevelsAreSubtotals="1" fieldPosition="0"/>
    </format>
    <format dxfId="266">
      <pivotArea field="10" type="button" dataOnly="0" labelOnly="1" outline="0" axis="axisCol" fieldPosition="0"/>
    </format>
    <format dxfId="265">
      <pivotArea type="topRight" dataOnly="0" labelOnly="1" outline="0" fieldPosition="0"/>
    </format>
    <format dxfId="264">
      <pivotArea dataOnly="0" labelOnly="1" fieldPosition="0">
        <references count="1">
          <reference field="10" count="5">
            <x v="0"/>
            <x v="1"/>
            <x v="2"/>
            <x v="3"/>
            <x v="7"/>
          </reference>
        </references>
      </pivotArea>
    </format>
    <format dxfId="263">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5C40987-74FE-40D6-A767-DDDCAFC9EBC7}"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6:F18" firstHeaderRow="1" firstDataRow="2" firstDataCol="1" rowPageCount="2" colPageCount="1"/>
  <pivotFields count="42">
    <pivotField axis="axisPage" showAll="0">
      <items count="7">
        <item m="1" x="5"/>
        <item x="3"/>
        <item x="1"/>
        <item x="0"/>
        <item m="1" x="4"/>
        <item x="2"/>
        <item t="default"/>
      </items>
    </pivotField>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46">
        <item h="1" x="3"/>
        <item h="1" x="13"/>
        <item h="1" x="18"/>
        <item h="1" x="2"/>
        <item h="1" x="30"/>
        <item h="1" x="26"/>
        <item h="1" x="29"/>
        <item m="1" x="43"/>
        <item m="1" x="40"/>
        <item h="1" x="12"/>
        <item h="1" x="8"/>
        <item h="1" x="10"/>
        <item h="1" x="9"/>
        <item h="1" m="1" x="35"/>
        <item h="1" x="11"/>
        <item h="1" x="1"/>
        <item h="1" x="22"/>
        <item h="1" m="1" x="37"/>
        <item h="1" x="6"/>
        <item h="1" x="20"/>
        <item h="1" m="1" x="33"/>
        <item h="1" x="15"/>
        <item h="1" x="19"/>
        <item h="1" x="32"/>
        <item x="0"/>
        <item x="25"/>
        <item x="17"/>
        <item m="1" x="42"/>
        <item m="1" x="41"/>
        <item h="1" x="21"/>
        <item h="1" x="23"/>
        <item m="1" x="44"/>
        <item m="1" x="38"/>
        <item m="1" x="39"/>
        <item h="1" x="14"/>
        <item h="1" m="1" x="34"/>
        <item h="1" x="4"/>
        <item h="1" x="5"/>
        <item h="1" x="7"/>
        <item h="1" m="1" x="36"/>
        <item h="1" x="28"/>
        <item h="1" x="27"/>
        <item h="1" x="24"/>
        <item h="1" x="16"/>
        <item h="1" x="31"/>
        <item t="default"/>
      </items>
    </pivotField>
    <pivotField showAll="0"/>
    <pivotField showAll="0"/>
    <pivotField showAll="0"/>
    <pivotField axis="axisCol" showAll="0">
      <items count="7">
        <item h="1" m="1" x="5"/>
        <item x="1"/>
        <item x="2"/>
        <item x="0"/>
        <item x="3"/>
        <item h="1"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5">
    <i>
      <x v="1"/>
    </i>
    <i>
      <x v="2"/>
    </i>
    <i>
      <x v="3"/>
    </i>
    <i>
      <x v="4"/>
    </i>
    <i t="grand">
      <x/>
    </i>
  </colItems>
  <pageFields count="2">
    <pageField fld="0" item="3" hier="-1"/>
    <pageField fld="12" hier="-1"/>
  </pageFields>
  <dataFields count="1">
    <dataField name="Suma de TOTAL" fld="24" baseField="0" baseItem="0" numFmtId="44"/>
  </dataFields>
  <formats count="9">
    <format dxfId="278">
      <pivotArea outline="0" collapsedLevelsAreSubtotals="1" fieldPosition="0"/>
    </format>
    <format dxfId="277">
      <pivotArea field="16" type="button" dataOnly="0" labelOnly="1" outline="0" axis="axisCol" fieldPosition="0"/>
    </format>
    <format dxfId="276">
      <pivotArea type="topRight" dataOnly="0" labelOnly="1" outline="0" fieldPosition="0"/>
    </format>
    <format dxfId="275">
      <pivotArea dataOnly="0" labelOnly="1" fieldPosition="0">
        <references count="1">
          <reference field="16" count="5">
            <x v="1"/>
            <x v="2"/>
            <x v="3"/>
            <x v="4"/>
            <x v="5"/>
          </reference>
        </references>
      </pivotArea>
    </format>
    <format dxfId="274">
      <pivotArea dataOnly="0" labelOnly="1" grandCol="1" outline="0" fieldPosition="0"/>
    </format>
    <format dxfId="273">
      <pivotArea outline="0" collapsedLevelsAreSubtotals="1" fieldPosition="0">
        <references count="1">
          <reference field="16" count="4" selected="0">
            <x v="1"/>
            <x v="2"/>
            <x v="3"/>
            <x v="4"/>
          </reference>
        </references>
      </pivotArea>
    </format>
    <format dxfId="272">
      <pivotArea outline="0" collapsedLevelsAreSubtotals="1" fieldPosition="0"/>
    </format>
    <format dxfId="271">
      <pivotArea outline="0" collapsedLevelsAreSubtotals="1" fieldPosition="0"/>
    </format>
    <format dxfId="2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86835D16-1DFE-4F2F-A298-3537C111E6EF}"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F11" firstHeaderRow="1" firstDataRow="2" firstDataCol="1" rowPageCount="2" colPageCount="1"/>
  <pivotFields count="42">
    <pivotField axis="axisPage" showAll="0">
      <items count="7">
        <item m="1" x="5"/>
        <item x="3"/>
        <item x="1"/>
        <item x="0"/>
        <item m="1" x="4"/>
        <item x="2"/>
        <item t="default"/>
      </items>
    </pivotField>
    <pivotField axis="axisRow" showAll="0">
      <items count="19">
        <item h="1" x="4"/>
        <item x="2"/>
        <item x="5"/>
        <item h="1" m="1" x="12"/>
        <item h="1" m="1" x="14"/>
        <item x="1"/>
        <item x="3"/>
        <item h="1" x="6"/>
        <item h="1" x="7"/>
        <item m="1" x="15"/>
        <item m="1" x="16"/>
        <item m="1" x="17"/>
        <item x="0"/>
        <item m="1" x="13"/>
        <item h="1" x="8"/>
        <item h="1" m="1" x="11"/>
        <item h="1" m="1" x="10"/>
        <item h="1" m="1" x="9"/>
        <item t="default"/>
      </items>
    </pivotField>
    <pivotField showAll="0"/>
    <pivotField showAll="0"/>
    <pivotField showAll="0"/>
    <pivotField showAll="0"/>
    <pivotField showAll="0"/>
    <pivotField showAll="0"/>
    <pivotField showAll="0"/>
    <pivotField showAll="0"/>
    <pivotField showAll="0"/>
    <pivotField showAll="0"/>
    <pivotField axis="axisPage" multipleItemSelectionAllowed="1" showAll="0">
      <items count="46">
        <item h="1" x="3"/>
        <item h="1" x="13"/>
        <item h="1" x="18"/>
        <item h="1" x="2"/>
        <item h="1" x="30"/>
        <item h="1" x="26"/>
        <item h="1" x="29"/>
        <item m="1" x="43"/>
        <item m="1" x="40"/>
        <item h="1" x="12"/>
        <item h="1" x="8"/>
        <item h="1" x="10"/>
        <item h="1" x="9"/>
        <item h="1" m="1" x="35"/>
        <item h="1" x="11"/>
        <item h="1" x="1"/>
        <item h="1" x="22"/>
        <item h="1" m="1" x="37"/>
        <item h="1" x="6"/>
        <item h="1" x="20"/>
        <item h="1" m="1" x="33"/>
        <item h="1" x="15"/>
        <item h="1" x="19"/>
        <item h="1" x="32"/>
        <item x="0"/>
        <item x="25"/>
        <item x="17"/>
        <item m="1" x="42"/>
        <item m="1" x="41"/>
        <item h="1" x="21"/>
        <item h="1" x="23"/>
        <item m="1" x="44"/>
        <item m="1" x="38"/>
        <item m="1" x="39"/>
        <item h="1" x="14"/>
        <item h="1" m="1" x="34"/>
        <item h="1" x="4"/>
        <item h="1" x="5"/>
        <item h="1" x="7"/>
        <item h="1" m="1" x="36"/>
        <item h="1" x="28"/>
        <item h="1" x="27"/>
        <item h="1" x="24"/>
        <item h="1" x="16"/>
        <item h="1" x="31"/>
        <item t="default"/>
      </items>
    </pivotField>
    <pivotField showAll="0"/>
    <pivotField showAll="0"/>
    <pivotField showAll="0"/>
    <pivotField axis="axisCol" showAll="0">
      <items count="7">
        <item h="1" m="1" x="5"/>
        <item x="1"/>
        <item x="2"/>
        <item x="0"/>
        <item x="3"/>
        <item h="1"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2"/>
    </i>
    <i>
      <x v="5"/>
    </i>
    <i>
      <x v="6"/>
    </i>
    <i>
      <x v="12"/>
    </i>
    <i t="grand">
      <x/>
    </i>
  </rowItems>
  <colFields count="1">
    <field x="16"/>
  </colFields>
  <colItems count="5">
    <i>
      <x v="1"/>
    </i>
    <i>
      <x v="2"/>
    </i>
    <i>
      <x v="3"/>
    </i>
    <i>
      <x v="4"/>
    </i>
    <i t="grand">
      <x/>
    </i>
  </colItems>
  <pageFields count="2">
    <pageField fld="0" item="3" hier="-1"/>
    <pageField fld="12" hier="-1"/>
  </pageFields>
  <formats count="9">
    <format dxfId="287">
      <pivotArea outline="0" collapsedLevelsAreSubtotals="1" fieldPosition="0"/>
    </format>
    <format dxfId="286">
      <pivotArea dataOnly="0" labelOnly="1" outline="0" fieldPosition="0">
        <references count="1">
          <reference field="1" count="1">
            <x v="1"/>
          </reference>
        </references>
      </pivotArea>
    </format>
    <format dxfId="285">
      <pivotArea field="16" type="button" dataOnly="0" labelOnly="1" outline="0" axis="axisCol" fieldPosition="0"/>
    </format>
    <format dxfId="284">
      <pivotArea type="topRight" dataOnly="0" labelOnly="1" outline="0" fieldPosition="0"/>
    </format>
    <format dxfId="283">
      <pivotArea dataOnly="0" labelOnly="1" fieldPosition="0">
        <references count="1">
          <reference field="16" count="5">
            <x v="1"/>
            <x v="2"/>
            <x v="3"/>
            <x v="4"/>
            <x v="5"/>
          </reference>
        </references>
      </pivotArea>
    </format>
    <format dxfId="282">
      <pivotArea dataOnly="0" labelOnly="1" grandCol="1" outline="0" fieldPosition="0"/>
    </format>
    <format dxfId="281">
      <pivotArea dataOnly="0" labelOnly="1" fieldPosition="0">
        <references count="1">
          <reference field="1" count="1">
            <x v="1"/>
          </reference>
        </references>
      </pivotArea>
    </format>
    <format dxfId="280">
      <pivotArea outline="0" collapsedLevelsAreSubtotals="1" fieldPosition="0">
        <references count="1">
          <reference field="16" count="4" selected="0">
            <x v="1"/>
            <x v="2"/>
            <x v="3"/>
            <x v="4"/>
          </reference>
        </references>
      </pivotArea>
    </format>
    <format dxfId="2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38D9EAE1-FAC6-41DC-9156-852D75E31C37}" name="TablaDinámica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7:G31" firstHeaderRow="1" firstDataRow="2" firstDataCol="1" rowPageCount="3" colPageCount="1"/>
  <pivotFields count="42">
    <pivotField axis="axisPage" multipleItemSelectionAllowed="1" showAll="0">
      <items count="7">
        <item x="3"/>
        <item x="1"/>
        <item x="0"/>
        <item h="1" m="1" x="5"/>
        <item h="1" m="1" x="4"/>
        <item h="1" x="2"/>
        <item t="default"/>
      </items>
    </pivotField>
    <pivotField axis="axisPage" multipleItemSelectionAllowed="1" showAll="0">
      <items count="19">
        <item h="1" x="4"/>
        <item x="2"/>
        <item h="1" x="5"/>
        <item h="1" m="1" x="12"/>
        <item h="1" m="1" x="14"/>
        <item h="1" x="1"/>
        <item h="1"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m="1" x="11"/>
        <item x="1"/>
        <item x="0"/>
        <item sd="0" x="4"/>
        <item x="6"/>
        <item sd="0" x="3"/>
        <item m="1" x="10"/>
        <item m="1" x="8"/>
        <item m="1" x="9"/>
        <item m="1" x="7"/>
        <item x="5"/>
        <item t="default"/>
      </items>
    </pivotField>
    <pivotField axis="axisCol" showAll="0">
      <items count="10">
        <item x="0"/>
        <item x="3"/>
        <item x="1"/>
        <item x="4"/>
        <item x="5"/>
        <item m="1" x="8"/>
        <item x="6"/>
        <item x="2"/>
        <item m="1" x="7"/>
        <item t="default"/>
      </items>
    </pivotField>
    <pivotField showAll="0"/>
    <pivotField axis="axisRow" showAll="0" sortType="descending">
      <items count="46">
        <item sd="0" x="3"/>
        <item x="13"/>
        <item sd="0" x="8"/>
        <item sd="0" x="5"/>
        <item sd="0" x="12"/>
        <item sd="0" x="18"/>
        <item sd="0" x="2"/>
        <item x="26"/>
        <item x="29"/>
        <item m="1" x="43"/>
        <item sd="0" x="10"/>
        <item sd="0" x="9"/>
        <item x="11"/>
        <item x="1"/>
        <item sd="0" x="22"/>
        <item x="6"/>
        <item sd="0" m="1" x="33"/>
        <item x="15"/>
        <item x="19"/>
        <item x="32"/>
        <item sd="0" x="0"/>
        <item x="25"/>
        <item sd="0" x="17"/>
        <item m="1" x="41"/>
        <item sd="0" x="23"/>
        <item sd="0" x="14"/>
        <item m="1" x="34"/>
        <item x="4"/>
        <item x="7"/>
        <item m="1" x="44"/>
        <item sd="0" x="21"/>
        <item sd="0" m="1" x="38"/>
        <item m="1" x="40"/>
        <item sd="0" m="1" x="35"/>
        <item sd="0" x="30"/>
        <item m="1" x="42"/>
        <item m="1" x="39"/>
        <item x="20"/>
        <item m="1" x="37"/>
        <item m="1" x="36"/>
        <item x="28"/>
        <item x="27"/>
        <item x="24"/>
        <item x="16"/>
        <item x="31"/>
        <item t="default"/>
      </items>
      <autoSortScope>
        <pivotArea dataOnly="0" outline="0" fieldPosition="0">
          <references count="1">
            <reference field="4294967294" count="1" selected="0">
              <x v="0"/>
            </reference>
          </references>
        </pivotArea>
      </autoSortScope>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3">
    <i>
      <x/>
    </i>
    <i r="1">
      <x v="27"/>
    </i>
    <i r="1">
      <x v="17"/>
    </i>
    <i r="1">
      <x v="18"/>
    </i>
    <i r="1">
      <x v="12"/>
    </i>
    <i>
      <x v="2"/>
    </i>
    <i r="1">
      <x v="13"/>
    </i>
    <i>
      <x v="3"/>
    </i>
    <i r="1">
      <x v="21"/>
    </i>
    <i>
      <x v="5"/>
    </i>
    <i r="1">
      <x v="44"/>
    </i>
    <i>
      <x v="6"/>
    </i>
    <i t="grand">
      <x/>
    </i>
  </rowItems>
  <colFields count="1">
    <field x="10"/>
  </colFields>
  <colItems count="6">
    <i>
      <x/>
    </i>
    <i>
      <x v="1"/>
    </i>
    <i>
      <x v="2"/>
    </i>
    <i>
      <x v="3"/>
    </i>
    <i>
      <x v="7"/>
    </i>
    <i t="grand">
      <x/>
    </i>
  </colItems>
  <pageFields count="3">
    <pageField fld="0" hier="-1"/>
    <pageField fld="1" hier="-1"/>
    <pageField fld="16" hier="-1"/>
  </pageFields>
  <dataFields count="1">
    <dataField name="Presupuesto" fld="24" baseField="0" baseItem="0" numFmtId="165"/>
  </dataFields>
  <formats count="7">
    <format dxfId="206">
      <pivotArea outline="0" collapsedLevelsAreSubtotals="1" fieldPosition="0">
        <references count="1">
          <reference field="4294967294" count="1" selected="0">
            <x v="0"/>
          </reference>
        </references>
      </pivotArea>
    </format>
    <format dxfId="205">
      <pivotArea grandRow="1" outline="0" collapsedLevelsAreSubtotals="1" fieldPosition="0"/>
    </format>
    <format dxfId="204">
      <pivotArea outline="0" collapsedLevelsAreSubtotals="1" fieldPosition="0"/>
    </format>
    <format dxfId="203">
      <pivotArea field="10" type="button" dataOnly="0" labelOnly="1" outline="0" axis="axisCol" fieldPosition="0"/>
    </format>
    <format dxfId="202">
      <pivotArea type="topRight" dataOnly="0" labelOnly="1" outline="0" fieldPosition="0"/>
    </format>
    <format dxfId="201">
      <pivotArea dataOnly="0" labelOnly="1" fieldPosition="0">
        <references count="1">
          <reference field="10" count="5">
            <x v="0"/>
            <x v="1"/>
            <x v="2"/>
            <x v="3"/>
            <x v="7"/>
          </reference>
        </references>
      </pivotArea>
    </format>
    <format dxfId="20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F6" firstHeaderRow="1" firstDataRow="2" firstDataCol="1" rowPageCount="2" colPageCount="1"/>
  <pivotFields count="42">
    <pivotField showAll="0"/>
    <pivotField axis="axisPage" multipleItemSelectionAllowed="1" showAll="0">
      <items count="19">
        <item h="1" x="4"/>
        <item x="2"/>
        <item h="1" x="5"/>
        <item m="1" x="12"/>
        <item m="1" x="14"/>
        <item h="1" x="1"/>
        <item h="1" x="3"/>
        <item h="1" x="6"/>
        <item h="1" x="7"/>
        <item m="1" x="15"/>
        <item m="1" x="16"/>
        <item m="1" x="17"/>
        <item h="1" x="0"/>
        <item m="1" x="13"/>
        <item h="1" x="8"/>
        <item m="1" x="11"/>
        <item m="1" x="10"/>
        <item h="1"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x="0"/>
        <item h="1" x="5"/>
        <item m="1" x="8"/>
        <item h="1" m="1" x="7"/>
        <item h="1" x="1"/>
        <item h="1" x="6"/>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5">
    <i>
      <x v="1"/>
    </i>
    <i>
      <x v="2"/>
    </i>
    <i>
      <x v="3"/>
    </i>
    <i>
      <x v="4"/>
    </i>
    <i t="grand">
      <x/>
    </i>
  </colItems>
  <pageFields count="2">
    <pageField fld="1" hier="-1"/>
    <pageField fld="10" hier="-1"/>
  </pageFields>
  <dataFields count="1">
    <dataField name="Suma de TOTAL" fld="24" baseField="0" baseItem="0"/>
  </dataFields>
  <formats count="4">
    <format dxfId="210">
      <pivotArea outline="0" collapsedLevelsAreSubtotals="1" fieldPosition="0"/>
    </format>
    <format dxfId="209">
      <pivotArea field="16" type="button" dataOnly="0" labelOnly="1" outline="0" axis="axisCol" fieldPosition="0"/>
    </format>
    <format dxfId="208">
      <pivotArea type="topRight" dataOnly="0" labelOnly="1" outline="0" fieldPosition="0"/>
    </format>
    <format dxfId="207">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5D36BBCA-AFF0-475B-8389-DAB6EEEA671F}" name="Tabla dinámica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G31:K33" firstHeaderRow="1" firstDataRow="2" firstDataCol="1" rowPageCount="4" colPageCount="1"/>
  <pivotFields count="44">
    <pivotField axis="axisPage" compact="0" outline="0" multipleItemSelectionAllowed="1" showAll="0">
      <items count="5">
        <item x="3"/>
        <item h="1" x="1"/>
        <item x="0"/>
        <item h="1" x="2"/>
        <item t="default"/>
      </items>
    </pivotField>
    <pivotField compact="0" outline="0" showAll="0"/>
    <pivotField axis="axisPage" compact="0" outline="0" showAll="0">
      <items count="11">
        <item h="1" x="5"/>
        <item h="1" x="0"/>
        <item h="1" x="6"/>
        <item h="1" x="2"/>
        <item x="3"/>
        <item h="1" x="8"/>
        <item h="1" x="9"/>
        <item h="1" x="1"/>
        <item h="1" x="4"/>
        <item h="1" x="7"/>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items count="7">
        <item x="0"/>
        <item x="2"/>
        <item x="1"/>
        <item x="5"/>
        <item x="3"/>
        <item x="4"/>
        <item t="default"/>
      </items>
    </pivotField>
    <pivotField compact="0" outline="0" showAll="0">
      <items count="66">
        <item x="51"/>
        <item x="32"/>
        <item x="42"/>
        <item x="23"/>
        <item x="38"/>
        <item x="46"/>
        <item x="47"/>
        <item x="43"/>
        <item x="37"/>
        <item x="25"/>
        <item x="26"/>
        <item x="60"/>
        <item x="13"/>
        <item x="20"/>
        <item x="36"/>
        <item x="18"/>
        <item x="64"/>
        <item x="22"/>
        <item x="54"/>
        <item x="59"/>
        <item x="27"/>
        <item x="0"/>
        <item x="41"/>
        <item x="1"/>
        <item x="21"/>
        <item x="29"/>
        <item x="40"/>
        <item x="7"/>
        <item x="35"/>
        <item x="16"/>
        <item x="58"/>
        <item x="3"/>
        <item x="63"/>
        <item x="50"/>
        <item x="19"/>
        <item x="61"/>
        <item x="28"/>
        <item x="52"/>
        <item x="53"/>
        <item x="48"/>
        <item x="9"/>
        <item x="10"/>
        <item x="33"/>
        <item x="6"/>
        <item x="15"/>
        <item x="5"/>
        <item x="24"/>
        <item x="17"/>
        <item x="44"/>
        <item x="12"/>
        <item x="39"/>
        <item x="2"/>
        <item x="14"/>
        <item x="56"/>
        <item x="4"/>
        <item x="62"/>
        <item x="45"/>
        <item x="34"/>
        <item x="30"/>
        <item x="31"/>
        <item x="57"/>
        <item x="11"/>
        <item x="49"/>
        <item x="55"/>
        <item x="8"/>
        <item t="default"/>
      </items>
    </pivotField>
    <pivotField compact="0" outline="0" showAll="0"/>
    <pivotField axis="axisPage" compact="0" outline="0" showAll="0">
      <items count="8">
        <item h="1" x="2"/>
        <item h="1" x="1"/>
        <item h="1" x="3"/>
        <item x="0"/>
        <item h="1" x="5"/>
        <item h="1" x="4"/>
        <item h="1" x="6"/>
        <item t="default"/>
      </items>
    </pivotField>
    <pivotField compact="0" outline="0" showAll="0"/>
    <pivotField compact="0" outline="0" showAll="0"/>
    <pivotField axis="axisPage" compact="0" outline="0" showAll="0">
      <items count="6">
        <item x="0"/>
        <item x="1"/>
        <item x="4"/>
        <item x="2"/>
        <item x="3"/>
        <item t="default"/>
      </items>
    </pivotField>
    <pivotField compact="0" outline="0" showAll="0"/>
    <pivotField compact="0" outline="0" showAll="0"/>
    <pivotField axis="axisCol" compact="0" outline="0" showAll="0">
      <items count="6">
        <item x="0"/>
        <item x="2"/>
        <item x="1"/>
        <item x="3"/>
        <item x="4"/>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Items count="1">
    <i/>
  </rowItems>
  <colFields count="1">
    <field x="18"/>
  </colFields>
  <colItems count="4">
    <i>
      <x/>
    </i>
    <i>
      <x v="1"/>
    </i>
    <i>
      <x v="2"/>
    </i>
    <i t="grand">
      <x/>
    </i>
  </colItems>
  <pageFields count="4">
    <pageField fld="2" item="4" hier="-1"/>
    <pageField fld="12" item="3" hier="-1"/>
    <pageField fld="0" hier="-1"/>
    <pageField fld="15" hier="-1"/>
  </pageFields>
  <dataFields count="1">
    <dataField name="Suma de TOTAL" fld="2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536515F1-A2AA-49A9-9DF8-76F5EAD1CF9E}"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74:C78"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showAll="0"/>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4">
    <i>
      <x v="2"/>
    </i>
    <i>
      <x v="6"/>
    </i>
    <i>
      <x/>
    </i>
    <i t="grand">
      <x/>
    </i>
  </rowItems>
  <colFields count="1">
    <field x="-2"/>
  </colFields>
  <colItems count="2">
    <i>
      <x/>
    </i>
    <i i="1">
      <x v="1"/>
    </i>
  </colItems>
  <pageFields count="4">
    <pageField fld="1" item="12"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199">
      <pivotArea outline="0" fieldPosition="0">
        <references count="1">
          <reference field="4294967294" count="1">
            <x v="1"/>
          </reference>
        </references>
      </pivotArea>
    </format>
    <format dxfId="198">
      <pivotArea outline="0" collapsedLevelsAreSubtotals="1" fieldPosition="0">
        <references count="1">
          <reference field="4294967294" count="1" selected="0">
            <x v="0"/>
          </reference>
        </references>
      </pivotArea>
    </format>
    <format dxfId="197">
      <pivotArea grandRow="1" outline="0" collapsedLevelsAreSubtotals="1" fieldPosition="0"/>
    </format>
    <format dxfId="196">
      <pivotArea outline="0" collapsedLevelsAreSubtotals="1" fieldPosition="0">
        <references count="1">
          <reference field="4294967294" count="1" selected="0">
            <x v="1"/>
          </reference>
        </references>
      </pivotArea>
    </format>
    <format dxfId="19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55632F61-2648-4AB9-BD6E-BA369F287B38}" name="TablaDinámica1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N19:U32"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h="1" x="2"/>
        <item h="1" x="5"/>
        <item h="1" m="1" x="12"/>
        <item h="1" m="1" x="14"/>
        <item x="1"/>
        <item h="1"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sd="0" m="1" x="11"/>
        <item sd="0" x="0"/>
        <item sd="0" x="4"/>
        <item sd="0" x="6"/>
        <item sd="0" x="1"/>
        <item sd="0" x="3"/>
        <item sd="0" m="1" x="10"/>
        <item m="1" x="8"/>
        <item m="1" x="9"/>
        <item m="1" x="7"/>
        <item x="5"/>
        <item t="default" sd="0"/>
      </items>
    </pivotField>
    <pivotField axis="axisCol" showAll="0">
      <items count="10">
        <item x="0"/>
        <item x="3"/>
        <item x="1"/>
        <item x="4"/>
        <item x="5"/>
        <item m="1" x="8"/>
        <item x="6"/>
        <item x="2"/>
        <item m="1" x="7"/>
        <item t="default"/>
      </items>
    </pivotField>
    <pivotField showAll="0"/>
    <pivotField axis="axisRow" showAll="0">
      <items count="46">
        <item sd="0" x="0"/>
        <item sd="0" x="3"/>
        <item x="13"/>
        <item sd="0" x="8"/>
        <item x="5"/>
        <item sd="0" x="11"/>
        <item sd="0" x="2"/>
        <item x="26"/>
        <item x="29"/>
        <item m="1" x="43"/>
        <item sd="0" x="12"/>
        <item sd="0" x="10"/>
        <item sd="0" x="9"/>
        <item x="1"/>
        <item sd="0" x="22"/>
        <item x="6"/>
        <item sd="0" m="1" x="33"/>
        <item sd="0" x="15"/>
        <item sd="0" x="19"/>
        <item x="32"/>
        <item x="25"/>
        <item sd="0" x="17"/>
        <item m="1" x="41"/>
        <item sd="0" x="23"/>
        <item sd="0" x="14"/>
        <item m="1" x="34"/>
        <item sd="0" x="4"/>
        <item x="7"/>
        <item m="1" x="44"/>
        <item sd="0" x="21"/>
        <item sd="0" m="1" x="38"/>
        <item m="1" x="40"/>
        <item sd="0" m="1" x="35"/>
        <item x="30"/>
        <item m="1" x="42"/>
        <item m="1" x="39"/>
        <item sd="0" x="20"/>
        <item m="1" x="37"/>
        <item m="1" x="36"/>
        <item sd="0" x="18"/>
        <item x="28"/>
        <item x="27"/>
        <item x="24"/>
        <item sd="0"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2">
    <i>
      <x/>
    </i>
    <i r="1">
      <x v="6"/>
    </i>
    <i r="1">
      <x v="12"/>
    </i>
    <i r="1">
      <x v="43"/>
    </i>
    <i>
      <x v="2"/>
    </i>
    <i>
      <x v="4"/>
    </i>
    <i>
      <x v="5"/>
    </i>
    <i>
      <x v="6"/>
    </i>
    <i>
      <x v="11"/>
    </i>
    <i r="1">
      <x v="3"/>
    </i>
    <i r="1">
      <x v="39"/>
    </i>
    <i t="grand">
      <x/>
    </i>
  </rowItems>
  <colFields count="1">
    <field x="10"/>
  </colFields>
  <colItems count="7">
    <i>
      <x/>
    </i>
    <i>
      <x v="1"/>
    </i>
    <i>
      <x v="2"/>
    </i>
    <i>
      <x v="3"/>
    </i>
    <i>
      <x v="4"/>
    </i>
    <i>
      <x v="7"/>
    </i>
    <i t="grand">
      <x/>
    </i>
  </colItems>
  <pageFields count="3">
    <pageField fld="0" hier="-1"/>
    <pageField fld="1" hier="-1"/>
    <pageField fld="16" hier="-1"/>
  </pageFields>
  <dataFields count="1">
    <dataField name="Presupuesto" fld="24" baseField="0" baseItem="0" numFmtId="165"/>
  </dataFields>
  <formats count="7">
    <format dxfId="157">
      <pivotArea outline="0" collapsedLevelsAreSubtotals="1" fieldPosition="0">
        <references count="1">
          <reference field="4294967294" count="1" selected="0">
            <x v="0"/>
          </reference>
        </references>
      </pivotArea>
    </format>
    <format dxfId="156">
      <pivotArea grandRow="1" outline="0" collapsedLevelsAreSubtotals="1" fieldPosition="0"/>
    </format>
    <format dxfId="155">
      <pivotArea outline="0" collapsedLevelsAreSubtotals="1" fieldPosition="0"/>
    </format>
    <format dxfId="154">
      <pivotArea field="10" type="button" dataOnly="0" labelOnly="1" outline="0" axis="axisCol" fieldPosition="0"/>
    </format>
    <format dxfId="153">
      <pivotArea type="topRight" dataOnly="0" labelOnly="1" outline="0" fieldPosition="0"/>
    </format>
    <format dxfId="152">
      <pivotArea dataOnly="0" labelOnly="1" fieldPosition="0">
        <references count="1">
          <reference field="10" count="6">
            <x v="0"/>
            <x v="1"/>
            <x v="2"/>
            <x v="3"/>
            <x v="4"/>
            <x v="7"/>
          </reference>
        </references>
      </pivotArea>
    </format>
    <format dxfId="151">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28762F36-CAA9-461B-9343-F4109856703F}" name="TablaDinámica1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75:M77"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dataField="1"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6">
    <i>
      <x v="1"/>
    </i>
    <i>
      <x v="2"/>
    </i>
    <i>
      <x v="3"/>
    </i>
    <i>
      <x v="4"/>
    </i>
    <i>
      <x v="5"/>
    </i>
    <i t="grand">
      <x/>
    </i>
  </colItems>
  <pageFields count="4">
    <pageField fld="1" item="5" hier="-1"/>
    <pageField fld="10" hier="-1"/>
    <pageField fld="0" hier="-1"/>
    <pageField fld="13" hier="-1"/>
  </pageFields>
  <dataFields count="1">
    <dataField name="Cuenta de Frente" fld="9" subtotal="count" baseField="0" baseItem="0"/>
  </dataFields>
  <formats count="3">
    <format dxfId="160">
      <pivotArea grandRow="1" outline="0" collapsedLevelsAreSubtotals="1" fieldPosition="0"/>
    </format>
    <format dxfId="159">
      <pivotArea outline="0" collapsedLevelsAreSubtotals="1" fieldPosition="0"/>
    </format>
    <format dxfId="158">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10F13776-D3F8-47C1-A5DF-747F49F2BD05}"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2:C67"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showAll="0"/>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9"/>
  </rowFields>
  <rowItems count="5">
    <i>
      <x v="2"/>
    </i>
    <i>
      <x/>
    </i>
    <i>
      <x v="6"/>
    </i>
    <i>
      <x v="5"/>
    </i>
    <i t="grand">
      <x/>
    </i>
  </rowItems>
  <colFields count="1">
    <field x="-2"/>
  </colFields>
  <colItems count="2">
    <i>
      <x/>
    </i>
    <i i="1">
      <x v="1"/>
    </i>
  </colItems>
  <pageFields count="4">
    <pageField fld="1" item="5"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165">
      <pivotArea outline="0" fieldPosition="0">
        <references count="1">
          <reference field="4294967294" count="1">
            <x v="1"/>
          </reference>
        </references>
      </pivotArea>
    </format>
    <format dxfId="164">
      <pivotArea outline="0" collapsedLevelsAreSubtotals="1" fieldPosition="0">
        <references count="1">
          <reference field="4294967294" count="1" selected="0">
            <x v="0"/>
          </reference>
        </references>
      </pivotArea>
    </format>
    <format dxfId="163">
      <pivotArea grandRow="1" outline="0" collapsedLevelsAreSubtotals="1" fieldPosition="0"/>
    </format>
    <format dxfId="162">
      <pivotArea outline="0" collapsedLevelsAreSubtotals="1" fieldPosition="0">
        <references count="1">
          <reference field="4294967294" count="1" selected="0">
            <x v="1"/>
          </reference>
        </references>
      </pivotArea>
    </format>
    <format dxfId="1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AA81DE71-276D-485D-8E85-12857652DD87}"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4:G10" firstHeaderRow="1" firstDataRow="2" firstDataCol="1" rowPageCount="1" colPageCount="1"/>
  <pivotFields count="42">
    <pivotField showAll="0"/>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5">
    <i>
      <x v="1"/>
    </i>
    <i>
      <x v="5"/>
    </i>
    <i>
      <x v="7"/>
    </i>
    <i>
      <x v="8"/>
    </i>
    <i t="grand">
      <x/>
    </i>
  </rowItems>
  <colFields count="1">
    <field x="16"/>
  </colFields>
  <colItems count="6">
    <i>
      <x v="1"/>
    </i>
    <i>
      <x v="2"/>
    </i>
    <i>
      <x v="3"/>
    </i>
    <i>
      <x v="4"/>
    </i>
    <i>
      <x v="5"/>
    </i>
    <i t="grand">
      <x/>
    </i>
  </colItems>
  <pageFields count="1">
    <pageField fld="1" item="5" hier="-1"/>
  </pageFields>
  <formats count="14">
    <format dxfId="179">
      <pivotArea dataOnly="0" labelOnly="1" fieldPosition="0">
        <references count="1">
          <reference field="18" count="1">
            <x v="0"/>
          </reference>
        </references>
      </pivotArea>
    </format>
    <format dxfId="178">
      <pivotArea dataOnly="0" labelOnly="1" fieldPosition="0">
        <references count="1">
          <reference field="18" count="1">
            <x v="1"/>
          </reference>
        </references>
      </pivotArea>
    </format>
    <format dxfId="177">
      <pivotArea dataOnly="0" labelOnly="1" fieldPosition="0">
        <references count="1">
          <reference field="18" count="1">
            <x v="3"/>
          </reference>
        </references>
      </pivotArea>
    </format>
    <format dxfId="176">
      <pivotArea dataOnly="0" labelOnly="1" fieldPosition="0">
        <references count="1">
          <reference field="18" count="1">
            <x v="3"/>
          </reference>
        </references>
      </pivotArea>
    </format>
    <format dxfId="175">
      <pivotArea outline="0" collapsedLevelsAreSubtotals="1" fieldPosition="0">
        <references count="1">
          <reference field="16" count="5" selected="0">
            <x v="1"/>
            <x v="2"/>
            <x v="3"/>
            <x v="4"/>
            <x v="5"/>
          </reference>
        </references>
      </pivotArea>
    </format>
    <format dxfId="174">
      <pivotArea dataOnly="0" labelOnly="1" fieldPosition="0">
        <references count="1">
          <reference field="16" count="5">
            <x v="1"/>
            <x v="2"/>
            <x v="3"/>
            <x v="4"/>
            <x v="5"/>
          </reference>
        </references>
      </pivotArea>
    </format>
    <format dxfId="173">
      <pivotArea outline="0" collapsedLevelsAreSubtotals="1" fieldPosition="0">
        <references count="1">
          <reference field="16" count="5" selected="0">
            <x v="1"/>
            <x v="2"/>
            <x v="3"/>
            <x v="4"/>
            <x v="5"/>
          </reference>
        </references>
      </pivotArea>
    </format>
    <format dxfId="172">
      <pivotArea dataOnly="0" labelOnly="1" fieldPosition="0">
        <references count="1">
          <reference field="16" count="5">
            <x v="1"/>
            <x v="2"/>
            <x v="3"/>
            <x v="4"/>
            <x v="5"/>
          </reference>
        </references>
      </pivotArea>
    </format>
    <format dxfId="171">
      <pivotArea outline="0" collapsedLevelsAreSubtotals="1" fieldPosition="0"/>
    </format>
    <format dxfId="170">
      <pivotArea dataOnly="0" labelOnly="1" outline="0" fieldPosition="0">
        <references count="1">
          <reference field="1" count="1">
            <x v="5"/>
          </reference>
        </references>
      </pivotArea>
    </format>
    <format dxfId="169">
      <pivotArea field="16" type="button" dataOnly="0" labelOnly="1" outline="0" axis="axisCol" fieldPosition="0"/>
    </format>
    <format dxfId="168">
      <pivotArea type="topRight" dataOnly="0" labelOnly="1" outline="0" fieldPosition="0"/>
    </format>
    <format dxfId="167">
      <pivotArea dataOnly="0" labelOnly="1" fieldPosition="0">
        <references count="1">
          <reference field="16" count="4">
            <x v="1"/>
            <x v="2"/>
            <x v="3"/>
            <x v="4"/>
          </reference>
        </references>
      </pivotArea>
    </format>
    <format dxfId="166">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6.xml><?xml version="1.0" encoding="utf-8"?>
<pivotTableDefinition xmlns="http://schemas.openxmlformats.org/spreadsheetml/2006/main" xmlns:mc="http://schemas.openxmlformats.org/markup-compatibility/2006" xmlns:xr="http://schemas.microsoft.com/office/spreadsheetml/2014/revision" mc:Ignorable="xr" xr:uid="{AF90D153-E8C9-4440-AB71-B7D2DE8142A5}" name="TablaDinámica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20:H36"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h="1" x="2"/>
        <item h="1" x="5"/>
        <item h="1" m="1" x="12"/>
        <item h="1" m="1" x="14"/>
        <item x="1"/>
        <item h="1" x="3"/>
        <item h="1"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sd="0" m="1" x="11"/>
        <item x="0"/>
        <item sd="0" x="4"/>
        <item x="6"/>
        <item sd="0" x="1"/>
        <item sd="0" x="3"/>
        <item sd="0" m="1" x="10"/>
        <item m="1" x="8"/>
        <item m="1" x="9"/>
        <item m="1" x="7"/>
        <item x="5"/>
        <item t="default" sd="0"/>
      </items>
    </pivotField>
    <pivotField axis="axisCol" showAll="0">
      <items count="10">
        <item x="0"/>
        <item x="3"/>
        <item x="1"/>
        <item x="4"/>
        <item x="5"/>
        <item m="1" x="8"/>
        <item x="6"/>
        <item x="2"/>
        <item m="1" x="7"/>
        <item t="default"/>
      </items>
    </pivotField>
    <pivotField showAll="0"/>
    <pivotField axis="axisRow" showAll="0">
      <items count="46">
        <item x="0"/>
        <item x="3"/>
        <item x="13"/>
        <item sd="0" x="8"/>
        <item sd="0" x="5"/>
        <item sd="0" x="11"/>
        <item sd="0" x="2"/>
        <item x="26"/>
        <item x="29"/>
        <item m="1" x="43"/>
        <item sd="0" x="12"/>
        <item sd="0" x="10"/>
        <item sd="0" x="9"/>
        <item x="1"/>
        <item sd="0" x="22"/>
        <item x="6"/>
        <item sd="0" m="1" x="33"/>
        <item x="15"/>
        <item sd="0" x="19"/>
        <item x="32"/>
        <item x="25"/>
        <item sd="0" x="17"/>
        <item m="1" x="41"/>
        <item sd="0" x="23"/>
        <item sd="0" x="14"/>
        <item m="1" x="34"/>
        <item sd="0" x="4"/>
        <item x="7"/>
        <item m="1" x="44"/>
        <item sd="0" x="21"/>
        <item sd="0" m="1" x="38"/>
        <item m="1" x="40"/>
        <item sd="0" m="1" x="35"/>
        <item sd="0" x="30"/>
        <item m="1" x="42"/>
        <item m="1" x="39"/>
        <item x="20"/>
        <item m="1" x="37"/>
        <item m="1" x="36"/>
        <item sd="0" x="18"/>
        <item x="28"/>
        <item x="27"/>
        <item x="24"/>
        <item sd="0"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5">
    <i>
      <x/>
    </i>
    <i r="1">
      <x v="6"/>
    </i>
    <i r="1">
      <x v="12"/>
    </i>
    <i r="1">
      <x v="43"/>
    </i>
    <i>
      <x v="2"/>
    </i>
    <i r="1">
      <x/>
    </i>
    <i r="1">
      <x v="1"/>
    </i>
    <i>
      <x v="4"/>
    </i>
    <i r="1">
      <x v="27"/>
    </i>
    <i>
      <x v="5"/>
    </i>
    <i>
      <x v="6"/>
    </i>
    <i>
      <x v="11"/>
    </i>
    <i r="1">
      <x v="3"/>
    </i>
    <i r="1">
      <x v="39"/>
    </i>
    <i t="grand">
      <x/>
    </i>
  </rowItems>
  <colFields count="1">
    <field x="10"/>
  </colFields>
  <colItems count="7">
    <i>
      <x/>
    </i>
    <i>
      <x v="1"/>
    </i>
    <i>
      <x v="2"/>
    </i>
    <i>
      <x v="3"/>
    </i>
    <i>
      <x v="4"/>
    </i>
    <i>
      <x v="7"/>
    </i>
    <i t="grand">
      <x/>
    </i>
  </colItems>
  <pageFields count="3">
    <pageField fld="0" hier="-1"/>
    <pageField fld="1" hier="-1"/>
    <pageField fld="16" hier="-1"/>
  </pageFields>
  <dataFields count="1">
    <dataField name="Presupuesto" fld="24" baseField="0" baseItem="0" numFmtId="165"/>
  </dataFields>
  <formats count="7">
    <format dxfId="186">
      <pivotArea outline="0" collapsedLevelsAreSubtotals="1" fieldPosition="0">
        <references count="1">
          <reference field="4294967294" count="1" selected="0">
            <x v="0"/>
          </reference>
        </references>
      </pivotArea>
    </format>
    <format dxfId="185">
      <pivotArea grandRow="1" outline="0" collapsedLevelsAreSubtotals="1" fieldPosition="0"/>
    </format>
    <format dxfId="184">
      <pivotArea outline="0" collapsedLevelsAreSubtotals="1" fieldPosition="0"/>
    </format>
    <format dxfId="183">
      <pivotArea field="10" type="button" dataOnly="0" labelOnly="1" outline="0" axis="axisCol" fieldPosition="0"/>
    </format>
    <format dxfId="182">
      <pivotArea type="topRight" dataOnly="0" labelOnly="1" outline="0" fieldPosition="0"/>
    </format>
    <format dxfId="181">
      <pivotArea dataOnly="0" labelOnly="1" fieldPosition="0">
        <references count="1">
          <reference field="10" count="6">
            <x v="0"/>
            <x v="1"/>
            <x v="2"/>
            <x v="3"/>
            <x v="4"/>
            <x v="7"/>
          </reference>
        </references>
      </pivotArea>
    </format>
    <format dxfId="18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7.xml><?xml version="1.0" encoding="utf-8"?>
<pivotTableDefinition xmlns="http://schemas.openxmlformats.org/spreadsheetml/2006/main" xmlns:mc="http://schemas.openxmlformats.org/markup-compatibility/2006" xmlns:xr="http://schemas.microsoft.com/office/spreadsheetml/2014/revision" mc:Ignorable="xr" xr:uid="{91361871-29B3-4922-A1E5-D689411F7FDE}" name="TablaDinámica1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62:M64" firstHeaderRow="1" firstDataRow="2"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6">
    <i>
      <x v="1"/>
    </i>
    <i>
      <x v="2"/>
    </i>
    <i>
      <x v="3"/>
    </i>
    <i>
      <x v="4"/>
    </i>
    <i>
      <x v="5"/>
    </i>
    <i t="grand">
      <x/>
    </i>
  </colItems>
  <pageFields count="4">
    <pageField fld="1" item="5" hier="-1"/>
    <pageField fld="10" hier="-1"/>
    <pageField fld="0" hier="-1"/>
    <pageField fld="13" hier="-1"/>
  </pageFields>
  <dataFields count="1">
    <dataField name="Suma de TOTAL" fld="24" baseField="0" baseItem="0"/>
  </dataFields>
  <formats count="3">
    <format dxfId="189">
      <pivotArea grandRow="1" outline="0" collapsedLevelsAreSubtotals="1" fieldPosition="0"/>
    </format>
    <format dxfId="188">
      <pivotArea outline="0" collapsedLevelsAreSubtotals="1" fieldPosition="0"/>
    </format>
    <format dxfId="187">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8.xml><?xml version="1.0" encoding="utf-8"?>
<pivotTableDefinition xmlns="http://schemas.openxmlformats.org/spreadsheetml/2006/main" xmlns:mc="http://schemas.openxmlformats.org/markup-compatibility/2006" xmlns:xr="http://schemas.microsoft.com/office/spreadsheetml/2014/revision" mc:Ignorable="xr" xr:uid="{AF7D0591-649E-438C-9B41-8591DFA327DA}"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4"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x="4"/>
        <item x="2"/>
        <item sd="0" x="5"/>
        <item m="1" x="12"/>
        <item m="1" x="14"/>
        <item sd="0" x="1"/>
        <item sd="0" x="3"/>
        <item x="6"/>
        <item x="7"/>
        <item m="1" x="15"/>
        <item m="1" x="16"/>
        <item m="1" x="17"/>
        <item sd="0" x="0"/>
        <item h="1" m="1" x="13"/>
        <item h="1" x="8"/>
        <item h="1" m="1" x="11"/>
        <item h="1" m="1" x="10"/>
        <item h="1" m="1" x="9"/>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h="1" x="0"/>
        <item h="1" x="5"/>
        <item h="1" m="1" x="8"/>
        <item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12"/>
    </i>
    <i>
      <x v="5"/>
    </i>
    <i>
      <x v="6"/>
    </i>
    <i>
      <x v="2"/>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133">
      <pivotArea outline="0" fieldPosition="0">
        <references count="1">
          <reference field="4294967294" count="1">
            <x v="1"/>
          </reference>
        </references>
      </pivotArea>
    </format>
    <format dxfId="132">
      <pivotArea outline="0" collapsedLevelsAreSubtotals="1" fieldPosition="0">
        <references count="1">
          <reference field="4294967294" count="1" selected="0">
            <x v="0"/>
          </reference>
        </references>
      </pivotArea>
    </format>
    <format dxfId="131">
      <pivotArea grandRow="1" outline="0" collapsedLevelsAreSubtotals="1" fieldPosition="0"/>
    </format>
    <format dxfId="130">
      <pivotArea outline="0" collapsedLevelsAreSubtotals="1" fieldPosition="0">
        <references count="1">
          <reference field="4294967294" count="1" selected="0">
            <x v="1"/>
          </reference>
        </references>
      </pivotArea>
    </format>
    <format dxfId="12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9.xml><?xml version="1.0" encoding="utf-8"?>
<pivotTableDefinition xmlns="http://schemas.openxmlformats.org/spreadsheetml/2006/main" xmlns:mc="http://schemas.openxmlformats.org/markup-compatibility/2006" xmlns:xr="http://schemas.microsoft.com/office/spreadsheetml/2014/revision" mc:Ignorable="xr" xr:uid="{166CADDC-F7FE-4503-B96C-7E2D4EAB44A0}"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6" hier="-1"/>
    <pageField fld="1" hier="-1"/>
  </pageFields>
  <formats count="8">
    <format dxfId="141">
      <pivotArea outline="0" collapsedLevelsAreSubtotals="1" fieldPosition="0"/>
    </format>
    <format dxfId="140">
      <pivotArea dataOnly="0" labelOnly="1" grandCol="1" outline="0" fieldPosition="0"/>
    </format>
    <format dxfId="139">
      <pivotArea dataOnly="0" labelOnly="1" fieldPosition="0">
        <references count="1">
          <reference field="18" count="1">
            <x v="0"/>
          </reference>
        </references>
      </pivotArea>
    </format>
    <format dxfId="138">
      <pivotArea dataOnly="0" labelOnly="1" fieldPosition="0">
        <references count="1">
          <reference field="18" count="1">
            <x v="1"/>
          </reference>
        </references>
      </pivotArea>
    </format>
    <format dxfId="137">
      <pivotArea dataOnly="0" labelOnly="1" fieldPosition="0">
        <references count="1">
          <reference field="18" count="1">
            <x v="3"/>
          </reference>
        </references>
      </pivotArea>
    </format>
    <format dxfId="136">
      <pivotArea dataOnly="0" labelOnly="1" fieldPosition="0">
        <references count="1">
          <reference field="18" count="1">
            <x v="3"/>
          </reference>
        </references>
      </pivotArea>
    </format>
    <format dxfId="135">
      <pivotArea dataOnly="0" labelOnly="1" fieldPosition="0">
        <references count="1">
          <reference field="16" count="3">
            <x v="1"/>
            <x v="2"/>
            <x v="4"/>
          </reference>
        </references>
      </pivotArea>
    </format>
    <format dxfId="134">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0.xml><?xml version="1.0" encoding="utf-8"?>
<pivotTableDefinition xmlns="http://schemas.openxmlformats.org/spreadsheetml/2006/main" xmlns:mc="http://schemas.openxmlformats.org/markup-compatibility/2006" xmlns:xr="http://schemas.microsoft.com/office/spreadsheetml/2014/revision" mc:Ignorable="xr" xr:uid="{23371D01-30D2-4B36-AB55-56007046AC70}" name="TablaDinámica12"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H5:M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6" hier="-1"/>
    <pageField fld="1" hier="-1"/>
  </pageFields>
  <dataFields count="1">
    <dataField name="Suma de TOTAL" fld="24" baseField="0" baseItem="0" numFmtId="44"/>
  </dataFields>
  <formats count="9">
    <format dxfId="150">
      <pivotArea outline="0" collapsedLevelsAreSubtotals="1" fieldPosition="0"/>
    </format>
    <format dxfId="149">
      <pivotArea dataOnly="0" labelOnly="1" grandCol="1" outline="0" fieldPosition="0"/>
    </format>
    <format dxfId="148">
      <pivotArea dataOnly="0" labelOnly="1" fieldPosition="0">
        <references count="1">
          <reference field="18" count="1">
            <x v="0"/>
          </reference>
        </references>
      </pivotArea>
    </format>
    <format dxfId="147">
      <pivotArea dataOnly="0" labelOnly="1" fieldPosition="0">
        <references count="1">
          <reference field="18" count="1">
            <x v="1"/>
          </reference>
        </references>
      </pivotArea>
    </format>
    <format dxfId="146">
      <pivotArea dataOnly="0" labelOnly="1" fieldPosition="0">
        <references count="1">
          <reference field="18" count="1">
            <x v="3"/>
          </reference>
        </references>
      </pivotArea>
    </format>
    <format dxfId="145">
      <pivotArea dataOnly="0" labelOnly="1" fieldPosition="0">
        <references count="1">
          <reference field="18" count="1">
            <x v="3"/>
          </reference>
        </references>
      </pivotArea>
    </format>
    <format dxfId="144">
      <pivotArea dataOnly="0" labelOnly="1" fieldPosition="0">
        <references count="1">
          <reference field="16" count="3">
            <x v="1"/>
            <x v="2"/>
            <x v="4"/>
          </reference>
        </references>
      </pivotArea>
    </format>
    <format dxfId="143">
      <pivotArea dataOnly="0" labelOnly="1" fieldPosition="0">
        <references count="1">
          <reference field="16" count="1">
            <x v="3"/>
          </reference>
        </references>
      </pivotArea>
    </format>
    <format dxfId="1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1.xml><?xml version="1.0" encoding="utf-8"?>
<pivotTableDefinition xmlns="http://schemas.openxmlformats.org/spreadsheetml/2006/main" xmlns:mc="http://schemas.openxmlformats.org/markup-compatibility/2006" xmlns:xr="http://schemas.microsoft.com/office/spreadsheetml/2014/revision" mc:Ignorable="xr" xr:uid="{512C1ECA-B731-49E7-8822-348D96A0B1B7}" name="TablaDinámica15"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59:K61" firstHeaderRow="1" firstDataRow="2" firstDataCol="1" rowPageCount="5"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axis="axisPage" multipleItemSelectionAllowed="1" showAll="0">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42"/>
        <item x="284"/>
        <item x="285"/>
        <item x="286"/>
        <item x="287"/>
        <item x="288"/>
        <item h="1"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h="1" m="1" x="343"/>
        <item h="1" x="319"/>
        <item h="1" m="1" x="332"/>
        <item h="1" x="27"/>
        <item h="1" x="265"/>
        <item h="1" x="96"/>
        <item h="1" x="97"/>
        <item h="1" x="1"/>
        <item h="1" x="61"/>
        <item h="1" x="68"/>
        <item h="1" x="69"/>
        <item h="1" x="86"/>
        <item h="1" x="133"/>
        <item h="1" x="134"/>
        <item h="1" x="165"/>
        <item t="default"/>
      </items>
    </pivotField>
    <pivotField showAll="0"/>
    <pivotField showAll="0"/>
    <pivotField showAll="0"/>
    <pivotField showAll="0"/>
    <pivotField showAll="0"/>
    <pivotField dataField="1"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h="1"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1"/>
    </i>
    <i>
      <x v="2"/>
    </i>
    <i>
      <x v="3"/>
    </i>
    <i t="grand">
      <x/>
    </i>
  </colItems>
  <pageFields count="5">
    <pageField fld="1" item="2" hier="-1"/>
    <pageField fld="10" hier="-1"/>
    <pageField fld="0" hier="-1"/>
    <pageField fld="13" hier="-1"/>
    <pageField fld="3" hier="-1"/>
  </pageFields>
  <dataFields count="1">
    <dataField name="Cuenta de Frente" fld="9" subtotal="count" baseField="0" baseItem="0"/>
  </dataFields>
  <formats count="3">
    <format dxfId="101">
      <pivotArea grandRow="1" outline="0" collapsedLevelsAreSubtotals="1" fieldPosition="0"/>
    </format>
    <format dxfId="100">
      <pivotArea outline="0" collapsedLevelsAreSubtotals="1" fieldPosition="0"/>
    </format>
    <format dxfId="99">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2.xml><?xml version="1.0" encoding="utf-8"?>
<pivotTableDefinition xmlns="http://schemas.openxmlformats.org/spreadsheetml/2006/main" xmlns:mc="http://schemas.openxmlformats.org/markup-compatibility/2006" xmlns:xr="http://schemas.microsoft.com/office/spreadsheetml/2014/revision" mc:Ignorable="xr" xr:uid="{71E07AD4-32E7-4EEF-B1E7-131F0488C045}" name="TablaDinámica2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91:C98"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axis="axisRow" showAll="0">
      <items count="46">
        <item x="3"/>
        <item x="13"/>
        <item x="18"/>
        <item x="2"/>
        <item x="30"/>
        <item x="27"/>
        <item x="26"/>
        <item x="29"/>
        <item m="1" x="43"/>
        <item m="1" x="40"/>
        <item x="12"/>
        <item x="8"/>
        <item x="10"/>
        <item x="9"/>
        <item m="1" x="35"/>
        <item x="11"/>
        <item x="1"/>
        <item x="22"/>
        <item m="1" x="37"/>
        <item x="6"/>
        <item x="20"/>
        <item x="24"/>
        <item m="1" x="33"/>
        <item m="1" x="36"/>
        <item x="15"/>
        <item x="19"/>
        <item x="16"/>
        <item x="32"/>
        <item x="0"/>
        <item x="25"/>
        <item x="17"/>
        <item m="1" x="42"/>
        <item m="1" x="41"/>
        <item x="21"/>
        <item x="28"/>
        <item x="23"/>
        <item m="1" x="44"/>
        <item m="1" x="38"/>
        <item m="1" x="39"/>
        <item x="14"/>
        <item m="1" x="34"/>
        <item x="4"/>
        <item x="5"/>
        <item x="7"/>
        <item x="31"/>
        <item t="default"/>
      </items>
    </pivotField>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7">
    <i>
      <x v="6"/>
    </i>
    <i r="1">
      <x v="16"/>
    </i>
    <i>
      <x/>
    </i>
    <i r="1">
      <x v="16"/>
    </i>
    <i r="1">
      <x v="30"/>
    </i>
    <i r="1">
      <x v="39"/>
    </i>
    <i t="grand">
      <x/>
    </i>
  </rowItems>
  <colFields count="1">
    <field x="-2"/>
  </colFields>
  <colItems count="2">
    <i>
      <x/>
    </i>
    <i i="1">
      <x v="1"/>
    </i>
  </colItems>
  <pageFields count="4">
    <pageField fld="1" item="2" hier="-1"/>
    <pageField fld="10" hier="-1"/>
    <pageField fld="0" hier="-1"/>
    <pageField fld="13" item="0" hier="-1"/>
  </pageFields>
  <dataFields count="2">
    <dataField name="Presupuesto" fld="24" baseField="0" baseItem="0" numFmtId="165"/>
    <dataField name="% Presupuesto" fld="24" showDataAs="percentOfTotal" baseField="5" baseItem="3" numFmtId="9"/>
  </dataFields>
  <formats count="5">
    <format dxfId="106">
      <pivotArea outline="0" fieldPosition="0">
        <references count="1">
          <reference field="4294967294" count="1">
            <x v="1"/>
          </reference>
        </references>
      </pivotArea>
    </format>
    <format dxfId="105">
      <pivotArea outline="0" collapsedLevelsAreSubtotals="1" fieldPosition="0">
        <references count="1">
          <reference field="4294967294" count="1" selected="0">
            <x v="0"/>
          </reference>
        </references>
      </pivotArea>
    </format>
    <format dxfId="104">
      <pivotArea grandRow="1" outline="0" collapsedLevelsAreSubtotals="1" fieldPosition="0"/>
    </format>
    <format dxfId="103">
      <pivotArea outline="0" collapsedLevelsAreSubtotals="1" fieldPosition="0">
        <references count="1">
          <reference field="4294967294" count="1" selected="0">
            <x v="1"/>
          </reference>
        </references>
      </pivotArea>
    </format>
    <format dxfId="10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3.xml><?xml version="1.0" encoding="utf-8"?>
<pivotTableDefinition xmlns="http://schemas.openxmlformats.org/spreadsheetml/2006/main" xmlns:mc="http://schemas.openxmlformats.org/markup-compatibility/2006" xmlns:xr="http://schemas.microsoft.com/office/spreadsheetml/2014/revision" mc:Ignorable="xr" xr:uid="{D91F825D-3BEB-4EC1-B30C-486C1A609F91}" name="TablaDinámica14"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G50:K52" firstHeaderRow="1" firstDataRow="2" firstDataCol="1" rowPageCount="5"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axis="axisPage" multipleItemSelectionAllowed="1" showAll="0">
      <items count="345">
        <item x="149"/>
        <item x="0"/>
        <item m="1" x="333"/>
        <item x="2"/>
        <item x="3"/>
        <item x="4"/>
        <item x="5"/>
        <item x="6"/>
        <item x="7"/>
        <item x="178"/>
        <item x="8"/>
        <item x="156"/>
        <item x="9"/>
        <item x="10"/>
        <item x="11"/>
        <item x="12"/>
        <item x="13"/>
        <item x="14"/>
        <item x="15"/>
        <item x="16"/>
        <item x="18"/>
        <item x="19"/>
        <item x="148"/>
        <item x="155"/>
        <item x="20"/>
        <item x="21"/>
        <item x="22"/>
        <item x="23"/>
        <item x="24"/>
        <item x="25"/>
        <item x="26"/>
        <item m="1" x="335"/>
        <item x="28"/>
        <item x="17"/>
        <item x="29"/>
        <item x="30"/>
        <item x="31"/>
        <item x="32"/>
        <item x="33"/>
        <item x="34"/>
        <item x="35"/>
        <item x="36"/>
        <item x="37"/>
        <item x="38"/>
        <item x="39"/>
        <item x="40"/>
        <item x="41"/>
        <item x="42"/>
        <item x="43"/>
        <item x="44"/>
        <item x="45"/>
        <item x="46"/>
        <item x="47"/>
        <item x="48"/>
        <item x="49"/>
        <item x="50"/>
        <item m="1" x="334"/>
        <item x="51"/>
        <item x="52"/>
        <item x="53"/>
        <item x="54"/>
        <item x="55"/>
        <item x="56"/>
        <item x="57"/>
        <item x="58"/>
        <item x="59"/>
        <item x="60"/>
        <item m="1" x="321"/>
        <item x="62"/>
        <item x="63"/>
        <item x="64"/>
        <item x="65"/>
        <item x="66"/>
        <item x="182"/>
        <item x="67"/>
        <item m="1" x="326"/>
        <item m="1" x="328"/>
        <item m="1" x="329"/>
        <item x="70"/>
        <item x="71"/>
        <item x="72"/>
        <item x="74"/>
        <item x="75"/>
        <item x="76"/>
        <item x="78"/>
        <item x="79"/>
        <item m="1" x="327"/>
        <item x="80"/>
        <item x="81"/>
        <item x="82"/>
        <item x="83"/>
        <item x="84"/>
        <item x="85"/>
        <item m="1" x="323"/>
        <item x="87"/>
        <item x="88"/>
        <item x="89"/>
        <item x="90"/>
        <item x="91"/>
        <item x="92"/>
        <item m="1" x="338"/>
        <item x="93"/>
        <item x="121"/>
        <item m="1" x="324"/>
        <item x="94"/>
        <item x="95"/>
        <item x="98"/>
        <item x="99"/>
        <item x="100"/>
        <item x="101"/>
        <item x="102"/>
        <item x="103"/>
        <item x="104"/>
        <item x="105"/>
        <item x="106"/>
        <item x="107"/>
        <item x="108"/>
        <item x="109"/>
        <item x="110"/>
        <item x="111"/>
        <item x="112"/>
        <item x="113"/>
        <item x="114"/>
        <item x="115"/>
        <item x="116"/>
        <item x="117"/>
        <item x="118"/>
        <item x="160"/>
        <item x="119"/>
        <item x="120"/>
        <item x="122"/>
        <item x="123"/>
        <item x="124"/>
        <item x="125"/>
        <item x="126"/>
        <item x="127"/>
        <item x="128"/>
        <item x="129"/>
        <item x="130"/>
        <item x="131"/>
        <item x="132"/>
        <item m="1" x="330"/>
        <item m="1" x="325"/>
        <item m="1" x="331"/>
        <item x="135"/>
        <item x="136"/>
        <item x="137"/>
        <item x="138"/>
        <item x="141"/>
        <item x="142"/>
        <item x="143"/>
        <item x="144"/>
        <item x="145"/>
        <item x="146"/>
        <item x="150"/>
        <item x="151"/>
        <item x="154"/>
        <item x="157"/>
        <item x="158"/>
        <item x="159"/>
        <item x="164"/>
        <item m="1" x="322"/>
        <item m="1" x="320"/>
        <item x="166"/>
        <item x="167"/>
        <item x="168"/>
        <item x="169"/>
        <item x="170"/>
        <item x="171"/>
        <item x="172"/>
        <item x="173"/>
        <item x="174"/>
        <item x="175"/>
        <item x="176"/>
        <item x="177"/>
        <item x="179"/>
        <item x="180"/>
        <item x="181"/>
        <item x="183"/>
        <item x="184"/>
        <item x="185"/>
        <item x="186"/>
        <item x="187"/>
        <item x="188"/>
        <item x="189"/>
        <item x="190"/>
        <item x="191"/>
        <item x="192"/>
        <item x="193"/>
        <item x="194"/>
        <item x="195"/>
        <item x="196"/>
        <item x="197"/>
        <item x="198"/>
        <item x="199"/>
        <item x="200"/>
        <item x="201"/>
        <item x="202"/>
        <item x="203"/>
        <item x="204"/>
        <item x="205"/>
        <item x="206"/>
        <item x="147"/>
        <item x="207"/>
        <item x="208"/>
        <item x="209"/>
        <item x="210"/>
        <item x="211"/>
        <item m="1" x="336"/>
        <item x="212"/>
        <item x="213"/>
        <item x="214"/>
        <item x="215"/>
        <item m="1" x="340"/>
        <item x="216"/>
        <item x="217"/>
        <item x="218"/>
        <item x="219"/>
        <item m="1" x="339"/>
        <item x="220"/>
        <item x="221"/>
        <item x="224"/>
        <item x="225"/>
        <item x="226"/>
        <item x="227"/>
        <item x="228"/>
        <item x="229"/>
        <item x="230"/>
        <item x="231"/>
        <item x="232"/>
        <item x="233"/>
        <item x="234"/>
        <item x="235"/>
        <item x="77"/>
        <item x="236"/>
        <item x="237"/>
        <item x="238"/>
        <item x="239"/>
        <item x="152"/>
        <item x="240"/>
        <item x="241"/>
        <item x="242"/>
        <item x="243"/>
        <item x="244"/>
        <item x="245"/>
        <item x="246"/>
        <item x="247"/>
        <item x="248"/>
        <item x="249"/>
        <item x="250"/>
        <item x="251"/>
        <item x="252"/>
        <item x="253"/>
        <item x="254"/>
        <item x="255"/>
        <item x="256"/>
        <item x="257"/>
        <item x="161"/>
        <item x="258"/>
        <item x="259"/>
        <item x="260"/>
        <item x="261"/>
        <item x="262"/>
        <item x="263"/>
        <item x="264"/>
        <item x="153"/>
        <item x="266"/>
        <item x="267"/>
        <item x="268"/>
        <item x="269"/>
        <item x="270"/>
        <item x="271"/>
        <item x="272"/>
        <item x="273"/>
        <item x="274"/>
        <item x="275"/>
        <item x="276"/>
        <item x="277"/>
        <item m="1" x="341"/>
        <item x="278"/>
        <item x="279"/>
        <item x="139"/>
        <item x="280"/>
        <item x="140"/>
        <item x="281"/>
        <item x="282"/>
        <item x="223"/>
        <item x="283"/>
        <item x="222"/>
        <item m="1" x="342"/>
        <item x="284"/>
        <item x="285"/>
        <item x="286"/>
        <item x="287"/>
        <item x="288"/>
        <item h="1" x="289"/>
        <item x="290"/>
        <item x="291"/>
        <item x="162"/>
        <item x="292"/>
        <item x="293"/>
        <item x="294"/>
        <item x="295"/>
        <item x="296"/>
        <item x="297"/>
        <item x="298"/>
        <item x="299"/>
        <item x="300"/>
        <item x="301"/>
        <item x="302"/>
        <item x="303"/>
        <item x="304"/>
        <item x="163"/>
        <item x="305"/>
        <item x="306"/>
        <item x="307"/>
        <item m="1" x="337"/>
        <item x="308"/>
        <item x="309"/>
        <item x="310"/>
        <item x="311"/>
        <item x="312"/>
        <item x="313"/>
        <item x="314"/>
        <item x="315"/>
        <item x="316"/>
        <item x="317"/>
        <item x="318"/>
        <item x="73"/>
        <item h="1" m="1" x="343"/>
        <item h="1" x="319"/>
        <item h="1" m="1" x="332"/>
        <item h="1" x="27"/>
        <item h="1" x="265"/>
        <item h="1" x="96"/>
        <item h="1" x="97"/>
        <item h="1" x="1"/>
        <item h="1" x="61"/>
        <item h="1" x="68"/>
        <item h="1" x="69"/>
        <item h="1" x="86"/>
        <item h="1" x="133"/>
        <item h="1" x="134"/>
        <item h="1" x="165"/>
        <item t="default"/>
      </items>
    </pivotField>
    <pivotField showAll="0"/>
    <pivotField showAll="0"/>
    <pivotField showAll="0"/>
    <pivotField showAll="0"/>
    <pivotField showAll="0"/>
    <pivotField showAll="0"/>
    <pivotField axis="axisPage" multipleItemSelectionAllowed="1" showAll="0">
      <items count="10">
        <item h="1" x="2"/>
        <item h="1" x="4"/>
        <item h="1" x="3"/>
        <item x="0"/>
        <item h="1" x="5"/>
        <item m="1" x="8"/>
        <item h="1" x="1"/>
        <item x="6"/>
        <item h="1" m="1" x="7"/>
        <item t="default"/>
      </items>
    </pivotField>
    <pivotField showAll="0"/>
    <pivotField showAll="0"/>
    <pivotField axis="axisPage" multipleItemSelectionAllowed="1" showAll="0">
      <items count="7">
        <item x="1"/>
        <item x="2"/>
        <item m="1" x="5"/>
        <item h="1" x="0"/>
        <item x="4"/>
        <item h="1" x="3"/>
        <item t="default"/>
      </items>
    </pivotField>
    <pivotField showAll="0"/>
    <pivotField showAll="0"/>
    <pivotField axis="axisCol"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Items count="1">
    <i/>
  </rowItems>
  <colFields count="1">
    <field x="16"/>
  </colFields>
  <colItems count="4">
    <i>
      <x v="1"/>
    </i>
    <i>
      <x v="2"/>
    </i>
    <i>
      <x v="3"/>
    </i>
    <i t="grand">
      <x/>
    </i>
  </colItems>
  <pageFields count="5">
    <pageField fld="1" item="2" hier="-1"/>
    <pageField fld="10" hier="-1"/>
    <pageField fld="0" hier="-1"/>
    <pageField fld="13" hier="-1"/>
    <pageField fld="3" hier="-1"/>
  </pageFields>
  <dataFields count="1">
    <dataField name="Suma de TOTAL" fld="24" baseField="0" baseItem="0"/>
  </dataFields>
  <formats count="3">
    <format dxfId="109">
      <pivotArea grandRow="1" outline="0" collapsedLevelsAreSubtotals="1" fieldPosition="0"/>
    </format>
    <format dxfId="108">
      <pivotArea outline="0" collapsedLevelsAreSubtotals="1" fieldPosition="0"/>
    </format>
    <format dxfId="107">
      <pivotArea outline="0" collapsedLevelsAreSubtotals="1" fieldPosition="0">
        <references count="1">
          <reference field="16" count="4" selected="0">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4.xml><?xml version="1.0" encoding="utf-8"?>
<pivotTableDefinition xmlns="http://schemas.openxmlformats.org/spreadsheetml/2006/main" xmlns:mc="http://schemas.openxmlformats.org/markup-compatibility/2006" xmlns:xr="http://schemas.microsoft.com/office/spreadsheetml/2014/revision" mc:Ignorable="xr" xr:uid="{C8E616C2-3D3C-488F-A32E-CE48596A9F74}" name="TablaDinámica11" cacheId="1" applyNumberFormats="0" applyBorderFormats="0" applyFontFormats="0" applyPatternFormats="0" applyAlignmentFormats="0" applyWidthHeightFormats="1" dataCaption="Valores" updatedVersion="8" minRefreshableVersion="3" showDrill="0" useAutoFormatting="1" itemPrintTitles="1" createdVersion="8" indent="0" outline="1" outlineData="1" multipleFieldFilters="0">
  <location ref="A23:F45" firstHeaderRow="1" firstDataRow="2" firstDataCol="1" rowPageCount="3" colPageCount="1"/>
  <pivotFields count="42">
    <pivotField axis="axisPage" multipleItemSelectionAllowed="1" showAll="0">
      <items count="7">
        <item x="3"/>
        <item h="1" x="1"/>
        <item x="0"/>
        <item h="1" m="1" x="5"/>
        <item h="1" m="1" x="4"/>
        <item h="1" x="2"/>
        <item t="default"/>
      </items>
    </pivotField>
    <pivotField axis="axisPage" multipleItemSelectionAllowed="1" showAll="0">
      <items count="19">
        <item h="1" x="4"/>
        <item h="1" x="2"/>
        <item x="5"/>
        <item h="1" m="1" x="12"/>
        <item h="1" m="1" x="14"/>
        <item h="1" x="1"/>
        <item h="1" x="3"/>
        <item x="6"/>
        <item h="1" x="7"/>
        <item m="1" x="15"/>
        <item m="1" x="16"/>
        <item m="1" x="17"/>
        <item h="1" x="0"/>
        <item h="1" m="1" x="13"/>
        <item h="1" x="8"/>
        <item h="1" m="1" x="11"/>
        <item h="1" m="1" x="10"/>
        <item h="1" m="1" x="9"/>
        <item t="default"/>
      </items>
    </pivotField>
    <pivotField showAll="0"/>
    <pivotField showAll="0"/>
    <pivotField showAll="0"/>
    <pivotField showAll="0"/>
    <pivotField showAll="0"/>
    <pivotField showAll="0"/>
    <pivotField showAll="0"/>
    <pivotField axis="axisRow" showAll="0">
      <items count="13">
        <item x="2"/>
        <item sd="0" m="1" x="11"/>
        <item sd="0" x="0"/>
        <item x="4"/>
        <item sd="0" x="6"/>
        <item x="1"/>
        <item sd="0" x="3"/>
        <item sd="0" m="1" x="10"/>
        <item sd="0" m="1" x="8"/>
        <item sd="0" m="1" x="9"/>
        <item m="1" x="7"/>
        <item x="5"/>
        <item t="default" sd="0"/>
      </items>
    </pivotField>
    <pivotField axis="axisCol" showAll="0">
      <items count="10">
        <item x="0"/>
        <item x="3"/>
        <item x="1"/>
        <item x="4"/>
        <item x="5"/>
        <item m="1" x="8"/>
        <item x="6"/>
        <item x="2"/>
        <item m="1" x="7"/>
        <item t="default"/>
      </items>
    </pivotField>
    <pivotField showAll="0"/>
    <pivotField axis="axisRow" showAll="0">
      <items count="46">
        <item x="3"/>
        <item x="13"/>
        <item sd="0" x="8"/>
        <item sd="0" x="5"/>
        <item sd="0" x="12"/>
        <item sd="0" x="18"/>
        <item x="2"/>
        <item x="26"/>
        <item x="29"/>
        <item m="1" x="43"/>
        <item n="COMPRAS " sd="0" x="10"/>
        <item x="9"/>
        <item x="11"/>
        <item x="1"/>
        <item x="22"/>
        <item x="6"/>
        <item m="1" x="33"/>
        <item x="15"/>
        <item sd="0" x="19"/>
        <item x="32"/>
        <item x="0"/>
        <item x="25"/>
        <item sd="0" x="17"/>
        <item m="1" x="41"/>
        <item sd="0" x="23"/>
        <item sd="0" x="14"/>
        <item m="1" x="34"/>
        <item sd="0" x="4"/>
        <item x="7"/>
        <item m="1" x="44"/>
        <item x="21"/>
        <item sd="0" m="1" x="38"/>
        <item m="1" x="40"/>
        <item m="1" x="35"/>
        <item x="30"/>
        <item m="1" x="42"/>
        <item m="1" x="39"/>
        <item x="20"/>
        <item m="1" x="37"/>
        <item m="1" x="36"/>
        <item x="28"/>
        <item x="27"/>
        <item x="24"/>
        <item x="16"/>
        <item x="31"/>
        <item t="default"/>
      </items>
    </pivotField>
    <pivotField showAll="0"/>
    <pivotField showAll="0"/>
    <pivotField showAll="0"/>
    <pivotField axis="axisPage" showAll="0">
      <items count="7">
        <item m="1" x="5"/>
        <item x="1"/>
        <item x="2"/>
        <item x="0"/>
        <item x="3"/>
        <item x="4"/>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21">
    <i>
      <x/>
    </i>
    <i r="1">
      <x v="10"/>
    </i>
    <i r="1">
      <x v="11"/>
    </i>
    <i r="1">
      <x v="12"/>
    </i>
    <i r="1">
      <x v="13"/>
    </i>
    <i r="1">
      <x v="22"/>
    </i>
    <i r="1">
      <x v="25"/>
    </i>
    <i r="1">
      <x v="27"/>
    </i>
    <i>
      <x v="3"/>
    </i>
    <i r="1">
      <x v="11"/>
    </i>
    <i r="1">
      <x v="12"/>
    </i>
    <i r="1">
      <x v="40"/>
    </i>
    <i r="1">
      <x v="41"/>
    </i>
    <i r="1">
      <x v="42"/>
    </i>
    <i>
      <x v="4"/>
    </i>
    <i>
      <x v="5"/>
    </i>
    <i r="1">
      <x v="2"/>
    </i>
    <i r="1">
      <x v="4"/>
    </i>
    <i r="1">
      <x v="13"/>
    </i>
    <i>
      <x v="6"/>
    </i>
    <i t="grand">
      <x/>
    </i>
  </rowItems>
  <colFields count="1">
    <field x="10"/>
  </colFields>
  <colItems count="5">
    <i>
      <x/>
    </i>
    <i>
      <x v="1"/>
    </i>
    <i>
      <x v="2"/>
    </i>
    <i>
      <x v="3"/>
    </i>
    <i t="grand">
      <x/>
    </i>
  </colItems>
  <pageFields count="3">
    <pageField fld="0" hier="-1"/>
    <pageField fld="1" hier="-1"/>
    <pageField fld="16" hier="-1"/>
  </pageFields>
  <dataFields count="1">
    <dataField name="Presupuesto" fld="24" baseField="0" baseItem="0" numFmtId="165"/>
  </dataFields>
  <formats count="3">
    <format dxfId="112">
      <pivotArea outline="0" collapsedLevelsAreSubtotals="1" fieldPosition="0">
        <references count="1">
          <reference field="4294967294" count="1" selected="0">
            <x v="0"/>
          </reference>
        </references>
      </pivotArea>
    </format>
    <format dxfId="111">
      <pivotArea grandRow="1" outline="0" collapsedLevelsAreSubtotals="1" fieldPosition="0"/>
    </format>
    <format dxfId="1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5.xml><?xml version="1.0" encoding="utf-8"?>
<pivotTableDefinition xmlns="http://schemas.openxmlformats.org/spreadsheetml/2006/main" xmlns:mc="http://schemas.openxmlformats.org/markup-compatibility/2006" xmlns:xr="http://schemas.microsoft.com/office/spreadsheetml/2014/revision" mc:Ignorable="xr" xr:uid="{971B73EF-7E4E-44AB-B5A2-FA3705B6D348}" name="TablaDinámica10" cacheId="1" applyNumberFormats="0" applyBorderFormats="0" applyFontFormats="0" applyPatternFormats="0" applyAlignmentFormats="0" applyWidthHeightFormats="1" dataCaption="Valores" updatedVersion="8" minRefreshableVersion="3" showDrill="0" useAutoFormatting="1" itemPrintTitles="1" createdVersion="8" indent="0" outline="1" outlineData="1" multipleFieldFilters="0">
  <location ref="A4:G10" firstHeaderRow="1" firstDataRow="2" firstDataCol="1" rowPageCount="1" colPageCount="1"/>
  <pivotFields count="42">
    <pivotField showAll="0"/>
    <pivotField axis="axisPage" multipleItemSelectionAllowed="1" showAll="0">
      <items count="19">
        <item h="1" x="4"/>
        <item h="1" x="2"/>
        <item x="5"/>
        <item m="1" x="12"/>
        <item m="1" x="14"/>
        <item h="1" x="1"/>
        <item h="1" x="3"/>
        <item h="1" x="6"/>
        <item h="1" x="7"/>
        <item m="1" x="15"/>
        <item m="1" x="16"/>
        <item m="1" x="17"/>
        <item h="1" x="0"/>
        <item m="1" x="13"/>
        <item h="1" x="8"/>
        <item h="1" m="1" x="11"/>
        <item h="1" m="1" x="10"/>
        <item h="1" m="1" x="9"/>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m="1" x="7"/>
        <item x="2"/>
        <item x="0"/>
        <item x="3"/>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5">
    <i>
      <x v="1"/>
    </i>
    <i>
      <x v="6"/>
    </i>
    <i>
      <x v="7"/>
    </i>
    <i>
      <x v="8"/>
    </i>
    <i t="grand">
      <x/>
    </i>
  </rowItems>
  <colFields count="1">
    <field x="16"/>
  </colFields>
  <colItems count="6">
    <i>
      <x v="1"/>
    </i>
    <i>
      <x v="2"/>
    </i>
    <i>
      <x v="3"/>
    </i>
    <i>
      <x v="4"/>
    </i>
    <i>
      <x v="5"/>
    </i>
    <i t="grand">
      <x/>
    </i>
  </colItems>
  <pageFields count="1">
    <pageField fld="1" hier="-1"/>
  </pageFields>
  <formats count="11">
    <format dxfId="123">
      <pivotArea outline="0" collapsedLevelsAreSubtotals="1" fieldPosition="0"/>
    </format>
    <format dxfId="122">
      <pivotArea dataOnly="0" labelOnly="1" grandCol="1" outline="0" fieldPosition="0"/>
    </format>
    <format dxfId="121">
      <pivotArea dataOnly="0" labelOnly="1" fieldPosition="0">
        <references count="1">
          <reference field="18" count="1">
            <x v="0"/>
          </reference>
        </references>
      </pivotArea>
    </format>
    <format dxfId="120">
      <pivotArea dataOnly="0" labelOnly="1" fieldPosition="0">
        <references count="1">
          <reference field="18" count="1">
            <x v="1"/>
          </reference>
        </references>
      </pivotArea>
    </format>
    <format dxfId="119">
      <pivotArea dataOnly="0" labelOnly="1" fieldPosition="0">
        <references count="1">
          <reference field="18" count="1">
            <x v="3"/>
          </reference>
        </references>
      </pivotArea>
    </format>
    <format dxfId="118">
      <pivotArea dataOnly="0" labelOnly="1" fieldPosition="0">
        <references count="1">
          <reference field="18" count="1">
            <x v="3"/>
          </reference>
        </references>
      </pivotArea>
    </format>
    <format dxfId="117">
      <pivotArea outline="0" collapsedLevelsAreSubtotals="1" fieldPosition="0"/>
    </format>
    <format dxfId="116">
      <pivotArea outline="0" collapsedLevelsAreSubtotals="1" fieldPosition="0">
        <references count="1">
          <reference field="16" count="4" selected="0">
            <x v="1"/>
            <x v="2"/>
            <x v="3"/>
            <x v="4"/>
          </reference>
        </references>
      </pivotArea>
    </format>
    <format dxfId="115">
      <pivotArea dataOnly="0" labelOnly="1" fieldPosition="0">
        <references count="1">
          <reference field="16" count="4">
            <x v="1"/>
            <x v="2"/>
            <x v="3"/>
            <x v="4"/>
          </reference>
        </references>
      </pivotArea>
    </format>
    <format dxfId="114">
      <pivotArea outline="0" collapsedLevelsAreSubtotals="1" fieldPosition="0">
        <references count="1">
          <reference field="16" count="4" selected="0">
            <x v="1"/>
            <x v="2"/>
            <x v="3"/>
            <x v="4"/>
          </reference>
        </references>
      </pivotArea>
    </format>
    <format dxfId="113">
      <pivotArea dataOnly="0" labelOnly="1" fieldPosition="0">
        <references count="1">
          <reference field="16" count="4">
            <x v="1"/>
            <x v="2"/>
            <x v="3"/>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6.xml><?xml version="1.0" encoding="utf-8"?>
<pivotTableDefinition xmlns="http://schemas.openxmlformats.org/spreadsheetml/2006/main" xmlns:mc="http://schemas.openxmlformats.org/markup-compatibility/2006" xmlns:xr="http://schemas.microsoft.com/office/spreadsheetml/2014/revision" mc:Ignorable="xr" xr:uid="{CFFB7AC8-8705-4623-90E7-00FE2ADE4C42}" name="TablaDinámica16"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1:C66" firstHeaderRow="0" firstDataRow="1" firstDataCol="1" rowPageCount="4" colPageCount="1"/>
  <pivotFields count="42">
    <pivotField axis="axisPage" multipleItemSelectionAllowed="1" showAll="0">
      <items count="7">
        <item m="1" x="5"/>
        <item x="3"/>
        <item m="1" x="4"/>
        <item h="1" x="1"/>
        <item x="0"/>
        <item h="1" x="2"/>
        <item t="default"/>
      </items>
    </pivotField>
    <pivotField axis="axisPage" showAll="0">
      <items count="19">
        <item x="4"/>
        <item x="2"/>
        <item x="5"/>
        <item m="1" x="12"/>
        <item m="1" x="14"/>
        <item x="1"/>
        <item x="3"/>
        <item x="6"/>
        <item x="7"/>
        <item m="1" x="15"/>
        <item m="1" x="16"/>
        <item m="1" x="17"/>
        <item x="0"/>
        <item m="1" x="13"/>
        <item x="8"/>
        <item m="1" x="11"/>
        <item m="1" x="10"/>
        <item m="1" x="9"/>
        <item t="default"/>
      </items>
    </pivotField>
    <pivotField showAll="0"/>
    <pivotField showAll="0"/>
    <pivotField showAll="0"/>
    <pivotField showAll="0"/>
    <pivotField showAll="0"/>
    <pivotField showAll="0"/>
    <pivotField showAll="0"/>
    <pivotField axis="axisRow" showAll="0" sortType="descending">
      <items count="13">
        <item x="2"/>
        <item m="1" x="11"/>
        <item x="0"/>
        <item x="4"/>
        <item sd="0" x="3"/>
        <item sd="0" x="6"/>
        <item x="1"/>
        <item m="1" x="10"/>
        <item m="1" x="8"/>
        <item m="1" x="9"/>
        <item m="1" x="7"/>
        <item x="5"/>
        <item t="default"/>
      </items>
      <autoSortScope>
        <pivotArea dataOnly="0" outline="0" fieldPosition="0">
          <references count="1">
            <reference field="4294967294" count="1" selected="0">
              <x v="0"/>
            </reference>
          </references>
        </pivotArea>
      </autoSortScope>
    </pivotField>
    <pivotField axis="axisPage" multipleItemSelectionAllowed="1" showAll="0">
      <items count="10">
        <item h="1" x="2"/>
        <item h="1" x="4"/>
        <item h="1" x="3"/>
        <item x="0"/>
        <item h="1" x="5"/>
        <item m="1" x="8"/>
        <item h="1" x="1"/>
        <item x="6"/>
        <item h="1" m="1" x="7"/>
        <item t="default"/>
      </items>
    </pivotField>
    <pivotField showAll="0"/>
    <pivotField axis="axisRow" showAll="0" sortType="descending">
      <items count="46">
        <item x="3"/>
        <item x="13"/>
        <item x="18"/>
        <item x="2"/>
        <item x="30"/>
        <item x="27"/>
        <item x="26"/>
        <item x="29"/>
        <item m="1" x="43"/>
        <item m="1" x="40"/>
        <item x="12"/>
        <item x="8"/>
        <item x="10"/>
        <item x="9"/>
        <item m="1" x="35"/>
        <item x="11"/>
        <item x="1"/>
        <item x="22"/>
        <item m="1" x="37"/>
        <item x="6"/>
        <item x="20"/>
        <item x="24"/>
        <item m="1" x="33"/>
        <item m="1" x="36"/>
        <item x="15"/>
        <item x="19"/>
        <item x="16"/>
        <item x="32"/>
        <item x="0"/>
        <item x="25"/>
        <item x="17"/>
        <item m="1" x="42"/>
        <item m="1" x="41"/>
        <item x="21"/>
        <item x="28"/>
        <item x="23"/>
        <item m="1" x="44"/>
        <item m="1" x="38"/>
        <item m="1" x="39"/>
        <item x="14"/>
        <item m="1" x="34"/>
        <item x="4"/>
        <item x="5"/>
        <item x="7"/>
        <item x="31"/>
        <item t="default"/>
      </items>
      <autoSortScope>
        <pivotArea dataOnly="0" outline="0" fieldPosition="0">
          <references count="1">
            <reference field="4294967294" count="1" selected="0">
              <x v="0"/>
            </reference>
          </references>
        </pivotArea>
      </autoSortScope>
    </pivotField>
    <pivotField axis="axisPage" showAll="0">
      <items count="7">
        <item x="1"/>
        <item x="2"/>
        <item m="1" x="5"/>
        <item x="0"/>
        <item x="4"/>
        <item x="3"/>
        <item t="default"/>
      </items>
    </pivotField>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2">
    <field x="9"/>
    <field x="12"/>
  </rowFields>
  <rowItems count="15">
    <i>
      <x/>
    </i>
    <i r="1">
      <x v="13"/>
    </i>
    <i r="1">
      <x v="39"/>
    </i>
    <i r="1">
      <x v="41"/>
    </i>
    <i r="1">
      <x v="12"/>
    </i>
    <i r="1">
      <x v="30"/>
    </i>
    <i>
      <x v="6"/>
    </i>
    <i r="1">
      <x v="16"/>
    </i>
    <i>
      <x v="3"/>
    </i>
    <i r="1">
      <x v="13"/>
    </i>
    <i r="1">
      <x v="5"/>
    </i>
    <i r="1">
      <x v="34"/>
    </i>
    <i r="1">
      <x v="21"/>
    </i>
    <i>
      <x v="5"/>
    </i>
    <i t="grand">
      <x/>
    </i>
  </rowItems>
  <colFields count="1">
    <field x="-2"/>
  </colFields>
  <colItems count="2">
    <i>
      <x/>
    </i>
    <i i="1">
      <x v="1"/>
    </i>
  </colItems>
  <pageFields count="4">
    <pageField fld="1" item="2" hier="-1"/>
    <pageField fld="10" hier="-1"/>
    <pageField fld="0" hier="-1"/>
    <pageField fld="13" item="1" hier="-1"/>
  </pageFields>
  <dataFields count="2">
    <dataField name="Presupuesto" fld="24" baseField="0" baseItem="0" numFmtId="165"/>
    <dataField name="% Presupuesto" fld="24" showDataAs="percentOfTotal" baseField="5" baseItem="3" numFmtId="9"/>
  </dataFields>
  <formats count="5">
    <format dxfId="128">
      <pivotArea outline="0" fieldPosition="0">
        <references count="1">
          <reference field="4294967294" count="1">
            <x v="1"/>
          </reference>
        </references>
      </pivotArea>
    </format>
    <format dxfId="127">
      <pivotArea outline="0" collapsedLevelsAreSubtotals="1" fieldPosition="0">
        <references count="1">
          <reference field="4294967294" count="1" selected="0">
            <x v="0"/>
          </reference>
        </references>
      </pivotArea>
    </format>
    <format dxfId="126">
      <pivotArea grandRow="1" outline="0" collapsedLevelsAreSubtotals="1" fieldPosition="0"/>
    </format>
    <format dxfId="125">
      <pivotArea outline="0" collapsedLevelsAreSubtotals="1" fieldPosition="0">
        <references count="1">
          <reference field="4294967294" count="1" selected="0">
            <x v="1"/>
          </reference>
        </references>
      </pivotArea>
    </format>
    <format dxfId="12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7.xml><?xml version="1.0" encoding="utf-8"?>
<pivotTableDefinition xmlns="http://schemas.openxmlformats.org/spreadsheetml/2006/main" xmlns:mc="http://schemas.openxmlformats.org/markup-compatibility/2006" xmlns:xr="http://schemas.microsoft.com/office/spreadsheetml/2014/revision" mc:Ignorable="xr" xr:uid="{77814546-FC50-43DC-B9E4-0D6EDDC02A28}"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32:C38"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x="4"/>
        <item sd="0" x="2"/>
        <item x="5"/>
        <item m="1" x="12"/>
        <item m="1" x="14"/>
        <item sd="0" x="1"/>
        <item sd="0" x="3"/>
        <item x="6"/>
        <item x="7"/>
        <item m="1" x="15"/>
        <item m="1" x="16"/>
        <item m="1" x="17"/>
        <item sd="0" x="0"/>
        <item m="1" x="13"/>
        <item h="1" x="8"/>
        <item h="1" m="1" x="11"/>
        <item h="1" m="1" x="10"/>
        <item h="1" m="1" x="9"/>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h="1" x="2"/>
        <item x="4"/>
        <item h="1" x="3"/>
        <item h="1" x="0"/>
        <item h="1"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6">
    <i>
      <x v="1"/>
    </i>
    <i>
      <x v="12"/>
    </i>
    <i>
      <x v="6"/>
    </i>
    <i>
      <x v="2"/>
    </i>
    <i>
      <x v="5"/>
    </i>
    <i t="grand">
      <x/>
    </i>
  </rowItems>
  <colFields count="1">
    <field x="-2"/>
  </colFields>
  <colItems count="2">
    <i>
      <x/>
    </i>
    <i i="1">
      <x v="1"/>
    </i>
  </colItems>
  <pageFields count="2">
    <pageField fld="10" hier="-1"/>
    <pageField fld="0" hier="-1"/>
  </pageFields>
  <dataFields count="2">
    <dataField name="Suma de TOTAL" fld="24" baseField="0" baseItem="0" numFmtId="165"/>
    <dataField name="Suma de TOTAL2" fld="24" showDataAs="percentOfTotal" baseField="2" baseItem="2" numFmtId="10"/>
  </dataFields>
  <formats count="4">
    <format dxfId="75">
      <pivotArea grandRow="1" outline="0" collapsedLevelsAreSubtotals="1" fieldPosition="0"/>
    </format>
    <format dxfId="74">
      <pivotArea outline="0" collapsedLevelsAreSubtotals="1" fieldPosition="0"/>
    </format>
    <format dxfId="73">
      <pivotArea outline="0" fieldPosition="0">
        <references count="1">
          <reference field="4294967294" count="1">
            <x v="1"/>
          </reference>
        </references>
      </pivotArea>
    </format>
    <format dxfId="72">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8.xml><?xml version="1.0" encoding="utf-8"?>
<pivotTableDefinition xmlns="http://schemas.openxmlformats.org/spreadsheetml/2006/main" xmlns:mc="http://schemas.openxmlformats.org/markup-compatibility/2006" xmlns:xr="http://schemas.microsoft.com/office/spreadsheetml/2014/revision" mc:Ignorable="xr" xr:uid="{7B727BAA-275C-4556-AD72-28A769C12A96}" name="TablaDinámica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9:F24" firstHeaderRow="1" firstDataRow="2" firstDataCol="1" rowPageCount="3" colPageCount="1"/>
  <pivotFields count="42">
    <pivotField axis="axisPage" multipleItemSelectionAllowed="1" showAll="0">
      <items count="7">
        <item m="1" x="5"/>
        <item x="3"/>
        <item h="1" x="1"/>
        <item x="0"/>
        <item h="1" m="1" x="4"/>
        <item h="1" x="2"/>
        <item t="default"/>
      </items>
    </pivotField>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x="4"/>
        <item h="1" x="3"/>
        <item h="1" x="0"/>
        <item h="1" x="5"/>
        <item m="1" x="8"/>
        <item h="1" x="1"/>
        <item h="1" x="6"/>
        <item h="1"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3">
    <pageField fld="10" hier="-1"/>
    <pageField fld="1" hier="-1"/>
    <pageField fld="0" hier="-1"/>
  </pageFields>
  <dataFields count="1">
    <dataField name="Suma de TOTAL" fld="24" baseField="0" baseItem="0" numFmtId="165"/>
  </dataFields>
  <formats count="9">
    <format dxfId="84">
      <pivotArea outline="0" collapsedLevelsAreSubtotals="1" fieldPosition="0"/>
    </format>
    <format dxfId="83">
      <pivotArea dataOnly="0" labelOnly="1" grandCol="1" outline="0" fieldPosition="0"/>
    </format>
    <format dxfId="82">
      <pivotArea dataOnly="0" labelOnly="1" fieldPosition="0">
        <references count="1">
          <reference field="18" count="1">
            <x v="0"/>
          </reference>
        </references>
      </pivotArea>
    </format>
    <format dxfId="81">
      <pivotArea dataOnly="0" labelOnly="1" fieldPosition="0">
        <references count="1">
          <reference field="18" count="1">
            <x v="1"/>
          </reference>
        </references>
      </pivotArea>
    </format>
    <format dxfId="80">
      <pivotArea dataOnly="0" labelOnly="1" fieldPosition="0">
        <references count="1">
          <reference field="18" count="1">
            <x v="3"/>
          </reference>
        </references>
      </pivotArea>
    </format>
    <format dxfId="79">
      <pivotArea dataOnly="0" labelOnly="1" fieldPosition="0">
        <references count="1">
          <reference field="18" count="1">
            <x v="3"/>
          </reference>
        </references>
      </pivotArea>
    </format>
    <format dxfId="78">
      <pivotArea dataOnly="0" labelOnly="1" fieldPosition="0">
        <references count="1">
          <reference field="16" count="3">
            <x v="1"/>
            <x v="2"/>
            <x v="4"/>
          </reference>
        </references>
      </pivotArea>
    </format>
    <format dxfId="77">
      <pivotArea field="16" grandRow="1" outline="0" collapsedLevelsAreSubtotals="1" axis="axisCol" fieldPosition="0">
        <references count="1">
          <reference field="16" count="1" selected="0">
            <x v="1"/>
          </reference>
        </references>
      </pivotArea>
    </format>
    <format dxfId="7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9.xml><?xml version="1.0" encoding="utf-8"?>
<pivotTableDefinition xmlns="http://schemas.openxmlformats.org/spreadsheetml/2006/main" xmlns:mc="http://schemas.openxmlformats.org/markup-compatibility/2006" xmlns:xr="http://schemas.microsoft.com/office/spreadsheetml/2014/revision" mc:Ignorable="xr" xr:uid="{629F9359-2907-4E01-A93A-DA5DE086AE59}"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h="1" x="6"/>
        <item h="1"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1" hier="-1"/>
    <pageField fld="1" hier="-1"/>
  </pageFields>
  <formats count="7">
    <format dxfId="91">
      <pivotArea outline="0" collapsedLevelsAreSubtotals="1" fieldPosition="0"/>
    </format>
    <format dxfId="90">
      <pivotArea dataOnly="0" labelOnly="1" grandCol="1" outline="0" fieldPosition="0"/>
    </format>
    <format dxfId="89">
      <pivotArea dataOnly="0" labelOnly="1" fieldPosition="0">
        <references count="1">
          <reference field="18" count="1">
            <x v="0"/>
          </reference>
        </references>
      </pivotArea>
    </format>
    <format dxfId="88">
      <pivotArea dataOnly="0" labelOnly="1" fieldPosition="0">
        <references count="1">
          <reference field="18" count="1">
            <x v="1"/>
          </reference>
        </references>
      </pivotArea>
    </format>
    <format dxfId="87">
      <pivotArea dataOnly="0" labelOnly="1" fieldPosition="0">
        <references count="1">
          <reference field="18" count="1">
            <x v="3"/>
          </reference>
        </references>
      </pivotArea>
    </format>
    <format dxfId="86">
      <pivotArea dataOnly="0" labelOnly="1" fieldPosition="0">
        <references count="1">
          <reference field="18" count="1">
            <x v="3"/>
          </reference>
        </references>
      </pivotArea>
    </format>
    <format dxfId="85">
      <pivotArea dataOnly="0" labelOnly="1" fieldPosition="0">
        <references count="1">
          <reference field="16" count="3">
            <x v="1"/>
            <x v="2"/>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0.xml><?xml version="1.0" encoding="utf-8"?>
<pivotTableDefinition xmlns="http://schemas.openxmlformats.org/spreadsheetml/2006/main" xmlns:mc="http://schemas.openxmlformats.org/markup-compatibility/2006" xmlns:xr="http://schemas.microsoft.com/office/spreadsheetml/2014/revision" mc:Ignorable="xr" xr:uid="{400D9349-8F93-4149-8AB1-B4A12BAB018F}"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2"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sd="0" x="4"/>
        <item x="2"/>
        <item sd="0" x="5"/>
        <item sd="0" m="1" x="12"/>
        <item sd="0" m="1" x="14"/>
        <item x="1"/>
        <item sd="0" x="3"/>
        <item sd="0" x="6"/>
        <item sd="0" x="7"/>
        <item sd="0" m="1" x="15"/>
        <item sd="0" m="1" x="16"/>
        <item sd="0" m="1" x="17"/>
        <item x="0"/>
        <item sd="0" m="1" x="13"/>
        <item h="1" sd="0" x="8"/>
        <item h="1" m="1" x="11"/>
        <item h="1" m="1" x="10"/>
        <item h="1" m="1" x="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x="2"/>
        <item h="1" x="4"/>
        <item h="1" x="3"/>
        <item h="1" x="0"/>
        <item h="1"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4">
    <i>
      <x v="1"/>
    </i>
    <i>
      <x v="12"/>
    </i>
    <i>
      <x v="5"/>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51">
      <pivotArea outline="0" fieldPosition="0">
        <references count="1">
          <reference field="4294967294" count="1">
            <x v="1"/>
          </reference>
        </references>
      </pivotArea>
    </format>
    <format dxfId="50">
      <pivotArea outline="0" collapsedLevelsAreSubtotals="1" fieldPosition="0">
        <references count="1">
          <reference field="4294967294" count="1" selected="0">
            <x v="0"/>
          </reference>
        </references>
      </pivotArea>
    </format>
    <format dxfId="49">
      <pivotArea grandRow="1" outline="0" collapsedLevelsAreSubtotals="1" fieldPosition="0"/>
    </format>
    <format dxfId="48">
      <pivotArea outline="0" collapsedLevelsAreSubtotals="1" fieldPosition="0">
        <references count="1">
          <reference field="4294967294" count="1" selected="0">
            <x v="1"/>
          </reference>
        </references>
      </pivotArea>
    </format>
    <format dxfId="4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1.xml><?xml version="1.0" encoding="utf-8"?>
<pivotTableDefinition xmlns="http://schemas.openxmlformats.org/spreadsheetml/2006/main" xmlns:mc="http://schemas.openxmlformats.org/markup-compatibility/2006" xmlns:xr="http://schemas.microsoft.com/office/spreadsheetml/2014/revision" mc:Ignorable="xr" xr:uid="{073E1D93-3067-492F-8F80-10B2123BB2F2}" name="TablaDinámica8"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I4:N9"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h="1"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0" hier="-1"/>
    <pageField fld="1" hier="-1"/>
  </pageFields>
  <dataFields count="1">
    <dataField name="Suma de TOTAL" fld="24" baseField="0" baseItem="0" numFmtId="44"/>
  </dataFields>
  <formats count="12">
    <format dxfId="63">
      <pivotArea outline="0" collapsedLevelsAreSubtotals="1" fieldPosition="0"/>
    </format>
    <format dxfId="62">
      <pivotArea dataOnly="0" labelOnly="1" grandCol="1" outline="0" fieldPosition="0"/>
    </format>
    <format dxfId="61">
      <pivotArea dataOnly="0" labelOnly="1" fieldPosition="0">
        <references count="1">
          <reference field="18" count="1">
            <x v="0"/>
          </reference>
        </references>
      </pivotArea>
    </format>
    <format dxfId="60">
      <pivotArea dataOnly="0" labelOnly="1" fieldPosition="0">
        <references count="1">
          <reference field="18" count="1">
            <x v="1"/>
          </reference>
        </references>
      </pivotArea>
    </format>
    <format dxfId="59">
      <pivotArea dataOnly="0" labelOnly="1" fieldPosition="0">
        <references count="1">
          <reference field="18" count="1">
            <x v="3"/>
          </reference>
        </references>
      </pivotArea>
    </format>
    <format dxfId="58">
      <pivotArea dataOnly="0" labelOnly="1" fieldPosition="0">
        <references count="1">
          <reference field="18" count="1">
            <x v="3"/>
          </reference>
        </references>
      </pivotArea>
    </format>
    <format dxfId="57">
      <pivotArea dataOnly="0" labelOnly="1" fieldPosition="0">
        <references count="1">
          <reference field="16" count="3">
            <x v="1"/>
            <x v="2"/>
            <x v="4"/>
          </reference>
        </references>
      </pivotArea>
    </format>
    <format dxfId="56">
      <pivotArea dataOnly="0" labelOnly="1" fieldPosition="0">
        <references count="1">
          <reference field="16" count="1">
            <x v="3"/>
          </reference>
        </references>
      </pivotArea>
    </format>
    <format dxfId="55">
      <pivotArea outline="0" collapsedLevelsAreSubtotals="1" fieldPosition="0"/>
    </format>
    <format dxfId="54">
      <pivotArea grandRow="1" outline="0" collapsedLevelsAreSubtotals="1" fieldPosition="0"/>
    </format>
    <format dxfId="53">
      <pivotArea outline="0" collapsedLevelsAreSubtotals="1" fieldPosition="0"/>
    </format>
    <format dxfId="5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2.xml><?xml version="1.0" encoding="utf-8"?>
<pivotTableDefinition xmlns="http://schemas.openxmlformats.org/spreadsheetml/2006/main" xmlns:mc="http://schemas.openxmlformats.org/markup-compatibility/2006" xmlns:xr="http://schemas.microsoft.com/office/spreadsheetml/2014/revision" mc:Ignorable="xr" xr:uid="{B6A5E099-84FB-4B9B-A670-68A089FF9E7E}"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h="1"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0" hier="-1"/>
    <pageField fld="1" hier="-1"/>
  </pageFields>
  <formats count="8">
    <format dxfId="71">
      <pivotArea outline="0" collapsedLevelsAreSubtotals="1" fieldPosition="0"/>
    </format>
    <format dxfId="70">
      <pivotArea dataOnly="0" labelOnly="1" grandCol="1" outline="0" fieldPosition="0"/>
    </format>
    <format dxfId="69">
      <pivotArea dataOnly="0" labelOnly="1" fieldPosition="0">
        <references count="1">
          <reference field="18" count="1">
            <x v="0"/>
          </reference>
        </references>
      </pivotArea>
    </format>
    <format dxfId="68">
      <pivotArea dataOnly="0" labelOnly="1" fieldPosition="0">
        <references count="1">
          <reference field="18" count="1">
            <x v="1"/>
          </reference>
        </references>
      </pivotArea>
    </format>
    <format dxfId="67">
      <pivotArea dataOnly="0" labelOnly="1" fieldPosition="0">
        <references count="1">
          <reference field="18" count="1">
            <x v="3"/>
          </reference>
        </references>
      </pivotArea>
    </format>
    <format dxfId="66">
      <pivotArea dataOnly="0" labelOnly="1" fieldPosition="0">
        <references count="1">
          <reference field="18" count="1">
            <x v="3"/>
          </reference>
        </references>
      </pivotArea>
    </format>
    <format dxfId="65">
      <pivotArea dataOnly="0" labelOnly="1" fieldPosition="0">
        <references count="1">
          <reference field="16" count="3">
            <x v="1"/>
            <x v="2"/>
            <x v="4"/>
          </reference>
        </references>
      </pivotArea>
    </format>
    <format dxfId="64">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3.xml><?xml version="1.0" encoding="utf-8"?>
<pivotTableDefinition xmlns="http://schemas.openxmlformats.org/spreadsheetml/2006/main" xmlns:mc="http://schemas.openxmlformats.org/markup-compatibility/2006" xmlns:xr="http://schemas.microsoft.com/office/spreadsheetml/2014/revision" mc:Ignorable="xr" xr:uid="{490AE5A3-2CF0-42E4-8805-11464BE7816F}" name="TablaDinámica13"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I5:N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4" hier="-1"/>
    <pageField fld="1" hier="-1"/>
  </pageFields>
  <dataFields count="1">
    <dataField name="Suma de TOTAL" fld="24" baseField="0" baseItem="0"/>
  </dataFields>
  <formats count="9">
    <format dxfId="33">
      <pivotArea outline="0" collapsedLevelsAreSubtotals="1" fieldPosition="0"/>
    </format>
    <format dxfId="32">
      <pivotArea dataOnly="0" labelOnly="1" grandCol="1" outline="0" fieldPosition="0"/>
    </format>
    <format dxfId="31">
      <pivotArea dataOnly="0" labelOnly="1" fieldPosition="0">
        <references count="1">
          <reference field="18" count="1">
            <x v="0"/>
          </reference>
        </references>
      </pivotArea>
    </format>
    <format dxfId="30">
      <pivotArea dataOnly="0" labelOnly="1" fieldPosition="0">
        <references count="1">
          <reference field="18" count="1">
            <x v="1"/>
          </reference>
        </references>
      </pivotArea>
    </format>
    <format dxfId="29">
      <pivotArea dataOnly="0" labelOnly="1" fieldPosition="0">
        <references count="1">
          <reference field="18" count="1">
            <x v="3"/>
          </reference>
        </references>
      </pivotArea>
    </format>
    <format dxfId="28">
      <pivotArea dataOnly="0" labelOnly="1" fieldPosition="0">
        <references count="1">
          <reference field="18" count="1">
            <x v="3"/>
          </reference>
        </references>
      </pivotArea>
    </format>
    <format dxfId="27">
      <pivotArea dataOnly="0" labelOnly="1" fieldPosition="0">
        <references count="1">
          <reference field="16" count="3">
            <x v="1"/>
            <x v="2"/>
            <x v="4"/>
          </reference>
        </references>
      </pivotArea>
    </format>
    <format dxfId="26">
      <pivotArea dataOnly="0" labelOnly="1" fieldPosition="0">
        <references count="1">
          <reference field="16" count="1">
            <x v="3"/>
          </reference>
        </references>
      </pivotArea>
    </format>
    <format dxfId="2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4.xml><?xml version="1.0" encoding="utf-8"?>
<pivotTableDefinition xmlns="http://schemas.openxmlformats.org/spreadsheetml/2006/main" xmlns:mc="http://schemas.openxmlformats.org/markup-compatibility/2006" xmlns:xr="http://schemas.microsoft.com/office/spreadsheetml/2014/revision" mc:Ignorable="xr" xr:uid="{2665975D-71DD-4620-A92B-54746B6B2C0E}"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5:F10"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4" hier="-1"/>
    <pageField fld="1" hier="-1"/>
  </pageFields>
  <formats count="8">
    <format dxfId="41">
      <pivotArea outline="0" collapsedLevelsAreSubtotals="1" fieldPosition="0"/>
    </format>
    <format dxfId="40">
      <pivotArea dataOnly="0" labelOnly="1" grandCol="1" outline="0" fieldPosition="0"/>
    </format>
    <format dxfId="39">
      <pivotArea dataOnly="0" labelOnly="1" fieldPosition="0">
        <references count="1">
          <reference field="18" count="1">
            <x v="0"/>
          </reference>
        </references>
      </pivotArea>
    </format>
    <format dxfId="38">
      <pivotArea dataOnly="0" labelOnly="1" fieldPosition="0">
        <references count="1">
          <reference field="18" count="1">
            <x v="1"/>
          </reference>
        </references>
      </pivotArea>
    </format>
    <format dxfId="37">
      <pivotArea dataOnly="0" labelOnly="1" fieldPosition="0">
        <references count="1">
          <reference field="18" count="1">
            <x v="3"/>
          </reference>
        </references>
      </pivotArea>
    </format>
    <format dxfId="36">
      <pivotArea dataOnly="0" labelOnly="1" fieldPosition="0">
        <references count="1">
          <reference field="18" count="1">
            <x v="3"/>
          </reference>
        </references>
      </pivotArea>
    </format>
    <format dxfId="35">
      <pivotArea dataOnly="0" labelOnly="1" fieldPosition="0">
        <references count="1">
          <reference field="16" count="3">
            <x v="1"/>
            <x v="2"/>
            <x v="4"/>
          </reference>
        </references>
      </pivotArea>
    </format>
    <format dxfId="34">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5.xml><?xml version="1.0" encoding="utf-8"?>
<pivotTableDefinition xmlns="http://schemas.openxmlformats.org/spreadsheetml/2006/main" xmlns:mc="http://schemas.openxmlformats.org/markup-compatibility/2006" xmlns:xr="http://schemas.microsoft.com/office/spreadsheetml/2014/revision" mc:Ignorable="xr" xr:uid="{FE1C189B-78C3-48FE-82CB-0622EC617536}"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1"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items count="19">
        <item h="1" x="4"/>
        <item x="2"/>
        <item x="5"/>
        <item m="1" x="12"/>
        <item m="1" x="14"/>
        <item sd="0" x="1"/>
        <item x="3"/>
        <item x="6"/>
        <item x="7"/>
        <item m="1" x="15"/>
        <item m="1" x="16"/>
        <item m="1" x="17"/>
        <item sd="0"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multipleItemSelectionAllowed="1" showAll="0">
      <items count="10">
        <item h="1" x="2"/>
        <item h="1" x="4"/>
        <item h="1" x="3"/>
        <item h="1" x="0"/>
        <item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3">
    <i>
      <x v="5"/>
    </i>
    <i>
      <x v="12"/>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46">
      <pivotArea outline="0" fieldPosition="0">
        <references count="1">
          <reference field="4294967294" count="1">
            <x v="1"/>
          </reference>
        </references>
      </pivotArea>
    </format>
    <format dxfId="45">
      <pivotArea outline="0" collapsedLevelsAreSubtotals="1" fieldPosition="0">
        <references count="1">
          <reference field="4294967294" count="1" selected="0">
            <x v="0"/>
          </reference>
        </references>
      </pivotArea>
    </format>
    <format dxfId="44">
      <pivotArea grandRow="1" outline="0" collapsedLevelsAreSubtotals="1" fieldPosition="0"/>
    </format>
    <format dxfId="43">
      <pivotArea outline="0" collapsedLevelsAreSubtotals="1" fieldPosition="0">
        <references count="1">
          <reference field="4294967294" count="1" selected="0">
            <x v="1"/>
          </reference>
        </references>
      </pivotArea>
    </format>
    <format dxfId="4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6.xml><?xml version="1.0" encoding="utf-8"?>
<pivotTableDefinition xmlns="http://schemas.openxmlformats.org/spreadsheetml/2006/main" xmlns:mc="http://schemas.openxmlformats.org/markup-compatibility/2006" xmlns:xr="http://schemas.microsoft.com/office/spreadsheetml/2014/revision" mc:Ignorable="xr" xr:uid="{357981E2-AF04-4791-8391-8B729DA5497C}" name="TablaDinámica7"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I6:N11" firstHeaderRow="1" firstDataRow="2" firstDataCol="1" rowPageCount="3" colPageCount="1"/>
  <pivotFields count="42">
    <pivotField axis="axisPage" multipleItemSelectionAllowed="1" showAll="0">
      <items count="7">
        <item m="1" x="5"/>
        <item x="3"/>
        <item x="1"/>
        <item x="0"/>
        <item m="1" x="4"/>
        <item x="2"/>
        <item t="default"/>
      </items>
    </pivotField>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3">
    <pageField fld="0" hier="-1"/>
    <pageField fld="10" item="2" hier="-1"/>
    <pageField fld="1" hier="-1"/>
  </pageFields>
  <dataFields count="1">
    <dataField name="Suma de TOTAL" fld="24" baseField="0" baseItem="0" numFmtId="165"/>
  </dataFields>
  <formats count="12">
    <format dxfId="11">
      <pivotArea outline="0" collapsedLevelsAreSubtotals="1" fieldPosition="0"/>
    </format>
    <format dxfId="10">
      <pivotArea dataOnly="0" labelOnly="1" fieldPosition="0">
        <references count="1">
          <reference field="18" count="1">
            <x v="0"/>
          </reference>
        </references>
      </pivotArea>
    </format>
    <format dxfId="9">
      <pivotArea dataOnly="0" labelOnly="1" fieldPosition="0">
        <references count="1">
          <reference field="18" count="1">
            <x v="1"/>
          </reference>
        </references>
      </pivotArea>
    </format>
    <format dxfId="8">
      <pivotArea dataOnly="0" labelOnly="1" fieldPosition="0">
        <references count="1">
          <reference field="18" count="1">
            <x v="3"/>
          </reference>
        </references>
      </pivotArea>
    </format>
    <format dxfId="7">
      <pivotArea dataOnly="0" labelOnly="1" fieldPosition="0">
        <references count="1">
          <reference field="18" count="1">
            <x v="3"/>
          </reference>
        </references>
      </pivotArea>
    </format>
    <format dxfId="6">
      <pivotArea outline="0" collapsedLevelsAreSubtotals="1" fieldPosition="0"/>
    </format>
    <format dxfId="5">
      <pivotArea outline="0" collapsedLevelsAreSubtotals="1" fieldPosition="0"/>
    </format>
    <format dxfId="4">
      <pivotArea dataOnly="0" labelOnly="1" fieldPosition="0">
        <references count="1">
          <reference field="16" count="4">
            <x v="1"/>
            <x v="2"/>
            <x v="3"/>
            <x v="4"/>
          </reference>
        </references>
      </pivotArea>
    </format>
    <format dxfId="3">
      <pivotArea dataOnly="0" labelOnly="1" grandCol="1" outline="0" fieldPosition="0"/>
    </format>
    <format dxfId="2">
      <pivotArea outline="0" collapsedLevelsAreSubtotals="1" fieldPosition="0"/>
    </format>
    <format dxfId="1">
      <pivotArea dataOnly="0" labelOnly="1" fieldPosition="0">
        <references count="1">
          <reference field="16" count="4">
            <x v="1"/>
            <x v="2"/>
            <x v="3"/>
            <x v="4"/>
          </reference>
        </references>
      </pivotArea>
    </format>
    <format dxfId="0">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7.xml><?xml version="1.0" encoding="utf-8"?>
<pivotTableDefinition xmlns="http://schemas.openxmlformats.org/spreadsheetml/2006/main" xmlns:mc="http://schemas.openxmlformats.org/markup-compatibility/2006" xmlns:xr="http://schemas.microsoft.com/office/spreadsheetml/2014/revision" mc:Ignorable="xr" xr:uid="{A7ADA15A-C5E7-4B5E-B13D-ED883CB37236}" name="TablaDinámica11"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18:C23" firstHeaderRow="0" firstDataRow="1" firstDataCol="1" rowPageCount="2" colPageCount="1"/>
  <pivotFields count="42">
    <pivotField axis="axisPage" multipleItemSelectionAllowed="1" showAll="0">
      <items count="7">
        <item h="1" m="1" x="5"/>
        <item x="3"/>
        <item x="1"/>
        <item x="0"/>
        <item h="1" m="1" x="4"/>
        <item h="1" x="2"/>
        <item t="default"/>
      </items>
    </pivotField>
    <pivotField axis="axisRow" multipleItemSelectionAllowed="1" showAll="0" sortType="descending">
      <items count="19">
        <item h="1" sd="0" x="4"/>
        <item sd="0" x="2"/>
        <item sd="0" x="5"/>
        <item sd="0" m="1" x="12"/>
        <item sd="0" m="1" x="14"/>
        <item sd="0" x="1"/>
        <item sd="0" x="3"/>
        <item sd="0" x="6"/>
        <item sd="0" x="7"/>
        <item sd="0" m="1" x="15"/>
        <item sd="0" m="1" x="16"/>
        <item sd="0" m="1" x="17"/>
        <item sd="0" x="0"/>
        <item h="1" sd="0" m="1" x="13"/>
        <item h="1" sd="0" x="8"/>
        <item h="1" m="1" x="11"/>
        <item h="1" m="1" x="10"/>
        <item h="1" m="1" x="9"/>
        <item t="default" sd="0"/>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axis="axisPage" multipleItemSelectionAllowed="1" showAll="0">
      <items count="10">
        <item h="1" x="2"/>
        <item h="1" x="4"/>
        <item x="3"/>
        <item h="1" x="0"/>
        <item h="1" x="5"/>
        <item h="1" m="1" x="8"/>
        <item h="1" x="1"/>
        <item h="1" x="6"/>
        <item h="1" m="1" x="7"/>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
  </rowFields>
  <rowItems count="5">
    <i>
      <x v="1"/>
    </i>
    <i>
      <x v="12"/>
    </i>
    <i>
      <x v="2"/>
    </i>
    <i>
      <x v="5"/>
    </i>
    <i t="grand">
      <x/>
    </i>
  </rowItems>
  <colFields count="1">
    <field x="-2"/>
  </colFields>
  <colItems count="2">
    <i>
      <x/>
    </i>
    <i i="1">
      <x v="1"/>
    </i>
  </colItems>
  <pageFields count="2">
    <pageField fld="0" hier="-1"/>
    <pageField fld="10" hier="-1"/>
  </pageFields>
  <dataFields count="2">
    <dataField name="Presupuesto" fld="24" baseField="0" baseItem="0" numFmtId="165"/>
    <dataField name="% Presupuesto" fld="24" showDataAs="percentOfTotal" baseField="5" baseItem="3" numFmtId="9"/>
  </dataFields>
  <formats count="5">
    <format dxfId="16">
      <pivotArea outline="0" fieldPosition="0">
        <references count="1">
          <reference field="4294967294" count="1">
            <x v="1"/>
          </reference>
        </references>
      </pivotArea>
    </format>
    <format dxfId="15">
      <pivotArea outline="0" collapsedLevelsAreSubtotals="1" fieldPosition="0">
        <references count="1">
          <reference field="4294967294" count="1" selected="0">
            <x v="0"/>
          </reference>
        </references>
      </pivotArea>
    </format>
    <format dxfId="14">
      <pivotArea grandRow="1" outline="0" collapsedLevelsAreSubtotals="1" fieldPosition="0"/>
    </format>
    <format dxfId="13">
      <pivotArea outline="0" collapsedLevelsAreSubtotals="1" fieldPosition="0">
        <references count="1">
          <reference field="4294967294" count="1" selected="0">
            <x v="1"/>
          </reference>
        </references>
      </pivotArea>
    </format>
    <format dxfId="1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8.xml><?xml version="1.0" encoding="utf-8"?>
<pivotTableDefinition xmlns="http://schemas.openxmlformats.org/spreadsheetml/2006/main" xmlns:mc="http://schemas.openxmlformats.org/markup-compatibility/2006" xmlns:xr="http://schemas.microsoft.com/office/spreadsheetml/2014/revision" mc:Ignorable="xr" xr:uid="{995F2C5A-A1A1-4801-8C54-105307F67798}" name="TablaDinámica10" cacheId="1" applyNumberFormats="0" applyBorderFormats="0" applyFontFormats="0" applyPatternFormats="0" applyAlignmentFormats="0" applyWidthHeightFormats="1" dataCaption="Valores" updatedVersion="8" minRefreshableVersion="3" useAutoFormatting="1" itemPrintTitles="1" createdVersion="8" indent="0" outline="1" outlineData="1" multipleFieldFilters="0">
  <location ref="A6:F11" firstHeaderRow="1" firstDataRow="2" firstDataCol="1" rowPageCount="2" colPageCount="1"/>
  <pivotFields count="42">
    <pivotField showAll="0"/>
    <pivotField axis="axisPage" multipleItemSelectionAllowed="1" showAll="0">
      <items count="19">
        <item h="1" x="4"/>
        <item x="2"/>
        <item x="5"/>
        <item m="1" x="12"/>
        <item m="1" x="14"/>
        <item x="1"/>
        <item x="3"/>
        <item x="6"/>
        <item x="7"/>
        <item m="1" x="15"/>
        <item m="1" x="16"/>
        <item m="1" x="17"/>
        <item x="0"/>
        <item h="1" m="1" x="13"/>
        <item h="1" x="8"/>
        <item h="1" m="1" x="11"/>
        <item h="1" m="1" x="10"/>
        <item h="1" m="1" x="9"/>
        <item t="default"/>
      </items>
    </pivotField>
    <pivotField showAll="0"/>
    <pivotField showAll="0"/>
    <pivotField showAll="0"/>
    <pivotField showAll="0"/>
    <pivotField showAll="0"/>
    <pivotField showAll="0"/>
    <pivotField showAll="0"/>
    <pivotField showAll="0"/>
    <pivotField axis="axisPage" showAll="0">
      <items count="10">
        <item x="2"/>
        <item x="4"/>
        <item x="3"/>
        <item x="0"/>
        <item x="5"/>
        <item m="1" x="8"/>
        <item x="1"/>
        <item x="6"/>
        <item m="1" x="7"/>
        <item t="default"/>
      </items>
    </pivotField>
    <pivotField showAll="0"/>
    <pivotField showAll="0"/>
    <pivotField showAll="0"/>
    <pivotField showAll="0"/>
    <pivotField showAll="0"/>
    <pivotField axis="axisCol" showAll="0">
      <items count="7">
        <item m="1" x="5"/>
        <item x="1"/>
        <item x="2"/>
        <item x="0"/>
        <item x="3"/>
        <item x="4"/>
        <item t="default"/>
      </items>
    </pivotField>
    <pivotField showAll="0"/>
    <pivotField axis="axisRow" showAll="0">
      <items count="10">
        <item m="1" x="6"/>
        <item x="1"/>
        <item m="1" x="5"/>
        <item m="1" x="4"/>
        <item m="1" x="8"/>
        <item x="3"/>
        <item m="1" x="7"/>
        <item x="2"/>
        <item x="0"/>
        <item t="default"/>
      </items>
    </pivotField>
    <pivotField showAll="0"/>
    <pivotField showAll="0"/>
    <pivotField showAll="0"/>
    <pivotField showAll="0"/>
    <pivotField showAll="0"/>
    <pivotField showAll="0"/>
    <pivotField showAll="0"/>
    <pivotField showAll="0"/>
    <pivotField showAll="0"/>
    <pivotField showAll="0"/>
    <pivotField numFmtId="2" showAll="0"/>
    <pivotField showAll="0"/>
    <pivotField showAll="0"/>
    <pivotField showAll="0"/>
    <pivotField showAll="0"/>
    <pivotField showAll="0"/>
    <pivotField showAll="0"/>
    <pivotField showAll="0"/>
    <pivotField showAll="0"/>
    <pivotField numFmtId="2" showAll="0"/>
    <pivotField showAll="0"/>
    <pivotField showAll="0"/>
    <pivotField showAll="0"/>
  </pivotFields>
  <rowFields count="1">
    <field x="18"/>
  </rowFields>
  <rowItems count="4">
    <i>
      <x v="1"/>
    </i>
    <i>
      <x v="7"/>
    </i>
    <i>
      <x v="8"/>
    </i>
    <i t="grand">
      <x/>
    </i>
  </rowItems>
  <colFields count="1">
    <field x="16"/>
  </colFields>
  <colItems count="5">
    <i>
      <x v="1"/>
    </i>
    <i>
      <x v="2"/>
    </i>
    <i>
      <x v="3"/>
    </i>
    <i>
      <x v="4"/>
    </i>
    <i t="grand">
      <x/>
    </i>
  </colItems>
  <pageFields count="2">
    <pageField fld="10" item="2" hier="-1"/>
    <pageField fld="1" hier="-1"/>
  </pageFields>
  <formats count="8">
    <format dxfId="24">
      <pivotArea outline="0" collapsedLevelsAreSubtotals="1" fieldPosition="0"/>
    </format>
    <format dxfId="23">
      <pivotArea dataOnly="0" labelOnly="1" grandCol="1" outline="0" fieldPosition="0"/>
    </format>
    <format dxfId="22">
      <pivotArea dataOnly="0" labelOnly="1" fieldPosition="0">
        <references count="1">
          <reference field="18" count="1">
            <x v="0"/>
          </reference>
        </references>
      </pivotArea>
    </format>
    <format dxfId="21">
      <pivotArea dataOnly="0" labelOnly="1" fieldPosition="0">
        <references count="1">
          <reference field="18" count="1">
            <x v="1"/>
          </reference>
        </references>
      </pivotArea>
    </format>
    <format dxfId="20">
      <pivotArea dataOnly="0" labelOnly="1" fieldPosition="0">
        <references count="1">
          <reference field="18" count="1">
            <x v="3"/>
          </reference>
        </references>
      </pivotArea>
    </format>
    <format dxfId="19">
      <pivotArea dataOnly="0" labelOnly="1" fieldPosition="0">
        <references count="1">
          <reference field="18" count="1">
            <x v="3"/>
          </reference>
        </references>
      </pivotArea>
    </format>
    <format dxfId="18">
      <pivotArea dataOnly="0" labelOnly="1" fieldPosition="0">
        <references count="1">
          <reference field="16" count="3">
            <x v="1"/>
            <x v="2"/>
            <x v="4"/>
          </reference>
        </references>
      </pivotArea>
    </format>
    <format dxfId="17">
      <pivotArea dataOnly="0" labelOnly="1" fieldPosition="0">
        <references count="1">
          <reference field="16"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2)" backgroundRefresh="0" connectionId="1" xr16:uid="{00000000-0016-0000-0200-000000000000}" autoFormatId="16" applyNumberFormats="0" applyBorderFormats="0" applyFontFormats="0" applyPatternFormats="0" applyAlignmentFormats="0" applyWidthHeightFormats="0">
  <queryTableRefresh nextId="68" unboundColumnsRight="30">
    <queryTableFields count="48">
      <queryTableField id="12" name="Año" tableColumnId="1"/>
      <queryTableField id="3" name="Producto" tableColumnId="2"/>
      <queryTableField id="53" dataBound="0" tableColumnId="40"/>
      <queryTableField id="1" name="Título" tableColumnId="3"/>
      <queryTableField id="54" dataBound="0" tableColumnId="41"/>
      <queryTableField id="2" name="Descripción" tableColumnId="4"/>
      <queryTableField id="50" dataBound="0" tableColumnId="23"/>
      <queryTableField id="52" dataBound="0" tableColumnId="38"/>
      <queryTableField id="35" dataBound="0" tableColumnId="32"/>
      <queryTableField id="9" name="Cliente" tableColumnId="6"/>
      <queryTableField id="62" dataBound="0" tableColumnId="46"/>
      <queryTableField id="63" dataBound="0" tableColumnId="47"/>
      <queryTableField id="10" name="País" tableColumnId="7"/>
      <queryTableField id="11" name="Contacto" tableColumnId="8"/>
      <queryTableField id="61" dataBound="0" tableColumnId="36"/>
      <queryTableField id="15" dataBound="0" tableColumnId="15"/>
      <queryTableField id="5" name="Aprobación" tableColumnId="9"/>
      <queryTableField id="4" name="Progreso" tableColumnId="10"/>
      <queryTableField id="17" dataBound="0" tableColumnId="17"/>
      <queryTableField id="18" dataBound="0" tableColumnId="18"/>
      <queryTableField id="19" dataBound="0" tableColumnId="19"/>
      <queryTableField id="20" dataBound="0" tableColumnId="20"/>
      <queryTableField id="47" dataBound="0" tableColumnId="5"/>
      <queryTableField id="21" dataBound="0" tableColumnId="13"/>
      <queryTableField id="64" dataBound="0" tableColumnId="42"/>
      <queryTableField id="65" dataBound="0" tableColumnId="48"/>
      <queryTableField id="23" dataBound="0" tableColumnId="21"/>
      <queryTableField id="22" dataBound="0" tableColumnId="14"/>
      <queryTableField id="45" dataBound="0" tableColumnId="37"/>
      <queryTableField id="24" dataBound="0" tableColumnId="22"/>
      <queryTableField id="27" dataBound="0" tableColumnId="25"/>
      <queryTableField id="46" dataBound="0" tableColumnId="39"/>
      <queryTableField id="60" dataBound="0" tableColumnId="12"/>
      <queryTableField id="28" dataBound="0" tableColumnId="26"/>
      <queryTableField id="29" dataBound="0" tableColumnId="27"/>
      <queryTableField id="36" dataBound="0" tableColumnId="33"/>
      <queryTableField id="30" dataBound="0" tableColumnId="28"/>
      <queryTableField id="31" dataBound="0" tableColumnId="29"/>
      <queryTableField id="37" dataBound="0" tableColumnId="34"/>
      <queryTableField id="26" dataBound="0" tableColumnId="24"/>
      <queryTableField id="32" dataBound="0" tableColumnId="30"/>
      <queryTableField id="57" dataBound="0" tableColumnId="44"/>
      <queryTableField id="56" dataBound="0" tableColumnId="43"/>
      <queryTableField id="58" dataBound="0" tableColumnId="45"/>
      <queryTableField id="38" dataBound="0" tableColumnId="35"/>
      <queryTableField id="33" dataBound="0" tableColumnId="31"/>
      <queryTableField id="42" dataBound="0" tableColumnId="16"/>
      <queryTableField id="48" dataBound="0" tableColumnId="11"/>
    </queryTableFields>
    <queryTableDeletedFields count="5">
      <deletedField name="Tipo de elemento"/>
      <deletedField name="Ruta de acceso"/>
      <deletedField name="Fecha de inicio"/>
      <deletedField name="Fecha de vencimiento"/>
      <deletedField name="Perspectiv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query__2" displayName="Tabla_query__2" ref="A1:AV442" tableType="queryTable" totalsRowShown="0">
  <autoFilter ref="A1:AV442" xr:uid="{00000000-000C-0000-FFFF-FFFF00000000}"/>
  <sortState xmlns:xlrd2="http://schemas.microsoft.com/office/spreadsheetml/2017/richdata2" ref="A2:AV442">
    <sortCondition ref="O1:O442"/>
  </sortState>
  <tableColumns count="48">
    <tableColumn id="1" xr3:uid="{00000000-0010-0000-0000-000001000000}" uniqueName="1" name="Año" queryTableFieldId="12" dataDxfId="544" totalsRowDxfId="543"/>
    <tableColumn id="2" xr3:uid="{00000000-0010-0000-0000-000002000000}" uniqueName="2" name="Producto" queryTableFieldId="3" dataDxfId="542" totalsRowDxfId="541"/>
    <tableColumn id="40" xr3:uid="{6E0C44FB-8A55-4458-A093-CB71F6130B44}" uniqueName="40" name="Proyecto" queryTableFieldId="53" dataDxfId="540" totalsRowDxfId="539"/>
    <tableColumn id="3" xr3:uid="{00000000-0010-0000-0000-000003000000}" uniqueName="3" name="Requerimiento" queryTableFieldId="1" dataDxfId="538" totalsRowDxfId="537"/>
    <tableColumn id="41" xr3:uid="{6BE0B421-F961-4F10-972C-51359D37A2C8}" uniqueName="41" name="Dependencia" queryTableFieldId="54" dataDxfId="536" totalsRowDxfId="535"/>
    <tableColumn id="4" xr3:uid="{00000000-0010-0000-0000-000004000000}" uniqueName="4" name="Descripción" queryTableFieldId="2" dataDxfId="534" totalsRowDxfId="533"/>
    <tableColumn id="23" xr3:uid="{97B88578-F326-4D34-BE8B-66EF38E57DCB}" uniqueName="23" name="Prioridad" queryTableFieldId="50" dataDxfId="532" totalsRowDxfId="531"/>
    <tableColumn id="38" xr3:uid="{C2CF2844-A86B-40EE-8F09-BA1BF8C7782D}" uniqueName="38" name="ALCANCE" queryTableFieldId="52" dataDxfId="530" totalsRowDxfId="529"/>
    <tableColumn id="32" xr3:uid="{7BD5DC34-832F-4BB3-A969-B18CE299D75D}" uniqueName="32" name="Proyecto Contable" queryTableFieldId="35" dataDxfId="528" totalsRowDxfId="527"/>
    <tableColumn id="6" xr3:uid="{00000000-0010-0000-0000-000006000000}" uniqueName="6" name="Frente" queryTableFieldId="9" dataDxfId="526" totalsRowDxfId="525"/>
    <tableColumn id="46" xr3:uid="{E8002655-EEF0-43BC-9A23-8644A250234B}" uniqueName="46" name="Features" queryTableFieldId="62" dataDxfId="524" totalsRowDxfId="523"/>
    <tableColumn id="47" xr3:uid="{2787509C-DE10-4D44-98DD-7C3E2A377E08}" uniqueName="47" name="HU" queryTableFieldId="63" dataDxfId="522" totalsRowDxfId="521"/>
    <tableColumn id="7" xr3:uid="{00000000-0010-0000-0000-000007000000}" uniqueName="7" name="País" queryTableFieldId="10" dataDxfId="520" totalsRowDxfId="519"/>
    <tableColumn id="8" xr3:uid="{00000000-0010-0000-0000-000008000000}" uniqueName="8" name="Contacto" queryTableFieldId="11" dataDxfId="518" totalsRowDxfId="517"/>
    <tableColumn id="36" xr3:uid="{E7706CE7-7F44-41F0-BC3D-4C259201895D}" uniqueName="36" name="Correo Electrónico" queryTableFieldId="61" dataDxfId="516" totalsRowDxfId="515"/>
    <tableColumn id="15" xr3:uid="{00000000-0010-0000-0000-00000F000000}" uniqueName="15" name="Área" queryTableFieldId="15" dataDxfId="514" totalsRowDxfId="513"/>
    <tableColumn id="9" xr3:uid="{00000000-0010-0000-0000-000009000000}" uniqueName="9" name="Aprobación" queryTableFieldId="5" dataDxfId="512" totalsRowDxfId="511"/>
    <tableColumn id="10" xr3:uid="{00000000-0010-0000-0000-00000A000000}" uniqueName="10" name="Progreso" queryTableFieldId="4" dataDxfId="510" totalsRowDxfId="509"/>
    <tableColumn id="17" xr3:uid="{00000000-0010-0000-0000-000011000000}" uniqueName="17" name="Prioridad Cliente" queryTableFieldId="17" dataDxfId="508" totalsRowDxfId="507"/>
    <tableColumn id="18" xr3:uid="{00000000-0010-0000-0000-000012000000}" uniqueName="18" name="Prioridad_x000a_PO" queryTableFieldId="18" dataDxfId="506" totalsRowDxfId="505"/>
    <tableColumn id="19" xr3:uid="{00000000-0010-0000-0000-000013000000}" uniqueName="19" name="Dependencia " queryTableFieldId="19" dataDxfId="504" totalsRowDxfId="503"/>
    <tableColumn id="20" xr3:uid="{00000000-0010-0000-0000-000014000000}" uniqueName="20" name="Complejidad" queryTableFieldId="20" dataDxfId="502" totalsRowDxfId="501"/>
    <tableColumn id="5" xr3:uid="{E6571F35-A6D6-4207-A264-BE9ABFD51058}" uniqueName="5" name="Factor País" queryTableFieldId="47" dataDxfId="500" totalsRowDxfId="499"/>
    <tableColumn id="13" xr3:uid="{C77DCECC-247F-4F26-A7D2-7CF91A638DE4}" uniqueName="13" name="Número_x000a_Semanas" queryTableFieldId="21" dataDxfId="498" totalsRowDxfId="497"/>
    <tableColumn id="42" xr3:uid="{7186E491-BE67-484B-9196-DE3A74A910AC}" uniqueName="42" name="Número de Horas" queryTableFieldId="64" dataDxfId="496">
      <calculatedColumnFormula>Tabla_query__2[[#This Row],[Número
Semanas]]*5*8</calculatedColumnFormula>
    </tableColumn>
    <tableColumn id="48" xr3:uid="{1D2178BF-73C5-4A80-A9F9-A9A639801EE1}" uniqueName="48" name="Costo por Hora" queryTableFieldId="65" dataDxfId="495">
      <calculatedColumnFormula>Tabla_query__2[[#This Row],[TOTAL]]/Tabla_query__2[[#This Row],[Número de Horas]]/2</calculatedColumnFormula>
    </tableColumn>
    <tableColumn id="21" xr3:uid="{9C663B08-F906-4CC8-A32D-5B01546107E2}" uniqueName="21" name="Número_x000a_Personas" queryTableFieldId="23" dataDxfId="494" totalsRowDxfId="493"/>
    <tableColumn id="14" xr3:uid="{7170276F-82F2-4BB6-A25C-E3FCEEE589CC}" uniqueName="14" name="Costo_x000a_Mano Obra/semana" queryTableFieldId="22" dataDxfId="492" totalsRowDxfId="491"/>
    <tableColumn id="37" xr3:uid="{2B0D7794-0F30-4F8E-8E10-AC47C4F901E9}" uniqueName="37" name="Otros _x000a_Costos" queryTableFieldId="45" dataDxfId="490" totalsRowDxfId="489"/>
    <tableColumn id="22" xr3:uid="{A86CB582-9EB4-42E1-8983-A6AC3A1DE7C3}" uniqueName="22" name="TOTAL" queryTableFieldId="24" dataDxfId="488" totalsRowDxfId="487">
      <calculatedColumnFormula>Tabla_query__2[[#This Row],[Número
Semanas]]*Tabla_query__2[[#This Row],[Número
Personas]]*Tabla_query__2[[#This Row],[Costo
Mano Obra/semana]] + 640</calculatedColumnFormula>
    </tableColumn>
    <tableColumn id="25" xr3:uid="{13A5D96E-128A-43DD-A7A4-2D2E995746F6}" uniqueName="25" name="Costos _x000a_Recurrente" queryTableFieldId="27" dataDxfId="486" totalsRowDxfId="485"/>
    <tableColumn id="39" xr3:uid="{C5DFA48B-4952-4F84-A57E-60A4D604123B}" uniqueName="39" name="ROI" queryTableFieldId="46" dataDxfId="484" totalsRowDxfId="483"/>
    <tableColumn id="12" xr3:uid="{72C54DB5-76B5-4107-A5C5-66AF58F1E3D4}" uniqueName="12" name="Sprint" queryTableFieldId="60" dataDxfId="482" totalsRowDxfId="481"/>
    <tableColumn id="26" xr3:uid="{EA9816EC-5955-413B-B491-C18AEB2AC440}" uniqueName="26" name="InicioDes" queryTableFieldId="28" dataDxfId="480" totalsRowDxfId="479"/>
    <tableColumn id="27" xr3:uid="{5582A845-7897-495C-9AED-51B1B28FD13A}" uniqueName="27" name="FinDes" queryTableFieldId="29" dataDxfId="478" totalsRowDxfId="477"/>
    <tableColumn id="33" xr3:uid="{AF06E988-A195-473F-8915-DAD9082154A0}" uniqueName="33" name="DiferenciaDes" queryTableFieldId="36" dataDxfId="476" totalsRowDxfId="475">
      <calculatedColumnFormula>#REF!</calculatedColumnFormula>
    </tableColumn>
    <tableColumn id="28" xr3:uid="{734DC374-DE8B-4C66-87FE-D485A71B54E7}" uniqueName="28" name="InicioPil" queryTableFieldId="30" dataDxfId="474" totalsRowDxfId="473"/>
    <tableColumn id="29" xr3:uid="{0EFE79AD-7BBB-444D-82F1-4C11811BD539}" uniqueName="29" name="FinPil" queryTableFieldId="31" dataDxfId="472" totalsRowDxfId="471"/>
    <tableColumn id="34" xr3:uid="{3F277351-1BCB-46A2-A006-03C380F6DD2F}" uniqueName="34" name="Diferencia Pil" queryTableFieldId="37" dataDxfId="470" totalsRowDxfId="469">
      <calculatedColumnFormula>AL2+ ((AK2*7))</calculatedColumnFormula>
    </tableColumn>
    <tableColumn id="24" xr3:uid="{70B99C0D-3CAC-4566-8827-3CA813FEDD6A}" uniqueName="24" name="InicioDes2" queryTableFieldId="26" dataDxfId="468" totalsRowDxfId="467"/>
    <tableColumn id="30" xr3:uid="{80C5C073-C708-45F2-ABF4-EE0A63275F3D}" uniqueName="30" name="FinDes2" queryTableFieldId="32" dataDxfId="466" totalsRowDxfId="465"/>
    <tableColumn id="44" xr3:uid="{B3F41F97-C3F3-4960-ACB1-2967F8D7BB5D}" uniqueName="44" name="Inicio Real" queryTableFieldId="57" dataDxfId="464" totalsRowDxfId="463"/>
    <tableColumn id="43" xr3:uid="{F0C699CB-550C-4AAA-BCA7-0CCCDDB54BDD}" uniqueName="43" name="Fin Real" queryTableFieldId="56" dataDxfId="462" totalsRowDxfId="461"/>
    <tableColumn id="45" xr3:uid="{24D5558E-74CA-40C7-978B-5367A3C81CD6}" uniqueName="45" name="N° Sprint" queryTableFieldId="58" dataDxfId="460">
      <calculatedColumnFormula>Tabla_query__2[[#This Row],[Número
Semanas]]/4</calculatedColumnFormula>
    </tableColumn>
    <tableColumn id="35" xr3:uid="{E3C42113-FB1A-4C01-B328-D849E7DA04DF}" uniqueName="35" name="DiferenciaDes2" queryTableFieldId="38" dataDxfId="459" totalsRowDxfId="458">
      <calculatedColumnFormula>Tabla_query__2[[#This Row],[FinDes2]]-Tabla_query__2[[#This Row],[InicioDes2]]</calculatedColumnFormula>
    </tableColumn>
    <tableColumn id="31" xr3:uid="{87B015C5-5AD4-41BA-815E-BC289E76EEFE}" uniqueName="31" name="Observaciónes" queryTableFieldId="33" dataDxfId="457" totalsRowDxfId="456"/>
    <tableColumn id="16" xr3:uid="{DCF06246-99AD-4D1B-8081-01CB603B3855}" uniqueName="16" name="ROI2" queryTableFieldId="42" totalsRowDxfId="455"/>
    <tableColumn id="11" xr3:uid="{3AF44E33-FE7B-4217-A643-6AD04278C018}" uniqueName="11" name="ROI3" queryTableFieldId="48" totalsRowDxfId="45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176B875F-8888-4B78-973B-155041CD1506}" name="Tabla11" displayName="Tabla11" ref="A1:Y2" totalsRowShown="0">
  <autoFilter ref="A1:Y2" xr:uid="{176B875F-8888-4B78-973B-155041CD1506}"/>
  <tableColumns count="25">
    <tableColumn id="1" xr3:uid="{C9092FC3-A6A6-4D9C-A9C2-DEA408420C35}" name="Año"/>
    <tableColumn id="2" xr3:uid="{3CE4E515-520B-440D-84DE-A9E7E1B409AC}" name="Producto"/>
    <tableColumn id="3" xr3:uid="{D259FDDB-0ED2-46B8-AD1A-E8A199CA8B91}" name="Proyecto"/>
    <tableColumn id="4" xr3:uid="{C12CEE5F-60C2-4AC1-9E41-ECDA5EA5E68C}" name="Titulo"/>
    <tableColumn id="5" xr3:uid="{08F8745E-8176-4846-8432-E8BB6794E734}" name="Descripción"/>
    <tableColumn id="6" xr3:uid="{054221FF-61FB-41A8-9BAC-065C30C79EAE}" name="Prioridad"/>
    <tableColumn id="7" xr3:uid="{9F7628C5-EC22-4EA2-B2A1-263C747E88A6}" name="ALCANCE"/>
    <tableColumn id="8" xr3:uid="{1D8A3F74-F935-4962-ADF2-ED8586D60408}" name="Proyecto Contable"/>
    <tableColumn id="9" xr3:uid="{97CC54E6-4D75-43E5-A0D0-7C62AB9073B8}" name="Frente"/>
    <tableColumn id="10" xr3:uid="{DAEAD4AF-828A-48AB-9CD8-7AE6B8A281E1}" name="Features"/>
    <tableColumn id="11" xr3:uid="{76CF5111-97C7-44A5-8FB9-D28A4C75A002}" name="HU"/>
    <tableColumn id="12" xr3:uid="{AEE77C78-5AFA-43CB-8DA9-837B96049E92}" name="País"/>
    <tableColumn id="13" xr3:uid="{582C9BD6-8A0D-4CFF-8CA3-EA3408E46257}" name="Área"/>
    <tableColumn id="14" xr3:uid="{D3FB284F-B393-4C4F-98E8-CE382425124F}" name="Aprobación"/>
    <tableColumn id="15" xr3:uid="{ACD7F949-DBC3-4254-A303-B8CB84EA8008}" name="Progreso"/>
    <tableColumn id="16" xr3:uid="{9ACDE4A6-3CBE-4269-9712-E5F4924AAE76}" name="Prioridad Cliente"/>
    <tableColumn id="17" xr3:uid="{72398F90-7CF6-42F8-A69A-1DD835DC9AD0}" name="Prioridad_x000a_PO"/>
    <tableColumn id="18" xr3:uid="{CCD1E5A4-E53A-4731-93E4-3F381656B872}" name="Dependencia "/>
    <tableColumn id="19" xr3:uid="{EFF36300-3B61-494D-A0C6-A90BB2460785}" name="Complejidad"/>
    <tableColumn id="20" xr3:uid="{78EA6B67-AD49-4068-812B-84D53804F012}" name="Factor País"/>
    <tableColumn id="21" xr3:uid="{7027011C-AA09-4C5F-B282-E564416EA9FA}" name="Número_x000a_Semanas"/>
    <tableColumn id="22" xr3:uid="{35308DB2-4EDF-4056-B5AA-B03932C0AE10}" name="Número_x000a_Personas"/>
    <tableColumn id="23" xr3:uid="{564E3F02-93B7-4F7D-B788-DE0E9CA34EFD}" name="Costo_x000a_Mano Obra/semana"/>
    <tableColumn id="24" xr3:uid="{A9A2BF0E-F308-4F96-8EE2-C18B41D23864}" name="Otros _x000a_Costos"/>
    <tableColumn id="25" xr3:uid="{31770483-7AA7-41F2-9F31-E7820FD9BC8F}" name="TOTAL"/>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FE26E83-6DCE-470B-AD76-B2CE5D24FE7D}" name="Tabla3" displayName="Tabla3" ref="A3:AL6" totalsRowShown="0">
  <autoFilter ref="A3:AL6" xr:uid="{0FE26E83-6DCE-470B-AD76-B2CE5D24FE7D}"/>
  <sortState xmlns:xlrd2="http://schemas.microsoft.com/office/spreadsheetml/2017/richdata2" ref="A4:AL6">
    <sortCondition ref="I3:I6"/>
  </sortState>
  <tableColumns count="38">
    <tableColumn id="1" xr3:uid="{3449656A-8F96-46F0-A183-98129F55F689}" name="Año"/>
    <tableColumn id="2" xr3:uid="{B1AD5FAD-5005-4643-8E34-ABA665D1743B}" name="Requiere _x000a_Presupuesto"/>
    <tableColumn id="3" xr3:uid="{D9F9D586-86E2-4057-AF8A-59626727E8BD}" name="Producto"/>
    <tableColumn id="4" xr3:uid="{0CF5B3D4-9547-4872-9B20-0D3E8592D5F9}" name="Titulo"/>
    <tableColumn id="5" xr3:uid="{0BF1A9F5-9941-4AE6-B8BE-DBB496F45E99}" name="Columna2"/>
    <tableColumn id="6" xr3:uid="{60BE7A4F-F23E-40F2-B7F2-7E6909EA4385}" name="Descripción"/>
    <tableColumn id="7" xr3:uid="{F487B9BD-8A41-4870-AECE-61C697BE1E2A}" name="Prioridad"/>
    <tableColumn id="8" xr3:uid="{703AC8DC-621F-4BB9-B3B0-718C4FF744B4}" name="PROYECTO SAP"/>
    <tableColumn id="9" xr3:uid="{EA941264-37A8-45FD-B9DC-4976E72C0C44}" name="Frente"/>
    <tableColumn id="10" xr3:uid="{E193C0E4-9647-4134-8C8E-8BBC8EFD67D6}" name="País"/>
    <tableColumn id="11" xr3:uid="{E3B9E492-3B2E-463F-89A7-C686929A9C90}" name="Contacto"/>
    <tableColumn id="12" xr3:uid="{C8856713-8AC3-4BC3-BBD7-B469F5CBF728}" name="Área"/>
    <tableColumn id="13" xr3:uid="{B5F7239F-665F-4183-8363-AAA638D750C5}" name="Aprobación"/>
    <tableColumn id="14" xr3:uid="{6D3A1C49-F177-409D-8E4D-E368A0C39893}" name="Progreso"/>
    <tableColumn id="15" xr3:uid="{75FEA123-4851-4325-A81F-75A25C0C14A9}" name="Prioridad Cliente"/>
    <tableColumn id="16" xr3:uid="{3ED6AD7D-4D90-41A4-96B8-CD8EB2F1D8A6}" name="Prioridad_x000a_PO"/>
    <tableColumn id="17" xr3:uid="{6DD9ACFA-BD0F-4289-8A28-CCEE6A3000F3}" name="Dependencia "/>
    <tableColumn id="18" xr3:uid="{A9037D33-38AC-4BA7-9C17-33F1C13FC8EC}" name="Complejidad"/>
    <tableColumn id="19" xr3:uid="{0B2B3AA3-EC6C-43A8-950D-30CE2616E0AB}" name="Factor País"/>
    <tableColumn id="20" xr3:uid="{E73FD5AC-C12D-4734-825E-F44EA341A5A1}" name="Número_x000a_Semanas"/>
    <tableColumn id="21" xr3:uid="{E405BE17-CCDE-4C23-A85E-E1A689645A1E}" name="Número_x000a_Personas"/>
    <tableColumn id="22" xr3:uid="{DB6BF511-8D0B-4DAC-87F5-2FE0A56D8EA8}" name="Costo_x000a_Mano Obra/semana"/>
    <tableColumn id="23" xr3:uid="{8413010D-7A04-4B47-ABD8-AD894B45C81D}" name="Otros _x000a_Costos"/>
    <tableColumn id="24" xr3:uid="{DCFD220D-6B65-491B-BFE0-452CDDBB81D1}" name="TOTAL"/>
    <tableColumn id="25" xr3:uid="{9FA2DE33-A540-41B3-B4C8-3063CBDC0E61}" name="Costos _x000a_Recurrente"/>
    <tableColumn id="26" xr3:uid="{CB444989-5DD3-4E48-A6F4-CB6359D81051}" name="ROI"/>
    <tableColumn id="27" xr3:uid="{071A7231-B8CC-42E8-AFEE-D0863B33778A}" name="InicioDes" dataDxfId="262"/>
    <tableColumn id="28" xr3:uid="{9FF8464B-5795-42E1-A05E-2CCBB71823CE}" name="FinDes" dataDxfId="261"/>
    <tableColumn id="29" xr3:uid="{91B0CB67-132B-4E53-91F5-671042555333}" name="DiferenciaDes"/>
    <tableColumn id="30" xr3:uid="{9F1B4625-1CC3-4844-8095-012659F6B18B}" name="InicioPil" dataDxfId="260"/>
    <tableColumn id="31" xr3:uid="{37FE0B1F-6E52-4950-AC97-3730B2606BA9}" name="FinPil" dataDxfId="259"/>
    <tableColumn id="32" xr3:uid="{9A41A8DC-3004-4198-83B2-E593F0B814B8}" name="Diferencia Pil" dataDxfId="258"/>
    <tableColumn id="33" xr3:uid="{0B70DE23-0B51-45C7-801F-94241A9934C9}" name="InicioDes2" dataDxfId="257"/>
    <tableColumn id="34" xr3:uid="{F4D41C85-EB20-4D1A-881B-9584854277E7}" name="FinDes2" dataDxfId="256"/>
    <tableColumn id="35" xr3:uid="{FDA5EA11-8650-4AC9-AB08-E0223C86A6DF}" name="DiferenciaDes2"/>
    <tableColumn id="36" xr3:uid="{B7A01AFC-19AB-4683-BE73-D5DC9BA95105}" name="Observaciónes"/>
    <tableColumn id="37" xr3:uid="{4AF79AE8-0195-48BD-8901-AF098C8D0219}" name="ROI2"/>
    <tableColumn id="38" xr3:uid="{68A9B755-DB81-457A-9680-8A772864092F}" name="ROI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A5170C-9EB6-4047-BD00-E8F699093DC5}" name="Tabla4" displayName="Tabla4" ref="A3:AL6" totalsRowShown="0">
  <autoFilter ref="A3:AL6" xr:uid="{DAA5170C-9EB6-4047-BD00-E8F699093DC5}"/>
  <sortState xmlns:xlrd2="http://schemas.microsoft.com/office/spreadsheetml/2017/richdata2" ref="A4:AL6">
    <sortCondition ref="I3:I6"/>
  </sortState>
  <tableColumns count="38">
    <tableColumn id="1" xr3:uid="{44ADBE53-3DBD-4604-8E94-59BB2E13248A}" name="Año"/>
    <tableColumn id="2" xr3:uid="{8B9BF818-04D7-4D03-B90F-F24C96410C64}" name="Requiere _x000a_Presupuesto"/>
    <tableColumn id="3" xr3:uid="{A4894E4E-06AF-4E5D-ABA8-0F1E6E47DA2F}" name="Producto"/>
    <tableColumn id="4" xr3:uid="{77304110-17C5-43DC-A282-698620F78B5D}" name="Titulo"/>
    <tableColumn id="5" xr3:uid="{72E68B8A-0316-4B0C-8D1E-B6608E59F7CE}" name="Columna2"/>
    <tableColumn id="6" xr3:uid="{040BA9B3-FB0F-4301-9D3B-9894EAC2E40D}" name="Descripción"/>
    <tableColumn id="7" xr3:uid="{917770B1-81DA-45A3-9807-89B33AE3C82C}" name="Prioridad"/>
    <tableColumn id="8" xr3:uid="{7D52994F-AB40-4F3A-9F48-683221F88596}" name="PROYECTO SAP"/>
    <tableColumn id="9" xr3:uid="{6E6469E3-DB08-454D-8779-2CAF4E419C24}" name="Frente"/>
    <tableColumn id="10" xr3:uid="{89101BE9-6A34-48C6-9064-955410A42DBA}" name="País"/>
    <tableColumn id="11" xr3:uid="{9CCB9C4D-72FF-4E3D-8DF1-E2091EC4A3E9}" name="Contacto"/>
    <tableColumn id="12" xr3:uid="{C94D1C0B-5426-432F-9925-0C87BA7A51E7}" name="Área"/>
    <tableColumn id="13" xr3:uid="{5487AB1C-4C29-46D7-8474-790337AD07F8}" name="Aprobación"/>
    <tableColumn id="14" xr3:uid="{74AE2E44-405D-4CFA-8CB7-DA146AB23647}" name="Progreso"/>
    <tableColumn id="15" xr3:uid="{A7FF2D8F-E699-4DC4-87AF-CB56859B8AD2}" name="Prioridad Cliente"/>
    <tableColumn id="16" xr3:uid="{61601AE3-7C0F-4678-B7F9-F7432576DF8B}" name="Prioridad_x000a_PO"/>
    <tableColumn id="17" xr3:uid="{A3A02E40-4CAF-4315-945B-1B4FFC083949}" name="Dependencia "/>
    <tableColumn id="18" xr3:uid="{EDCE218C-BD9E-43C2-ACE1-403037CC9FA4}" name="Complejidad"/>
    <tableColumn id="19" xr3:uid="{92EB894D-3903-4D82-B5D9-B992200A2C68}" name="Factor País"/>
    <tableColumn id="20" xr3:uid="{2E31B1A8-6CF7-4084-B01D-6AAFF1B24F1B}" name="Número_x000a_Semanas"/>
    <tableColumn id="21" xr3:uid="{EC8C4A2D-04A7-4EC0-A79A-EF8737888BE3}" name="Número_x000a_Personas"/>
    <tableColumn id="22" xr3:uid="{6EBBBC22-E647-4319-B141-2AD72F68AFB4}" name="Costo_x000a_Mano Obra/semana"/>
    <tableColumn id="23" xr3:uid="{F22DD3C3-250D-4AA0-90CA-79D0BD231232}" name="Otros _x000a_Costos"/>
    <tableColumn id="24" xr3:uid="{3D4E2677-413F-4D21-B41B-CEA8485D6F08}" name="TOTAL"/>
    <tableColumn id="25" xr3:uid="{4433B22B-4DBC-4033-8C18-387E67CBE444}" name="Costos _x000a_Recurrente"/>
    <tableColumn id="26" xr3:uid="{2EB54BA1-096D-4574-8158-4DA63DB1354E}" name="ROI"/>
    <tableColumn id="27" xr3:uid="{9790AE27-A99F-4D81-BC36-ECEF7DB7C565}" name="InicioDes" dataDxfId="255"/>
    <tableColumn id="28" xr3:uid="{80869DF5-C316-4814-A894-63A4C75F09C2}" name="FinDes" dataDxfId="254"/>
    <tableColumn id="29" xr3:uid="{44F1F1B7-DD08-45CC-AA78-5D97FDB14596}" name="DiferenciaDes"/>
    <tableColumn id="30" xr3:uid="{29231F7A-2254-4C64-AB98-66F0419D4ED8}" name="InicioPil" dataDxfId="253"/>
    <tableColumn id="31" xr3:uid="{A192EB4E-2D9C-4383-8673-4CA8B5447407}" name="FinPil" dataDxfId="252"/>
    <tableColumn id="32" xr3:uid="{6273494C-54FC-496E-B403-0C71A094DD40}" name="Diferencia Pil" dataDxfId="251"/>
    <tableColumn id="33" xr3:uid="{CED246B1-A58C-4CB8-9BD0-E95F98F5288A}" name="InicioDes2" dataDxfId="250"/>
    <tableColumn id="34" xr3:uid="{3D281D48-D9DF-4F53-A233-7C27543EC94F}" name="FinDes2" dataDxfId="249"/>
    <tableColumn id="35" xr3:uid="{EA40ADEE-81DE-40F5-94B1-348ED43478BD}" name="DiferenciaDes2"/>
    <tableColumn id="36" xr3:uid="{F4485B56-AB4A-4FAD-8EFF-965BEFC4FB3F}" name="Observaciónes"/>
    <tableColumn id="37" xr3:uid="{D7670E7B-FF67-4FA3-A284-42CEA86F9EC5}" name="ROI2"/>
    <tableColumn id="38" xr3:uid="{6FBC8A34-CF90-41E8-8481-053614B1EA88}" name="ROI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91C8292-3AF2-4315-9100-8458484E0794}" name="Tabla5" displayName="Tabla5" ref="A3:AL4" totalsRowShown="0">
  <autoFilter ref="A3:AL4" xr:uid="{391C8292-3AF2-4315-9100-8458484E0794}"/>
  <tableColumns count="38">
    <tableColumn id="1" xr3:uid="{6BD94178-8326-4DB4-9C89-037F59D8F28B}" name="Año"/>
    <tableColumn id="2" xr3:uid="{E3DFAE57-33A7-48D9-BAD3-BD22F8A4A199}" name="Requiere _x000a_Presupuesto"/>
    <tableColumn id="3" xr3:uid="{9320C5B9-FC02-4440-B5A9-0B104A29A8DB}" name="Producto"/>
    <tableColumn id="4" xr3:uid="{6509FA79-94B8-46D3-BD6A-C1E55093FE56}" name="Titulo"/>
    <tableColumn id="5" xr3:uid="{A28A83A4-980F-4C02-AD69-3E1AF665AAD6}" name="Columna2"/>
    <tableColumn id="6" xr3:uid="{2AE305FC-C84A-43E2-A5E7-C4C9CD707008}" name="Descripción"/>
    <tableColumn id="7" xr3:uid="{93B8A582-296E-4E7E-BBD0-5AB1A59174E4}" name="Prioridad"/>
    <tableColumn id="8" xr3:uid="{7355F9F8-DBC3-4635-A393-8782A4124D4D}" name="PROYECTO SAP"/>
    <tableColumn id="9" xr3:uid="{6ABB9371-2415-4A58-A51B-7ADFE6FF3EE9}" name="Frente"/>
    <tableColumn id="10" xr3:uid="{9E9D02BD-FFC3-42F4-9513-8776F7C72CA8}" name="País"/>
    <tableColumn id="11" xr3:uid="{08DD2144-8220-4701-83E3-8B31C842FA31}" name="Contacto"/>
    <tableColumn id="12" xr3:uid="{65C18F67-D335-43BF-A89A-5D4B0DE4325D}" name="Área"/>
    <tableColumn id="13" xr3:uid="{3129BF8F-52A5-4FB4-8020-1BBD83DD6496}" name="Aprobación"/>
    <tableColumn id="14" xr3:uid="{F0FE9B1E-B030-4719-BB33-CEC8FB316187}" name="Progreso"/>
    <tableColumn id="15" xr3:uid="{3B00307C-D84A-42E7-8BCD-994AEDE99CE0}" name="Prioridad Cliente"/>
    <tableColumn id="16" xr3:uid="{2CD4AD6F-76BF-4504-98EA-0337F079B52C}" name="Prioridad_x000a_PO"/>
    <tableColumn id="17" xr3:uid="{23C679E2-C8FF-4B1B-A91B-4A44609E799A}" name="Dependencia "/>
    <tableColumn id="18" xr3:uid="{55007B7A-2610-4EAF-AF16-BCF21C4B4834}" name="Complejidad"/>
    <tableColumn id="19" xr3:uid="{BCF7600B-FBB9-4244-B2CC-5CB94C36A662}" name="Factor País"/>
    <tableColumn id="20" xr3:uid="{5153C16B-8974-469E-A802-84CD9D7E9251}" name="Número_x000a_Semanas"/>
    <tableColumn id="21" xr3:uid="{7018037A-EBA7-43BA-8021-3B914B48F0DE}" name="Número_x000a_Personas"/>
    <tableColumn id="22" xr3:uid="{5117D20C-C2C7-4805-A574-2DDD6E2E9AFB}" name="Costo_x000a_Mano Obra/semana"/>
    <tableColumn id="23" xr3:uid="{BA31E8BC-0123-4AE3-A36B-8A25EC0C6EB8}" name="Otros _x000a_Costos"/>
    <tableColumn id="24" xr3:uid="{25DAB2F8-BDEC-4502-AF0D-780156D4FFDD}" name="TOTAL"/>
    <tableColumn id="25" xr3:uid="{9DE4B758-CE75-4EBC-831E-85C29351873F}" name="Costos _x000a_Recurrente"/>
    <tableColumn id="26" xr3:uid="{F9521865-6AAD-43AA-9F85-A1BA990023D9}" name="ROI"/>
    <tableColumn id="27" xr3:uid="{B9E5DDAA-8DB6-4EF2-AC54-3B6AB766827A}" name="InicioDes" dataDxfId="248"/>
    <tableColumn id="28" xr3:uid="{2BF32281-99D2-4440-86B2-1E10FAC432E6}" name="FinDes" dataDxfId="247"/>
    <tableColumn id="29" xr3:uid="{CE3DFD6A-51C2-4F13-93A1-AF54390839DD}" name="DiferenciaDes" dataDxfId="246"/>
    <tableColumn id="30" xr3:uid="{0E154A37-2444-4D48-A577-BD6868128C00}" name="InicioPil" dataDxfId="245"/>
    <tableColumn id="31" xr3:uid="{8429C463-1ED6-4A49-96F1-688A5F346681}" name="FinPil" dataDxfId="244"/>
    <tableColumn id="32" xr3:uid="{13253004-7D05-4BE4-86AD-D569FFA656CB}" name="Diferencia Pil" dataDxfId="243"/>
    <tableColumn id="33" xr3:uid="{FBC0F9DB-0B22-454C-AD43-D8CC7B944883}" name="InicioDes2" dataDxfId="242"/>
    <tableColumn id="34" xr3:uid="{3AF74DF2-CC20-41CB-878C-58DFBF233533}" name="FinDes2" dataDxfId="241"/>
    <tableColumn id="35" xr3:uid="{6939D393-0F1A-464B-B26F-385BF74DC55A}" name="DiferenciaDes2"/>
    <tableColumn id="36" xr3:uid="{9BB09A6C-B33B-4E00-BEF8-2975DA523C8D}" name="Observaciónes"/>
    <tableColumn id="37" xr3:uid="{9D36D2D3-22BD-4436-B633-705C32A9D537}" name="ROI2"/>
    <tableColumn id="38" xr3:uid="{2820A75E-2A3E-4D1C-9506-BB2706F581D4}" name="ROI3"/>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D54C117-E0E7-41B2-B5A2-11FA34B8A41E}" name="Tabla6" displayName="Tabla6" ref="A3:AL4" totalsRowShown="0">
  <autoFilter ref="A3:AL4" xr:uid="{4D54C117-E0E7-41B2-B5A2-11FA34B8A41E}"/>
  <tableColumns count="38">
    <tableColumn id="1" xr3:uid="{45443ADA-C3DF-4D0F-AE2B-DA82C33A4C33}" name="Año"/>
    <tableColumn id="2" xr3:uid="{9F8792F2-5B6A-4C44-A00B-D371AA78D219}" name="Requiere _x000a_Presupuesto"/>
    <tableColumn id="3" xr3:uid="{F0AAEA19-21DC-4AD2-9D8C-A3354E24A70E}" name="Producto"/>
    <tableColumn id="4" xr3:uid="{AD6B7BA0-606A-4E08-97A5-9956195AEF9A}" name="Titulo"/>
    <tableColumn id="5" xr3:uid="{F25A7DE3-C718-4788-99BE-F6E3BCB5F229}" name="Columna2"/>
    <tableColumn id="6" xr3:uid="{41E7C465-A543-432E-AB53-C8DD21DFA6AA}" name="Descripción"/>
    <tableColumn id="7" xr3:uid="{2F9B68D5-E48D-4C3A-B2B6-279FE450FF72}" name="Prioridad"/>
    <tableColumn id="8" xr3:uid="{0E8E668B-EEF2-409D-87AF-F14C76C067A7}" name="PROYECTO SAP"/>
    <tableColumn id="9" xr3:uid="{C985DE01-0E15-486E-A4F1-12DE595E62BC}" name="Frente"/>
    <tableColumn id="10" xr3:uid="{50718FD6-0E3A-43AF-9803-2CB59419CE9F}" name="País"/>
    <tableColumn id="11" xr3:uid="{C6E54C1F-459F-4790-94C8-08264F73A4D8}" name="Contacto"/>
    <tableColumn id="12" xr3:uid="{43E67452-501D-4116-86F3-3BCE7BF353AF}" name="Área"/>
    <tableColumn id="13" xr3:uid="{7DAC8E45-EA66-4835-8474-4C582329ED1C}" name="Aprobación"/>
    <tableColumn id="14" xr3:uid="{BF360EEE-4196-4850-A4F6-282B21B461E6}" name="Progreso"/>
    <tableColumn id="15" xr3:uid="{BB019BBF-8013-45F8-BD81-9BA264A98417}" name="Prioridad Cliente"/>
    <tableColumn id="16" xr3:uid="{23A1EA09-55E3-412D-921E-219FDAF835B1}" name="Prioridad_x000a_PO"/>
    <tableColumn id="17" xr3:uid="{E3A2D141-FC8C-4D80-A0C2-1B4AF935363E}" name="Dependencia "/>
    <tableColumn id="18" xr3:uid="{0A794C76-2DC4-42F0-901A-A2C3BF8D6C96}" name="Complejidad"/>
    <tableColumn id="19" xr3:uid="{217524E5-A297-44C8-956D-1C24DEB19801}" name="Factor País"/>
    <tableColumn id="20" xr3:uid="{57E88FF8-F964-46B1-9DED-832650863462}" name="Número_x000a_Semanas"/>
    <tableColumn id="21" xr3:uid="{59D009FF-ABB7-4E53-B9D7-6426857F52AE}" name="Número_x000a_Personas"/>
    <tableColumn id="22" xr3:uid="{5D46C644-A9CD-485E-99B8-BDB05018E0E0}" name="Costo_x000a_Mano Obra/semana"/>
    <tableColumn id="23" xr3:uid="{1B346FDE-4417-40AC-94BF-F49FD5A2137B}" name="Otros _x000a_Costos"/>
    <tableColumn id="24" xr3:uid="{985705DA-B402-4234-B6D1-32B23A7C28C8}" name="TOTAL"/>
    <tableColumn id="25" xr3:uid="{3F708BD2-9B1F-4ACA-A7AE-F58EB66C388B}" name="Costos _x000a_Recurrente"/>
    <tableColumn id="26" xr3:uid="{07615E5A-2157-4C2B-899A-3C64543EE4AD}" name="ROI"/>
    <tableColumn id="27" xr3:uid="{3633C528-FF04-4C35-A3B0-15980A646A2B}" name="InicioDes" dataDxfId="240"/>
    <tableColumn id="28" xr3:uid="{A9F87EFF-CDC6-490D-AE24-505EDDCCF9FE}" name="FinDes" dataDxfId="239"/>
    <tableColumn id="29" xr3:uid="{46C71FD6-2A95-4665-8456-AFFAB108669F}" name="DiferenciaDes"/>
    <tableColumn id="30" xr3:uid="{1C74886D-4170-4B8B-A4CA-95AF5D211A55}" name="InicioPil" dataDxfId="238"/>
    <tableColumn id="31" xr3:uid="{8D06418D-D7FF-425A-93F2-DF043BC87D2F}" name="FinPil" dataDxfId="237"/>
    <tableColumn id="32" xr3:uid="{3710B351-1112-4022-B8A0-4F5EA8059802}" name="Diferencia Pil" dataDxfId="236"/>
    <tableColumn id="33" xr3:uid="{891B991D-A99D-4619-AE91-5266AF079740}" name="InicioDes2" dataDxfId="235"/>
    <tableColumn id="34" xr3:uid="{8065D327-19DA-45AA-BA5C-F57BA986650D}" name="FinDes2" dataDxfId="234"/>
    <tableColumn id="35" xr3:uid="{0AE0FA8C-95E8-4D73-957B-F5D2672B9D7A}" name="DiferenciaDes2"/>
    <tableColumn id="36" xr3:uid="{BC2A7B0F-8D05-408C-8564-34E09DA4AF1C}" name="Observaciónes"/>
    <tableColumn id="37" xr3:uid="{0CDC8F66-0039-4C9D-A183-D988967ACE13}" name="ROI2"/>
    <tableColumn id="38" xr3:uid="{993D48C2-0A0D-4BA3-9536-10BD9B2272E1}" name="ROI3"/>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0B16A0B-485F-46D5-9C6A-679830BB118D}" name="Tabla7" displayName="Tabla7" ref="A3:AL5" totalsRowShown="0">
  <autoFilter ref="A3:AL5" xr:uid="{40B16A0B-485F-46D5-9C6A-679830BB118D}"/>
  <tableColumns count="38">
    <tableColumn id="1" xr3:uid="{41B6F90A-CE0F-4561-8A71-BDB432C0B120}" name="Año"/>
    <tableColumn id="2" xr3:uid="{EA362C14-4ED7-4412-9FE8-772C4233BF18}" name="Requiere _x000a_Presupuesto"/>
    <tableColumn id="3" xr3:uid="{B0E330CE-3B23-49F2-9EAF-D28E06709671}" name="Producto"/>
    <tableColumn id="4" xr3:uid="{43C4EAA6-285D-4D4A-99E4-2DA1F6C5A5AB}" name="Titulo"/>
    <tableColumn id="5" xr3:uid="{4E3F4D68-0D1F-4C3E-9F0D-6B7F65D4481A}" name="Columna2"/>
    <tableColumn id="6" xr3:uid="{F92A792C-F1A7-4B5C-B24B-402EF27EC4CD}" name="Descripción"/>
    <tableColumn id="7" xr3:uid="{F5A6CB42-D046-48E9-80A4-95CB7D8770B6}" name="Prioridad"/>
    <tableColumn id="8" xr3:uid="{BA4FC980-61C7-4916-9149-9EB161C7FC6D}" name="PROYECTO SAP"/>
    <tableColumn id="9" xr3:uid="{EB11384B-562A-43D7-B663-FAC29670F6B8}" name="Frente"/>
    <tableColumn id="10" xr3:uid="{8395D97B-6E76-4CEB-9846-785A518ACA2C}" name="País"/>
    <tableColumn id="11" xr3:uid="{2DABEA66-E854-4680-988B-0C3C07364E9F}" name="Contacto"/>
    <tableColumn id="12" xr3:uid="{2E699735-EF75-4238-90FF-6021898E2364}" name="Área"/>
    <tableColumn id="13" xr3:uid="{1FDA98D5-9C68-4373-BDF6-C375840469CC}" name="Aprobación"/>
    <tableColumn id="14" xr3:uid="{63A943E5-C393-465B-A21D-C4FC58D6B2CC}" name="Progreso"/>
    <tableColumn id="15" xr3:uid="{256A1E3A-471F-4504-AEB7-64C4927FA097}" name="Prioridad Cliente"/>
    <tableColumn id="16" xr3:uid="{105EF8AE-F242-4FBB-A46C-B268DB926CA3}" name="Prioridad_x000a_PO"/>
    <tableColumn id="17" xr3:uid="{CC262B9B-F53F-4084-A2F0-9C2CB47E3685}" name="Dependencia "/>
    <tableColumn id="18" xr3:uid="{AF8560C0-D540-4175-A764-9E80F5BF526A}" name="Complejidad"/>
    <tableColumn id="19" xr3:uid="{84625C73-15FE-45DA-90A3-CA478761836E}" name="Factor País"/>
    <tableColumn id="20" xr3:uid="{983B8A32-A2C1-41BD-9E33-9BA4091B61BC}" name="Número_x000a_Semanas"/>
    <tableColumn id="21" xr3:uid="{D551347D-35D9-44AA-A849-83FC43D36749}" name="Número_x000a_Personas"/>
    <tableColumn id="22" xr3:uid="{CB283F14-4B07-427C-BE11-6BA711C37820}" name="Costo_x000a_Mano Obra/semana"/>
    <tableColumn id="23" xr3:uid="{4AC598C8-E940-4E14-86A2-3BB74ACF2791}" name="Otros _x000a_Costos"/>
    <tableColumn id="24" xr3:uid="{82EBFA66-DB37-41B2-BF46-B27232D22A71}" name="TOTAL"/>
    <tableColumn id="25" xr3:uid="{C3857C55-14B6-47A0-9E5F-EB651EAB5753}" name="Costos _x000a_Recurrente"/>
    <tableColumn id="26" xr3:uid="{373712A7-5146-4C8B-957F-B933ACD22CB5}" name="ROI"/>
    <tableColumn id="27" xr3:uid="{8CDA8C86-DEA3-4F21-8919-081F7309F3E0}" name="InicioDes" dataDxfId="233"/>
    <tableColumn id="28" xr3:uid="{13B6B79D-13E5-4411-826E-4FEAA6087393}" name="FinDes" dataDxfId="232"/>
    <tableColumn id="29" xr3:uid="{52460B88-B2FF-4A4D-82B0-198431592CEC}" name="DiferenciaDes"/>
    <tableColumn id="30" xr3:uid="{AF23B23C-E62A-4380-840E-652513C0EAB6}" name="InicioPil" dataDxfId="231"/>
    <tableColumn id="31" xr3:uid="{12E11EA2-8331-40E6-979D-A90B7618A478}" name="FinPil" dataDxfId="230"/>
    <tableColumn id="32" xr3:uid="{D03DC858-A555-41A0-8EFD-6A77C0868E56}" name="Diferencia Pil" dataDxfId="229"/>
    <tableColumn id="33" xr3:uid="{165F3BE3-CF2B-4C68-8C10-4044D01336E1}" name="InicioDes2" dataDxfId="228"/>
    <tableColumn id="34" xr3:uid="{281D4D51-FBD4-45E7-A3EB-506B9127C8EC}" name="FinDes2" dataDxfId="227"/>
    <tableColumn id="35" xr3:uid="{40275C36-655C-426C-A63A-21EA0897460A}" name="DiferenciaDes2"/>
    <tableColumn id="36" xr3:uid="{9AF9096C-2BC3-4441-BDBC-F6B538E8BE4B}" name="Observaciónes"/>
    <tableColumn id="37" xr3:uid="{7D974AFF-CA74-4903-89CD-DD70A8E0AC57}" name="ROI2"/>
    <tableColumn id="38" xr3:uid="{72A3A948-DDBF-41B9-9E9A-99FE2229C417}" name="ROI3"/>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15E0472-7F7E-4882-A67E-9DB3FF67D3DC}" name="Tabla8" displayName="Tabla8" ref="A3:AL4" totalsRowShown="0">
  <autoFilter ref="A3:AL4" xr:uid="{315E0472-7F7E-4882-A67E-9DB3FF67D3DC}"/>
  <tableColumns count="38">
    <tableColumn id="1" xr3:uid="{B685A6D7-A21E-41D4-9F21-FA14161A160B}" name="Año"/>
    <tableColumn id="2" xr3:uid="{9EB55F52-F5A1-48C4-AFA8-B76EC58AAB08}" name="Requiere _x000a_Presupuesto"/>
    <tableColumn id="3" xr3:uid="{A38198B4-EA1A-48FB-A340-37F5DE597086}" name="Producto"/>
    <tableColumn id="4" xr3:uid="{A31FCFA7-C27D-4252-AE95-CAB8F08E03C6}" name="Titulo"/>
    <tableColumn id="5" xr3:uid="{9AAA2DC9-51FE-4CA3-8950-A1AB6A7F33A5}" name="Columna2"/>
    <tableColumn id="6" xr3:uid="{C52B085D-2E3F-4639-96A2-7242522D8149}" name="Descripción"/>
    <tableColumn id="7" xr3:uid="{64F7E283-7F8D-4637-B8A9-50B571C43919}" name="Prioridad"/>
    <tableColumn id="8" xr3:uid="{C8C93AB7-7FC0-45BE-93F8-6C1F6BFDE524}" name="PROYECTO SAP"/>
    <tableColumn id="9" xr3:uid="{E264D89D-9FC2-465E-9663-F4D5B00199D0}" name="Frente"/>
    <tableColumn id="10" xr3:uid="{9EFCD280-8DBC-4CED-B09F-79E8F4CA5562}" name="País"/>
    <tableColumn id="11" xr3:uid="{1C87CDA6-0799-44FE-89DF-6C27C5108979}" name="Contacto"/>
    <tableColumn id="12" xr3:uid="{F7147D4E-DEB6-4F40-81B6-50531FECCAB7}" name="Área"/>
    <tableColumn id="13" xr3:uid="{682B977A-9D97-4E0E-8C76-7E95ADFF5582}" name="Aprobación"/>
    <tableColumn id="14" xr3:uid="{CB11B77B-9F9C-499B-A6B4-BE30FEE58D9C}" name="Progreso"/>
    <tableColumn id="15" xr3:uid="{9ED35792-6E0C-4919-AA5B-6718DD5BD97D}" name="Prioridad Cliente"/>
    <tableColumn id="16" xr3:uid="{FA971D01-D2DD-4C50-9E25-0B6AD821D274}" name="Prioridad_x000a_PO"/>
    <tableColumn id="17" xr3:uid="{72F135D6-F659-4C61-B257-C4C0D164EC1D}" name="Dependencia "/>
    <tableColumn id="18" xr3:uid="{48F8B4E4-B2EE-49C8-A5C4-63892AD3E800}" name="Complejidad"/>
    <tableColumn id="19" xr3:uid="{D4FC1453-7285-4C2B-B553-7E68CF348CBC}" name="Factor País"/>
    <tableColumn id="20" xr3:uid="{340C7978-3D85-4ECE-ACEF-C9BD20CC0400}" name="Número_x000a_Semanas"/>
    <tableColumn id="21" xr3:uid="{FB5F7C32-7E17-4E00-8A7A-0A305D65FF7E}" name="Número_x000a_Personas"/>
    <tableColumn id="22" xr3:uid="{95CC388F-29D3-4DCB-BE8C-E2E22721A8D3}" name="Costo_x000a_Mano Obra/semana"/>
    <tableColumn id="23" xr3:uid="{B6DB8143-C9C0-4A7B-833C-0739D2CD9AF0}" name="Otros _x000a_Costos"/>
    <tableColumn id="24" xr3:uid="{6D2F4EA1-B4E3-4FED-AC27-1AAAF076169E}" name="TOTAL"/>
    <tableColumn id="25" xr3:uid="{B3DD91B1-9960-4322-B7D3-7F4B8B78240E}" name="Costos _x000a_Recurrente"/>
    <tableColumn id="26" xr3:uid="{722C5BEE-7555-466B-AA95-6FAEBFA39453}" name="ROI"/>
    <tableColumn id="27" xr3:uid="{97E4559E-CA29-4A97-8A5B-76493CF26D63}" name="InicioDes" dataDxfId="226"/>
    <tableColumn id="28" xr3:uid="{1F3F1325-C51A-4385-B17C-1522F0538557}" name="FinDes" dataDxfId="225"/>
    <tableColumn id="29" xr3:uid="{DE45351D-6CA6-402F-B67B-CC4D2CCA2FFE}" name="DiferenciaDes" dataDxfId="224"/>
    <tableColumn id="30" xr3:uid="{D5450EDE-D9D1-4553-9C89-09DE221C1C15}" name="InicioPil" dataDxfId="223"/>
    <tableColumn id="31" xr3:uid="{1EA1A8D7-C152-4002-9F3C-491D9471E269}" name="FinPil" dataDxfId="222"/>
    <tableColumn id="32" xr3:uid="{1D1982BE-E407-4796-B891-B49C7E48E2E9}" name="Diferencia Pil" dataDxfId="221"/>
    <tableColumn id="33" xr3:uid="{F6EE16B3-2262-4BD2-9D01-6500C52A2AFC}" name="InicioDes2" dataDxfId="220"/>
    <tableColumn id="34" xr3:uid="{7AFE3294-7D39-49E0-8FCA-1186187EC7D0}" name="FinDes2" dataDxfId="219"/>
    <tableColumn id="35" xr3:uid="{0A466D2E-6A2C-47D6-A8E9-05A2FA51BB69}" name="DiferenciaDes2"/>
    <tableColumn id="36" xr3:uid="{7562277C-EAA3-494B-9DD5-448E6079926F}" name="Observaciónes"/>
    <tableColumn id="37" xr3:uid="{A15CCFF2-8327-469D-85A5-DBC93EB3251F}" name="ROI2"/>
    <tableColumn id="38" xr3:uid="{1A568468-D9DB-4835-8E83-74B001AE0859}" name="ROI3"/>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C028797-EEEC-4729-BBA1-9DB6ADABA4E7}" name="Tabla9" displayName="Tabla9" ref="A3:AR31" totalsRowShown="0">
  <autoFilter ref="A3:AR31" xr:uid="{8C028797-EEEC-4729-BBA1-9DB6ADABA4E7}"/>
  <sortState xmlns:xlrd2="http://schemas.microsoft.com/office/spreadsheetml/2017/richdata2" ref="A4:AR31">
    <sortCondition ref="AA3:AA31"/>
  </sortState>
  <tableColumns count="44">
    <tableColumn id="1" xr3:uid="{C40F8552-F1B2-48E4-A63E-5149E6B660D3}" name="Año"/>
    <tableColumn id="2" xr3:uid="{7DA5A273-2E33-4A02-96D5-851E70CBADA6}" name="Requiere _x000a_Presupuesto"/>
    <tableColumn id="3" xr3:uid="{944EEA73-E7C5-4ADB-B8CA-E02DF414C259}" name="Producto"/>
    <tableColumn id="4" xr3:uid="{F573FD3A-279B-4055-9F9C-498A61351978}" name="Proyecto"/>
    <tableColumn id="5" xr3:uid="{2EB93749-5460-4CBD-A020-48EE6F364112}" name="Titulo"/>
    <tableColumn id="6" xr3:uid="{D1268F6A-DC83-4452-9E9D-C043EC021FE5}" name="Vínculo"/>
    <tableColumn id="7" xr3:uid="{466F0CD3-5EFE-4DC3-B89C-E958E65CAF91}" name="Columna2"/>
    <tableColumn id="8" xr3:uid="{98C28E30-2883-4577-BCEE-17C48C720C61}" name="Descripción"/>
    <tableColumn id="9" xr3:uid="{D42A351A-C28A-421E-A841-12029F81F131}" name="Prioridad"/>
    <tableColumn id="10" xr3:uid="{895BB791-E55F-48DB-9875-41A98B021B1C}" name="ALCANCE"/>
    <tableColumn id="11" xr3:uid="{B0293CC6-EDCB-4947-9515-55693E172542}" name="PROYECTO SAP"/>
    <tableColumn id="12" xr3:uid="{FB8414E3-DC81-4458-8A28-CDB224680894}" name="Frente"/>
    <tableColumn id="13" xr3:uid="{011D2A90-CE9A-4F81-8117-76403EB03C60}" name="País"/>
    <tableColumn id="14" xr3:uid="{E6594B3F-9CEE-4154-88D5-311F39414479}" name="Contacto"/>
    <tableColumn id="15" xr3:uid="{25D78C25-E68B-4BA7-9675-293C2D307021}" name="Área"/>
    <tableColumn id="16" xr3:uid="{B8D32EF6-B2BE-4D08-8794-E751672116E2}" name="Aprobación"/>
    <tableColumn id="17" xr3:uid="{B4E92A79-C075-4907-99D2-AC2382612640}" name="Progreso"/>
    <tableColumn id="18" xr3:uid="{A122B362-10DA-4913-9BBE-3D54955CB037}" name="Prioridad Cliente"/>
    <tableColumn id="19" xr3:uid="{C292DEA8-8318-4132-B775-CC7980D83E56}" name="Prioridad_x000a_PO"/>
    <tableColumn id="20" xr3:uid="{9355E07A-4892-4054-BC70-1823CEABAF76}" name="Dependencia "/>
    <tableColumn id="21" xr3:uid="{E18D7AF1-118D-4E00-AB50-E652AB8587B2}" name="Complejidad"/>
    <tableColumn id="22" xr3:uid="{E76D7A1C-4774-4F57-BDD7-82011A1F8AC2}" name="Factor País"/>
    <tableColumn id="23" xr3:uid="{2312807E-2590-42FD-845B-45F4C5D3EECE}" name="Número_x000a_Semanas"/>
    <tableColumn id="24" xr3:uid="{398D541C-DCD5-4417-88ED-877609F23502}" name="Número_x000a_Personas"/>
    <tableColumn id="25" xr3:uid="{A3DDD74D-55D7-462B-87C5-6FD9ECECABE8}" name="Costo_x000a_Mano Obra/semana"/>
    <tableColumn id="26" xr3:uid="{73FAE034-E2FB-4C74-9752-B7316C60975C}" name="Otros _x000a_Costos"/>
    <tableColumn id="27" xr3:uid="{18118C0F-30A2-44F4-B018-B7F8DED9C827}" name="TOTAL"/>
    <tableColumn id="28" xr3:uid="{40DBC1BA-393F-48B8-B531-FFCED88FDC27}" name="Costos _x000a_Recurrente"/>
    <tableColumn id="29" xr3:uid="{946D5C41-CC3C-4797-86B7-1CADC2C47B68}" name="ROI"/>
    <tableColumn id="30" xr3:uid="{3ACFFECC-3092-4D95-9D73-DF919E13C4EF}" name="InicioDes" dataDxfId="218"/>
    <tableColumn id="31" xr3:uid="{6AC89461-9D98-4C96-9969-790196455D0C}" name="FinDes" dataDxfId="217"/>
    <tableColumn id="32" xr3:uid="{B523644E-5DFE-42EE-AD96-885F604CDBEF}" name="DiferenciaDes" dataDxfId="216"/>
    <tableColumn id="33" xr3:uid="{4CEDCC45-6757-4225-AE60-21B4EE86001C}" name="InicioPil" dataDxfId="215"/>
    <tableColumn id="34" xr3:uid="{7127011B-DD4B-4F7C-AB64-C6298DA76457}" name="FinPil" dataDxfId="214"/>
    <tableColumn id="35" xr3:uid="{BC74EB22-2E82-4799-A8B6-C25B9D0F0EF9}" name="Diferencia Pil" dataDxfId="213"/>
    <tableColumn id="36" xr3:uid="{01D902FA-6272-48E3-8D0A-A51D8C4186FF}" name="InicioDes2" dataDxfId="212"/>
    <tableColumn id="37" xr3:uid="{830F8F3D-AF33-4074-B569-B8DD6E6FA445}" name="FinDes2" dataDxfId="211"/>
    <tableColumn id="38" xr3:uid="{60BB9551-A71A-4CB1-9B01-1B3B7B578B99}" name="Inicio Real"/>
    <tableColumn id="39" xr3:uid="{1AF74CEF-53E4-4726-8197-FEF8756E8B71}" name="Fin Real"/>
    <tableColumn id="40" xr3:uid="{1289BFB0-2DBC-4FC7-9334-D1C76402FC09}" name="N° Sprint"/>
    <tableColumn id="41" xr3:uid="{888264FC-3D87-4A16-B841-A22C1A8F801A}" name="DiferenciaDes2"/>
    <tableColumn id="42" xr3:uid="{EC47C5F5-C1D7-48F0-A8C2-7B0E3483D456}" name="Observaciónes"/>
    <tableColumn id="43" xr3:uid="{FA1F9503-3A75-499E-BC40-53CA70253640}" name="ROI2"/>
    <tableColumn id="44" xr3:uid="{A49FC393-3F08-4ED3-9B7D-3DA6AF8DB6A3}" name="ROI3"/>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B66009CC-A01B-406C-B946-F68CE8C4EDF7}" name="Tabla10" displayName="Tabla10" ref="A3:AR17" totalsRowShown="0">
  <autoFilter ref="A3:AR17" xr:uid="{B66009CC-A01B-406C-B946-F68CE8C4EDF7}"/>
  <sortState xmlns:xlrd2="http://schemas.microsoft.com/office/spreadsheetml/2017/richdata2" ref="A4:AR17">
    <sortCondition ref="AA3:AA17"/>
  </sortState>
  <tableColumns count="44">
    <tableColumn id="1" xr3:uid="{D1D2754D-3D23-42DA-889F-C5D296DDFF3F}" name="Año"/>
    <tableColumn id="2" xr3:uid="{63FF8AB2-E585-49A0-B67F-101DEB519094}" name="Requiere _x000a_Presupuesto"/>
    <tableColumn id="3" xr3:uid="{4FFA4927-82A3-41DC-B3EC-7D3C4EB3F154}" name="Producto"/>
    <tableColumn id="4" xr3:uid="{7636F1FA-164A-4660-9E66-1B78A9B566EA}" name="Proyecto"/>
    <tableColumn id="5" xr3:uid="{4B931FB3-097C-40AE-ABC9-CD7818A71A3C}" name="Titulo"/>
    <tableColumn id="6" xr3:uid="{915D64DC-E3DB-4AD4-84D2-06BD597466CE}" name="Vínculo"/>
    <tableColumn id="7" xr3:uid="{5A112F99-3D10-4F26-AACE-73CEE7BA0DF7}" name="Columna2"/>
    <tableColumn id="8" xr3:uid="{CED84256-23A8-4771-BA09-E6235E42A8F7}" name="Descripción"/>
    <tableColumn id="9" xr3:uid="{FCC235FD-0109-4354-8ED4-0429F7A16E70}" name="Prioridad"/>
    <tableColumn id="10" xr3:uid="{C649EF4F-FA9B-41C6-9E40-A1FA0E60E608}" name="ALCANCE"/>
    <tableColumn id="11" xr3:uid="{A044083C-A143-4766-9A25-A524CB080D6F}" name="PROYECTO SAP"/>
    <tableColumn id="12" xr3:uid="{6B5CC494-706D-4890-938E-0DC61FB9BD61}" name="Frente"/>
    <tableColumn id="13" xr3:uid="{08B09238-05EE-4110-81DA-0445F4E47B58}" name="País"/>
    <tableColumn id="14" xr3:uid="{A8CF56E6-E9C3-43B2-8F63-D046B2C539BF}" name="Contacto"/>
    <tableColumn id="15" xr3:uid="{EC9A5762-6CB3-4962-B665-E161683DD4FC}" name="Área"/>
    <tableColumn id="16" xr3:uid="{60FFA4B7-3CB2-4D41-9BF3-87E80A7E1AA1}" name="Aprobación"/>
    <tableColumn id="17" xr3:uid="{DDBD5723-755F-4090-84FC-715811D3023C}" name="Progreso"/>
    <tableColumn id="18" xr3:uid="{2409A4CC-85DA-49AE-9157-D3C8C0BE86C7}" name="Prioridad Cliente"/>
    <tableColumn id="19" xr3:uid="{C5E44D48-FE03-4073-B78D-48715DEEBA5E}" name="Prioridad_x000a_PO"/>
    <tableColumn id="20" xr3:uid="{89D15223-AD0B-4E68-B22C-8A6BA61A5EC2}" name="Dependencia "/>
    <tableColumn id="21" xr3:uid="{1B673BE1-1E90-40EA-AC6E-07704E4BE56A}" name="Complejidad"/>
    <tableColumn id="22" xr3:uid="{F3678D8E-5EA4-437E-AF22-B0A6283BD805}" name="Factor País"/>
    <tableColumn id="23" xr3:uid="{0D8D9067-6162-4EFB-8B97-9FAA2AFFFCF5}" name="Número_x000a_Semanas"/>
    <tableColumn id="24" xr3:uid="{A8D81549-9A5C-49E4-A464-D479819CC1B3}" name="Número_x000a_Personas"/>
    <tableColumn id="25" xr3:uid="{4D501717-2512-4FA9-9D06-3601360BD10A}" name="Costo_x000a_Mano Obra/semana"/>
    <tableColumn id="26" xr3:uid="{38B1DDDC-8094-49BF-971B-B85FBF9B790C}" name="Otros _x000a_Costos"/>
    <tableColumn id="27" xr3:uid="{BCADD0CC-2C36-4E70-9689-45AF18E3BB0A}" name="TOTAL"/>
    <tableColumn id="28" xr3:uid="{8871CF2C-F46C-42FD-8583-520FC9FDB532}" name="Costos _x000a_Recurrente"/>
    <tableColumn id="29" xr3:uid="{34E983AC-566D-4400-9146-BEA67296D83D}" name="ROI"/>
    <tableColumn id="30" xr3:uid="{6155FCD3-952B-4E1F-A83E-A5D503D76A2B}" name="InicioDes" dataDxfId="194"/>
    <tableColumn id="31" xr3:uid="{4092192E-978C-4081-B2BD-2ED5DCDC5AFE}" name="FinDes" dataDxfId="193"/>
    <tableColumn id="32" xr3:uid="{BC06C0C1-110E-46F0-9A0D-F5BDA8350D17}" name="DiferenciaDes"/>
    <tableColumn id="33" xr3:uid="{166A76F6-6431-4ABA-9E7D-347967043526}" name="InicioPil" dataDxfId="192"/>
    <tableColumn id="34" xr3:uid="{02463AC4-8773-4427-86D4-875CD44E591F}" name="FinPil" dataDxfId="191"/>
    <tableColumn id="35" xr3:uid="{BFD058AE-8921-419D-B0C2-D4461742D618}" name="Diferencia Pil" dataDxfId="190"/>
    <tableColumn id="36" xr3:uid="{BA33BB68-4C74-4F84-8E7A-F92B973CF504}" name="InicioDes2"/>
    <tableColumn id="37" xr3:uid="{3187FAB7-F7F9-4F29-970E-FFEB27A392C9}" name="FinDes2"/>
    <tableColumn id="38" xr3:uid="{C6DFEA94-525D-4450-A780-924303583237}" name="Inicio Real"/>
    <tableColumn id="39" xr3:uid="{0CA5149F-533C-4705-9B4A-B4E596C4A70E}" name="Fin Real"/>
    <tableColumn id="40" xr3:uid="{DE68C074-A3B7-485C-A393-FF09D2218E07}" name="N° Sprint"/>
    <tableColumn id="41" xr3:uid="{1BE759AE-F7B8-4BBE-9EDD-9D890EB81A64}" name="DiferenciaDes2"/>
    <tableColumn id="42" xr3:uid="{11B996C8-E4C4-4323-B38F-2A524E2AF440}" name="Observaciónes"/>
    <tableColumn id="43" xr3:uid="{F575E10D-0F6C-4EB9-A263-ED2FBFD026FD}" name="ROI2"/>
    <tableColumn id="44" xr3:uid="{E12FBA70-BA9E-43DC-B44A-C06A40DF498B}" name="ROI3"/>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C497C8-1C2E-4336-9C72-A122500E6714}" name="Tabla2" displayName="Tabla2" ref="A3:AL11" totalsRowShown="0">
  <autoFilter ref="A3:AL11" xr:uid="{7CC497C8-1C2E-4336-9C72-A122500E6714}"/>
  <sortState xmlns:xlrd2="http://schemas.microsoft.com/office/spreadsheetml/2017/richdata2" ref="A4:AL11">
    <sortCondition ref="I3:I11"/>
  </sortState>
  <tableColumns count="38">
    <tableColumn id="1" xr3:uid="{9BE5F985-BEAE-4542-8BFA-8D3C9502EE0B}" name="Año"/>
    <tableColumn id="2" xr3:uid="{AB681710-862E-4796-A2F7-BF697BEEFFAC}" name="Requiere _x000a_Presupuesto"/>
    <tableColumn id="3" xr3:uid="{65CF1F19-2FC7-4BC9-82CC-284EE6E4F6DA}" name="Producto"/>
    <tableColumn id="4" xr3:uid="{9FD594D2-53D0-47B7-BBEE-F82B8E3032FA}" name="Titulo"/>
    <tableColumn id="5" xr3:uid="{C1A8D7C6-4313-41D1-95DA-8E2556E1E702}" name="Columna2"/>
    <tableColumn id="6" xr3:uid="{4A28E859-939E-4480-BD92-BBBDE9079BC1}" name="Descripción"/>
    <tableColumn id="7" xr3:uid="{58A7F750-B936-44F8-A925-69047612FC9C}" name="Prioridad"/>
    <tableColumn id="8" xr3:uid="{30A8956E-C539-4CFA-9DF0-AADF19628EA1}" name="PROYECTO SAP"/>
    <tableColumn id="9" xr3:uid="{80B471BE-35B3-4216-9F78-DD2659E76189}" name="Frente"/>
    <tableColumn id="10" xr3:uid="{B18A75ED-B99B-4441-81F4-4DEF49882F72}" name="País"/>
    <tableColumn id="11" xr3:uid="{8A9E28EF-E55B-4F03-A545-77646EFE6E95}" name="Contacto"/>
    <tableColumn id="12" xr3:uid="{6B55CE2C-258C-4A18-91AD-877730506507}" name="Área"/>
    <tableColumn id="13" xr3:uid="{AC1F12FE-3904-4C77-9B9B-03B647927CE2}" name="Aprobación"/>
    <tableColumn id="14" xr3:uid="{4387C604-BB36-4FF5-A449-419038407C8B}" name="Progreso"/>
    <tableColumn id="15" xr3:uid="{4E5A76BD-6B9A-4B9E-ABF4-ED94254DC520}" name="Prioridad Cliente"/>
    <tableColumn id="16" xr3:uid="{D9293D59-1801-48C7-B1F5-BAB294597E38}" name="Prioridad_x000a_PO"/>
    <tableColumn id="17" xr3:uid="{F75EEA3A-E2FD-4704-B410-DB7E830A390D}" name="Dependencia "/>
    <tableColumn id="18" xr3:uid="{51826463-5144-42A0-958D-CBA8BA390782}" name="Complejidad"/>
    <tableColumn id="19" xr3:uid="{0096AF63-896C-439B-8874-9EB98059C7AA}" name="Factor País"/>
    <tableColumn id="20" xr3:uid="{0180935D-4C00-4093-BB73-049C057593F4}" name="Número_x000a_Semanas"/>
    <tableColumn id="21" xr3:uid="{73F14A0C-44AB-4A51-9287-098054AF26F0}" name="Número_x000a_Personas"/>
    <tableColumn id="22" xr3:uid="{C777889C-2ECF-4960-B2A7-54A1510B775F}" name="Costo_x000a_Mano Obra/semana"/>
    <tableColumn id="23" xr3:uid="{AA79CB4B-81A5-4D50-93F3-92078B3C4AC9}" name="Otros _x000a_Costos"/>
    <tableColumn id="24" xr3:uid="{1762266C-978F-46E7-91B7-23799794A2AE}" name="TOTAL"/>
    <tableColumn id="25" xr3:uid="{5428FF31-9150-4294-BC71-60BD7D6668F8}" name="Costos _x000a_Recurrente"/>
    <tableColumn id="26" xr3:uid="{E55A7EB1-2560-4E5E-B427-12FBAB1F0422}" name="ROI"/>
    <tableColumn id="27" xr3:uid="{DE2642D7-EEDD-4ED8-A0D8-7C94F7063410}" name="InicioDes" dataDxfId="98"/>
    <tableColumn id="28" xr3:uid="{B2AAB4D7-39C0-4DAB-9619-CA2B20DC3CAA}" name="FinDes" dataDxfId="97"/>
    <tableColumn id="29" xr3:uid="{12BF75A8-100A-4D49-B12C-58F7512AB940}" name="DiferenciaDes"/>
    <tableColumn id="30" xr3:uid="{97E1BC74-A84B-4765-B758-E4DD8A8E273A}" name="InicioPil" dataDxfId="96"/>
    <tableColumn id="31" xr3:uid="{1E523C98-9E29-4D29-A762-017F2FA4CADF}" name="FinPil" dataDxfId="95"/>
    <tableColumn id="32" xr3:uid="{6B706A3A-193E-46FB-BF69-B6BDE22DBAF2}" name="Diferencia Pil" dataDxfId="94"/>
    <tableColumn id="33" xr3:uid="{F9C56650-631D-41D4-9928-63C49E0A9591}" name="InicioDes2" dataDxfId="93"/>
    <tableColumn id="34" xr3:uid="{DFA22442-CED2-445F-9C3F-08840E953429}" name="FinDes2" dataDxfId="92"/>
    <tableColumn id="35" xr3:uid="{7C4C22A9-92FA-4983-B27D-ECE99EA05EA2}" name="DiferenciaDes2"/>
    <tableColumn id="36" xr3:uid="{43B8B3B2-F388-4BC0-95C7-6328CBC892F0}" name="Observaciónes"/>
    <tableColumn id="37" xr3:uid="{BB229627-28D9-4D96-9568-5E7FAE63861D}" name="ROI2"/>
    <tableColumn id="38" xr3:uid="{447FD1A2-C424-4CED-9F3E-654C7860A564}" name="ROI3"/>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D3" dT="2024-02-16T15:07:42.18" personId="{1B7A9E83-1E66-4F83-8C51-0F27172D4771}" id="{E331EEDB-8D13-4E19-BF74-D607AE31AFC7}">
    <text xml:space="preserve">Este desarrollo se encuentra en Chile y Colombia. Ecuador en desarrollo y se realizarán pruebas con Operaciones
</text>
  </threadedComment>
  <threadedComment ref="D4" dT="2024-02-19T20:12:12.51" personId="{1B7A9E83-1E66-4F83-8C51-0F27172D4771}" id="{3095817C-0841-417E-A648-51C0439CFC53}">
    <text xml:space="preserve">Evaluar funcionalidad en conjunto con la solucion de dragonTail
</text>
  </threadedComment>
  <threadedComment ref="D10" dT="2024-02-19T20:24:43.73" personId="{1B7A9E83-1E66-4F83-8C51-0F27172D4771}" id="{FCF28737-16DE-44ED-AF20-112728EDDAA1}">
    <text>Integración de la pantalla en maxpoint azure paises.
API Cupones, levantamiento
Integración con trade para activar el modulo de cupones dentro del app.</text>
  </threadedComment>
  <threadedComment ref="Q23" dT="2024-02-14T21:05:43.76" personId="{3F913046-5034-4E39-A8CA-25A54461BAD3}" id="{A2EE2561-C267-44BB-BBBD-71210CB36DEC}">
    <text>pulsar</text>
  </threadedComment>
  <threadedComment ref="D30" dT="2024-02-19T19:25:51.50" personId="{1B7A9E83-1E66-4F83-8C51-0F27172D4771}" id="{472BC32F-88D2-4009-8DA4-662E6D520EB8}">
    <text>Proyecto nuevo cupones manuales</text>
  </threadedComment>
  <threadedComment ref="D35" dT="2024-03-18T19:41:59.99" personId="{28F6C3C0-35BD-479B-BE60-FACF2EA83CED}" id="{636D025A-8D12-4612-95AF-90DC4203D62D}">
    <text>Validar con Daniel si este requerimiento sigue en marcha o se cancela</text>
  </threadedComment>
  <threadedComment ref="D38" dT="2024-02-15T20:25:57.62" personId="{C1372D6D-2F3A-452B-AB96-2A659F500919}" id="{979E7536-7C1A-415C-A1EC-BE10BC1DE116}">
    <text>al tratarse de un requerimiento de transformación digital no debería pasar a la mesa de canales digitales?</text>
  </threadedComment>
  <threadedComment ref="F39" dT="2024-02-06T21:06:50.82" personId="{1B7A9E83-1E66-4F83-8C51-0F27172D4771}" id="{D02E63B1-405A-4FE3-B5E1-5DC95E552605}">
    <text>por Solicitud de Franklin Tello iniciar desde el Q1 para que se termine en Q2</text>
  </threadedComment>
  <threadedComment ref="D47" dT="2024-02-18T16:12:34.12" personId="{1B7A9E83-1E66-4F83-8C51-0F27172D4771}" id="{558B38B0-5B9B-482A-ADF7-F4DCFD8EB9B3}">
    <text xml:space="preserve">Ana Cuevas indica que Upselling ya se tiene listo.
</text>
  </threadedComment>
  <threadedComment ref="D56" dT="2024-02-28T21:58:16.79" personId="{1B7A9E83-1E66-4F83-8C51-0F27172D4771}" id="{B76F2B2C-1B5F-456B-A6A3-B29A1CD4339A}">
    <text>Mapeo del campo</text>
  </threadedComment>
  <threadedComment ref="D82" dT="2024-02-19T19:18:50.65" personId="{1B7A9E83-1E66-4F83-8C51-0F27172D4771}" id="{04A7F11B-2D7A-4C5E-B501-F3C61D03B8ED}">
    <text xml:space="preserve">No se ha definido aun con operaciones, pendiente reunión organizada por TD
</text>
  </threadedComment>
  <threadedComment ref="D98" dT="2024-02-02T04:25:33.47" personId="{1B7A9E83-1E66-4F83-8C51-0F27172D4771}" id="{564FE749-F706-44F2-B127-0847A0DB792F}">
    <text>Se mueve a Q2 para que entre Fidelización (KFC Fidelización (Lealtad Simple, puntos y tiers))</text>
  </threadedComment>
  <threadedComment ref="D113" dT="2024-02-20T17:32:16.75" personId="{1B7A9E83-1E66-4F83-8C51-0F27172D4771}" id="{CD56DA4C-A7DF-4F52-89AE-E4A4A64BD6BF}">
    <text xml:space="preserve">Integración con la web  que creo TRADE para Argentina. </text>
  </threadedComment>
  <threadedComment ref="D128" dT="2024-02-19T20:24:43.73" personId="{1B7A9E83-1E66-4F83-8C51-0F27172D4771}" id="{4B2B7FE4-D39D-40AB-B717-9DC906E5F4F2}">
    <text>Integración de la pantalla en maxpoint azure paises.
API Cupones, levantamiento
Integración con trade para activar el modulo de cupones dentro del app.</text>
  </threadedComment>
  <threadedComment ref="D129" dT="2024-02-19T20:12:12.51" personId="{1B7A9E83-1E66-4F83-8C51-0F27172D4771}" id="{08B3D485-66B2-4C4A-84D1-4DE8CFDB0729}">
    <text xml:space="preserve">Evaluar funcionalidad en conjunto con la solucion de dragonTail
</text>
  </threadedComment>
  <threadedComment ref="AE132" dT="2024-02-15T15:56:44.94" personId="{3F913046-5034-4E39-A8CA-25A54461BAD3}" id="{5C35DE6B-272C-45D0-8A49-C6B8FF729B5D}">
    <text xml:space="preserve">Licencias 25 uSER
Dataesphere </text>
  </threadedComment>
  <threadedComment ref="D155" dT="2024-02-19T20:12:12.51" personId="{1B7A9E83-1E66-4F83-8C51-0F27172D4771}" id="{3187F1BC-48D8-4DB3-B901-C30F6CF28ABD}">
    <text xml:space="preserve">Evaluar funcionalidad en conjunto con la solucion de dragonTail
</text>
  </threadedComment>
  <threadedComment ref="D161" dT="2024-02-19T20:24:43.73" personId="{1B7A9E83-1E66-4F83-8C51-0F27172D4771}" id="{3EFE71E2-3616-4D8F-ADA0-3B0DBB181BB1}">
    <text>Integración de la pantalla en maxpoint azure paises.
API Cupones, levantamiento
Integración con trade para activar el modulo de cupones dentro del app.</text>
  </threadedComment>
  <threadedComment ref="D163" dT="2024-03-15T21:10:49.13" personId="{28F6C3C0-35BD-479B-BE60-FACF2EA83CED}" id="{8D9140E7-6A8B-4177-96B0-7938329C8F33}">
    <text>Se está ejecutando con el equipo de MXP</text>
  </threadedComment>
  <threadedComment ref="D167" dT="2024-02-15T20:22:57.46" personId="{C1372D6D-2F3A-452B-AB96-2A659F500919}" id="{BCE1314A-FF78-459A-AAFA-0947FB03BF90}">
    <text>Este proyecto se activaría dependiendo de la estabilización en países ya que actualmente se tiene incidentes con esta nueva solución</text>
  </threadedComment>
  <threadedComment ref="D197" dT="2024-02-22T14:48:24.53" personId="{C1372D6D-2F3A-452B-AB96-2A659F500919}" id="{1A26996C-1BF9-4F68-B40C-658D3E7F7CD1}">
    <text>Este es un requerimiento de configuración, no implica nuevo desarrollo</text>
  </threadedComment>
  <threadedComment ref="D208" dT="2024-02-19T19:50:20.37" personId="{C1372D6D-2F3A-452B-AB96-2A659F500919}" id="{1A0334D8-6DE9-450D-A929-048A286E925D}">
    <text xml:space="preserve">Se valida que esta funcionalidad si existe. El sistema filtra todas las coincidencias
</text>
  </threadedComment>
  <threadedComment ref="D230" dT="2024-02-08T14:36:33.81" personId="{C1372D6D-2F3A-452B-AB96-2A659F500919}" id="{DA14ADD4-EC2F-4440-A402-D92C6DE88319}">
    <text>Validar si este requerimiento se debe realizar en el legacy o puede esperar al nuevo mxp</text>
  </threadedComment>
  <threadedComment ref="I230" dT="2024-02-08T14:36:33.81" personId="{C1372D6D-2F3A-452B-AB96-2A659F500919}" id="{7E941710-76C6-4599-AB6E-59B121ED688D}">
    <text>Validar si este requerimiento se debe realizar en el legacy o puede esperar al nuevo mxp</text>
  </threadedComment>
  <threadedComment ref="D248" dT="2024-02-08T14:34:27.13" personId="{C1372D6D-2F3A-452B-AB96-2A659F500919}" id="{6B2DE0A5-2D27-4706-9AF5-06896088873B}">
    <text>Este requerimiento debería trasladarse al equipo de canales digitales</text>
  </threadedComment>
  <threadedComment ref="D254" dT="2024-03-15T21:10:49.13" personId="{28F6C3C0-35BD-479B-BE60-FACF2EA83CED}" id="{B06809F9-C9EA-45F2-AA39-02FDB19D8416}">
    <text>Se está ejecutando con el equipo de MXP</text>
  </threadedComment>
  <threadedComment ref="D261" dT="2024-02-19T20:24:43.73" personId="{1B7A9E83-1E66-4F83-8C51-0F27172D4771}" id="{C693EAC6-F505-4B35-9A2F-4EC5AF060284}">
    <text>Integración de la pantalla en maxpoint azure paises.
API Cupones, levantamiento
Integración con trade para activar el modulo de cupones dentro del app.</text>
  </threadedComment>
  <threadedComment ref="R261" dT="2024-04-15T17:09:24.83" personId="{28F6C3C0-35BD-479B-BE60-FACF2EA83CED}" id="{DB54CDBB-73CA-4BC4-8A16-AC801DC466FF}">
    <text>Se confirma Marlon con Guillermo Trade</text>
  </threadedComment>
  <threadedComment ref="D263" dT="2024-03-15T21:10:49.13" personId="{28F6C3C0-35BD-479B-BE60-FACF2EA83CED}" id="{ECC74BC2-6834-42F8-AF02-72410FA70D10}">
    <text>Se está ejecutando con el equipo de MXP</text>
  </threadedComment>
  <threadedComment ref="D292" dT="2024-04-11T21:47:44.70" personId="{E780620E-C9A1-4446-AF00-93ED69FC1A83}" id="{3EA5E423-9A36-4175-863D-597909B093E9}">
    <text>Confirmar fecha</text>
  </threadedComment>
  <threadedComment ref="D294" dT="2024-02-08T14:39:31.49" personId="{C1372D6D-2F3A-452B-AB96-2A659F500919}" id="{2971D440-76C6-409F-BE83-05D36BA0B109}">
    <text>Este requerimiento se debería trasladar a la mesa de canales digitales ya que trata de los tiempos de los pedidos de domicilio</text>
  </threadedComment>
  <threadedComment ref="D319" dT="2024-03-15T21:10:49.13" personId="{28F6C3C0-35BD-479B-BE60-FACF2EA83CED}" id="{FC07CD90-2964-4BF0-B8C1-95C552C0FFED}">
    <text>Se está ejecutando con el equipo de MXP</text>
  </threadedComment>
  <threadedComment ref="C350" dT="2024-03-15T20:50:06.75" personId="{28F6C3C0-35BD-479B-BE60-FACF2EA83CED}" id="{A90FBD88-6D4D-4C16-9834-BD24402771CB}">
    <text>Pendiente formalizar, ya que se indica que este requerimiento se da de baja ya que lo va a realizar TRADE. CONFIRMAR</text>
  </threadedComment>
  <threadedComment ref="C367" dT="2024-03-15T20:50:06.75" personId="{28F6C3C0-35BD-479B-BE60-FACF2EA83CED}" id="{54B7D93A-349F-4A48-B329-D5FD9DD33D2E}">
    <text>Pendiente formalizar, ya que se indica que este requerimiento se da de baja ya que lo va a realizar TRADE. CONFIRMAR</text>
  </threadedComment>
  <threadedComment ref="D384" dT="2023-10-18T13:46:59.03" personId="{1B14BBA8-FACB-42F8-A7AA-7A4AFFD20B34}" id="{DE8FA061-7987-4F3B-BF29-217B20626E1D}">
    <text>Siempre esta sujeto a homologación por la variación de drivers</text>
  </threadedComment>
  <threadedComment ref="D386" dT="2023-10-18T13:46:59.03" personId="{1B14BBA8-FACB-42F8-A7AA-7A4AFFD20B34}" id="{25691A08-6D60-4BF2-868B-4B0D73E4573E}">
    <text>Siempre esta sujeto a homologación por la variación de drivers</text>
  </threadedComment>
  <threadedComment ref="U394" dT="2024-02-08T19:49:27.22" personId="{5BDDB8D7-8CB1-4684-BB98-A54555A0A6F2}" id="{0A2E7E6D-5A66-4EE1-89F6-42342B7EA666}">
    <text>Separar requerimiento en fidelización y placa</text>
  </threadedComment>
  <threadedComment ref="D398" dT="2024-02-15T20:31:07.63" personId="{C1372D6D-2F3A-452B-AB96-2A659F500919}" id="{27D3F0E1-EE95-4603-A7AE-BCD64867C8C9}">
    <text xml:space="preserve">Se encuentra en fase de pruebas QA. La factura del desarrollador a cargo se está financiando del proyecto de la matriz regional, es eso correcto ¿?
</text>
  </threadedComment>
  <threadedComment ref="I406" dT="2024-02-08T14:36:33.81" personId="{C1372D6D-2F3A-452B-AB96-2A659F500919}" id="{4A328965-9C96-4F3E-B5B9-00EFD44771D8}">
    <text>Validar si este requerimiento se debe realizar en el legacy o puede esperar al nuevo mxp</text>
  </threadedComment>
  <threadedComment ref="C424" dT="2024-03-15T20:50:06.75" personId="{28F6C3C0-35BD-479B-BE60-FACF2EA83CED}" id="{B80ABBA6-D072-4121-B26A-124F9EB15230}">
    <text>Pendiente formalizar, ya que se indica que este requerimiento se da de baja ya que lo va a realizar TRADE. CONFIRMAR</text>
  </threadedComment>
</ThreadedComments>
</file>

<file path=xl/threadedComments/threadedComment2.xml><?xml version="1.0" encoding="utf-8"?>
<ThreadedComments xmlns="http://schemas.microsoft.com/office/spreadsheetml/2018/threadedcomments" xmlns:x="http://schemas.openxmlformats.org/spreadsheetml/2006/main">
  <threadedComment ref="D20" dT="2024-02-19T19:50:20.37" personId="{C1372D6D-2F3A-452B-AB96-2A659F500919}" id="{1972577B-69EA-4068-B50E-DF2FD9B694BE}">
    <text xml:space="preserve">Se valida que esta funcionalidad si existe. El sistema filtra todas las coincidencias
</text>
  </threadedComment>
</ThreadedComments>
</file>

<file path=xl/threadedComments/threadedComment3.xml><?xml version="1.0" encoding="utf-8"?>
<ThreadedComments xmlns="http://schemas.microsoft.com/office/spreadsheetml/2018/threadedcomments" xmlns:x="http://schemas.openxmlformats.org/spreadsheetml/2006/main">
  <threadedComment ref="D39" dT="2024-02-22T13:09:18.54" personId="{89CBC532-1B10-4ABC-953A-C3EEA194CEBA}" id="{EC45A583-D2D5-452A-B513-640C34F3C70F}">
    <text>$2000 ERP
$1800 SIR</text>
  </threadedComment>
</ThreadedComments>
</file>

<file path=xl/threadedComments/threadedComment4.xml><?xml version="1.0" encoding="utf-8"?>
<ThreadedComments xmlns="http://schemas.microsoft.com/office/spreadsheetml/2018/threadedcomments" xmlns:x="http://schemas.openxmlformats.org/spreadsheetml/2006/main">
  <threadedComment ref="B21" dT="2024-02-08T14:34:27.13" personId="{C1372D6D-2F3A-452B-AB96-2A659F500919}" id="{61253DFE-073A-4088-A0C9-529470046840}">
    <text>Este requerimiento debería trasladarse al equipo de canales digitales</text>
  </threadedComment>
</ThreadedComments>
</file>

<file path=xl/threadedComments/threadedComment5.xml><?xml version="1.0" encoding="utf-8"?>
<ThreadedComments xmlns="http://schemas.microsoft.com/office/spreadsheetml/2018/threadedcomments" xmlns:x="http://schemas.openxmlformats.org/spreadsheetml/2006/main">
  <threadedComment ref="D16" dT="2024-02-22T13:09:18.54" personId="{89CBC532-1B10-4ABC-953A-C3EEA194CEBA}" id="{974C94DB-ED64-4AE3-931C-32761E37C8F4}">
    <text>$2000 ERP
$1800 SIR</text>
  </threadedComment>
  <threadedComment ref="D53" dT="2024-02-22T13:09:18.54" personId="{89CBC532-1B10-4ABC-953A-C3EEA194CEBA}" id="{3A9C189A-BBBC-4741-B4E7-E244B2169316}">
    <text>$2000 ERP
$1800 SIR</text>
  </threadedComment>
</ThreadedComments>
</file>

<file path=xl/threadedComments/threadedComment6.xml><?xml version="1.0" encoding="utf-8"?>
<ThreadedComments xmlns="http://schemas.microsoft.com/office/spreadsheetml/2018/threadedcomments" xmlns:x="http://schemas.openxmlformats.org/spreadsheetml/2006/main">
  <threadedComment ref="D41" dT="2024-02-22T13:09:18.54" personId="{89CBC532-1B10-4ABC-953A-C3EEA194CEBA}" id="{7750FFCE-4F15-4EAB-B41E-EF994779FC9E}">
    <text>$2000 ERP
$1800 SIR</text>
  </threadedComment>
</ThreadedComments>
</file>

<file path=xl/threadedComments/threadedComment7.xml><?xml version="1.0" encoding="utf-8"?>
<ThreadedComments xmlns="http://schemas.microsoft.com/office/spreadsheetml/2018/threadedcomments" xmlns:x="http://schemas.openxmlformats.org/spreadsheetml/2006/main">
  <threadedComment ref="D17" dT="2024-02-08T14:28:20.10" personId="{C1372D6D-2F3A-452B-AB96-2A659F500919}" id="{2B483964-3AE0-4275-8571-9147D62064BC}">
    <text>Este requerimiento se lo debe trasladar al equipo de BI</text>
  </threadedComment>
</ThreadedComments>
</file>

<file path=xl/threadedComments/threadedComment8.xml><?xml version="1.0" encoding="utf-8"?>
<ThreadedComments xmlns="http://schemas.microsoft.com/office/spreadsheetml/2018/threadedcomments" xmlns:x="http://schemas.openxmlformats.org/spreadsheetml/2006/main">
  <threadedComment ref="C15" dT="2024-01-17T16:55:38.04" personId="{1B7A9E83-1E66-4F83-8C51-0F27172D4771}" id="{12C920F7-9F77-43C4-ADBD-BAD12CDEF7FB}">
    <text xml:space="preserve">Integracion desde KFC TRADE TICTUK
</text>
  </threadedComment>
</ThreadedComments>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3" Type="http://schemas.openxmlformats.org/officeDocument/2006/relationships/hyperlink" Target="mailto:byron.realpe@kfc.com.ec" TargetMode="External"/><Relationship Id="rId18" Type="http://schemas.openxmlformats.org/officeDocument/2006/relationships/hyperlink" Target="mailto:juanc.benalcazar@kfc.com.ec" TargetMode="External"/><Relationship Id="rId26" Type="http://schemas.openxmlformats.org/officeDocument/2006/relationships/hyperlink" Target="mailto:william.villegas@kfc.co" TargetMode="External"/><Relationship Id="rId21" Type="http://schemas.openxmlformats.org/officeDocument/2006/relationships/hyperlink" Target="mailto:maria.stay@degasa.cl" TargetMode="External"/><Relationship Id="rId34" Type="http://schemas.openxmlformats.org/officeDocument/2006/relationships/printerSettings" Target="../printerSettings/printerSettings1.bin"/><Relationship Id="rId7" Type="http://schemas.openxmlformats.org/officeDocument/2006/relationships/hyperlink" Target="mailto:amarilis.loor@kfc.com.ec" TargetMode="External"/><Relationship Id="rId12" Type="http://schemas.openxmlformats.org/officeDocument/2006/relationships/hyperlink" Target="mailto:antonio.sampayo@kfc.om.ve" TargetMode="External"/><Relationship Id="rId17" Type="http://schemas.openxmlformats.org/officeDocument/2006/relationships/hyperlink" Target="mailto:juanc.benalcazar@kfc.com.ec" TargetMode="External"/><Relationship Id="rId25" Type="http://schemas.openxmlformats.org/officeDocument/2006/relationships/hyperlink" Target="mailto:shuber.aguirre@kfc.com.ec" TargetMode="External"/><Relationship Id="rId33" Type="http://schemas.openxmlformats.org/officeDocument/2006/relationships/hyperlink" Target="mailto:vladimir.morillo@kfc.com.ec" TargetMode="External"/><Relationship Id="rId38" Type="http://schemas.microsoft.com/office/2017/10/relationships/threadedComment" Target="../threadedComments/threadedComment1.xml"/><Relationship Id="rId2" Type="http://schemas.openxmlformats.org/officeDocument/2006/relationships/hyperlink" Target="https://great-guanaco-257.notion.site/Funcionalidades-APP-Venezuela-cbfefaedcec7437caaaa84785c3c35b0?pvs=4" TargetMode="External"/><Relationship Id="rId16" Type="http://schemas.openxmlformats.org/officeDocument/2006/relationships/hyperlink" Target="mailto:jaime.rodriguez@kfc.com.ec" TargetMode="External"/><Relationship Id="rId20" Type="http://schemas.openxmlformats.org/officeDocument/2006/relationships/hyperlink" Target="mailto:jhustin.vergara@kfc.com.ve" TargetMode="External"/><Relationship Id="rId29" Type="http://schemas.openxmlformats.org/officeDocument/2006/relationships/hyperlink" Target="mailto:diego.diaz@kfc.com.ec" TargetMode="External"/><Relationship Id="rId1" Type="http://schemas.openxmlformats.org/officeDocument/2006/relationships/hyperlink" Target="https://great-guanaco-257.notion.site/Integraci-n-Maxpoint-con-Agregadores-Yummy-306a3eccb1a44c45aa2fde40e2056f20?pvs=4" TargetMode="External"/><Relationship Id="rId6" Type="http://schemas.openxmlformats.org/officeDocument/2006/relationships/hyperlink" Target="../../../../:x:/g/personal/jaime_rodriguez_kfc_com_ec/EWwudmcWrF5Orfn70_epfS0B0n4VkKn1AlsoFOePAXyN0w?e=YQy6fB&amp;nav=MTBfe2RmN2MzODMxLTNmOGMtNGZiOC1iNDM2LWUwNDEwMmM5MzhiNH1fezU3QTRCQkE2LTNDM0MtNEQ5NC1CNzk4LTA0MURCOUFBRkI1Qn0" TargetMode="External"/><Relationship Id="rId11" Type="http://schemas.openxmlformats.org/officeDocument/2006/relationships/hyperlink" Target="mailto:mpaula.tapia@kfc.com.ec" TargetMode="External"/><Relationship Id="rId24" Type="http://schemas.openxmlformats.org/officeDocument/2006/relationships/hyperlink" Target="mailto:joseluis.tello@kfc.com.ec" TargetMode="External"/><Relationship Id="rId32" Type="http://schemas.openxmlformats.org/officeDocument/2006/relationships/hyperlink" Target="mailto:veronica.maranon@kfc.com.ec" TargetMode="External"/><Relationship Id="rId37" Type="http://schemas.openxmlformats.org/officeDocument/2006/relationships/comments" Target="../comments1.xml"/><Relationship Id="rId5" Type="http://schemas.openxmlformats.org/officeDocument/2006/relationships/hyperlink" Target="../../../../:x:/g/personal/jaime_rodriguez_kfc_com_ec/EWwudmcWrF5Orfn70_epfS0B0n4VkKn1AlsoFOePAXyN0w?rtime=_mBpomnV20g" TargetMode="External"/><Relationship Id="rId15" Type="http://schemas.openxmlformats.org/officeDocument/2006/relationships/hyperlink" Target="mailto:jaime.rodriguez@kfc.com.ec" TargetMode="External"/><Relationship Id="rId23" Type="http://schemas.openxmlformats.org/officeDocument/2006/relationships/hyperlink" Target="mailto:miguel.lincango@kfc.com.ec" TargetMode="External"/><Relationship Id="rId28" Type="http://schemas.openxmlformats.org/officeDocument/2006/relationships/hyperlink" Target="mailto:jorge.samaniego@kfc.com.ec" TargetMode="External"/><Relationship Id="rId36" Type="http://schemas.openxmlformats.org/officeDocument/2006/relationships/table" Target="../tables/table1.xml"/><Relationship Id="rId10" Type="http://schemas.openxmlformats.org/officeDocument/2006/relationships/hyperlink" Target="mailto:ana.cordova@kfc.com.ec" TargetMode="External"/><Relationship Id="rId19" Type="http://schemas.openxmlformats.org/officeDocument/2006/relationships/hyperlink" Target="mailto:juan.estevez@kfc.com.ec" TargetMode="External"/><Relationship Id="rId31" Type="http://schemas.openxmlformats.org/officeDocument/2006/relationships/hyperlink" Target="mailto:sandra.pailacho@kfc.com" TargetMode="External"/><Relationship Id="rId4" Type="http://schemas.openxmlformats.org/officeDocument/2006/relationships/hyperlink" Target="../../../../:x:/g/personal/jaime_rodriguez_kfc_com_ec/EWwudmcWrF5Orfn70_epfS0B0n4VkKn1AlsoFOePAXyN0w?rtime=_mBpomnV20g" TargetMode="External"/><Relationship Id="rId9" Type="http://schemas.openxmlformats.org/officeDocument/2006/relationships/hyperlink" Target="mailto:amparo.aleman@kfc.com.ec" TargetMode="External"/><Relationship Id="rId14" Type="http://schemas.openxmlformats.org/officeDocument/2006/relationships/hyperlink" Target="mailto:domenica.bucheli@kfc.com.ec" TargetMode="External"/><Relationship Id="rId22" Type="http://schemas.openxmlformats.org/officeDocument/2006/relationships/hyperlink" Target="mailto:martin.lparraguirre@degasa.cl" TargetMode="External"/><Relationship Id="rId27" Type="http://schemas.openxmlformats.org/officeDocument/2006/relationships/hyperlink" Target="mailto:william.villegas@kfc.co" TargetMode="External"/><Relationship Id="rId30" Type="http://schemas.openxmlformats.org/officeDocument/2006/relationships/hyperlink" Target="mailto:diego.diaz@kfc.com.ec" TargetMode="External"/><Relationship Id="rId35" Type="http://schemas.openxmlformats.org/officeDocument/2006/relationships/vmlDrawing" Target="../drawings/vmlDrawing1.vml"/><Relationship Id="rId8" Type="http://schemas.openxmlformats.org/officeDocument/2006/relationships/hyperlink" Target="mailto:amarilis.loor@kfc.com.ec" TargetMode="External"/><Relationship Id="rId3" Type="http://schemas.openxmlformats.org/officeDocument/2006/relationships/hyperlink" Target="../../../../:x:/g/personal/jaime_rodriguez_kfc_com_ec/EWwudmcWrF5Orfn70_epfS0B0n4VkKn1AlsoFOePAXyN0w?e=YQy6fB&amp;nav=MTBfe2RmN2MzODMxLTNmOGMtNGZiOC1iNDM2LWUwNDEwMmM5MzhiNH1fezU3QTRCQkE2LTNDM0MtNEQ5NC1CNzk4LTA0MURCOUFBRkI1Qn0"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8.xml"/><Relationship Id="rId7" Type="http://schemas.microsoft.com/office/2017/10/relationships/threadedComment" Target="../threadedComments/threadedComment3.xml"/><Relationship Id="rId2" Type="http://schemas.openxmlformats.org/officeDocument/2006/relationships/pivotTable" Target="../pivotTables/pivotTable7.xml"/><Relationship Id="rId1" Type="http://schemas.openxmlformats.org/officeDocument/2006/relationships/pivotTable" Target="../pivotTables/pivotTable6.xm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2" Type="http://schemas.openxmlformats.org/officeDocument/2006/relationships/pivotTable" Target="../pivotTables/pivotTable10.xml"/><Relationship Id="rId1" Type="http://schemas.openxmlformats.org/officeDocument/2006/relationships/pivotTable" Target="../pivotTables/pivotTable9.xml"/></Relationships>
</file>

<file path=xl/worksheets/_rels/sheet10.xml.rels><?xml version="1.0" encoding="UTF-8" standalone="yes"?>
<Relationships xmlns="http://schemas.openxmlformats.org/package/2006/relationships"><Relationship Id="rId3" Type="http://schemas.openxmlformats.org/officeDocument/2006/relationships/pivotTable" Target="../pivotTables/pivotTable13.xml"/><Relationship Id="rId2" Type="http://schemas.openxmlformats.org/officeDocument/2006/relationships/pivotTable" Target="../pivotTables/pivotTable12.xml"/><Relationship Id="rId1" Type="http://schemas.openxmlformats.org/officeDocument/2006/relationships/pivotTable" Target="../pivotTables/pivotTable11.xml"/></Relationships>
</file>

<file path=xl/worksheets/_rels/sheet11.xml.rels><?xml version="1.0" encoding="UTF-8" standalone="yes"?>
<Relationships xmlns="http://schemas.openxmlformats.org/package/2006/relationships"><Relationship Id="rId2" Type="http://schemas.openxmlformats.org/officeDocument/2006/relationships/pivotTable" Target="../pivotTables/pivotTable15.xml"/><Relationship Id="rId1" Type="http://schemas.openxmlformats.org/officeDocument/2006/relationships/pivotTable" Target="../pivotTables/pivotTable14.xml"/></Relationships>
</file>

<file path=xl/worksheets/_rels/sheet12.xml.rels><?xml version="1.0" encoding="UTF-8" standalone="yes"?>
<Relationships xmlns="http://schemas.openxmlformats.org/package/2006/relationships"><Relationship Id="rId3" Type="http://schemas.openxmlformats.org/officeDocument/2006/relationships/pivotTable" Target="../pivotTables/pivotTable18.xml"/><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openxmlformats.org/officeDocument/2006/relationships/pivotTable" Target="../pivotTables/pivotTable20.xml"/><Relationship Id="rId4" Type="http://schemas.openxmlformats.org/officeDocument/2006/relationships/pivotTable" Target="../pivotTables/pivotTable19.xml"/></Relationships>
</file>

<file path=xl/worksheets/_rels/sheet13.xml.rels><?xml version="1.0" encoding="UTF-8" standalone="yes"?>
<Relationships xmlns="http://schemas.openxmlformats.org/package/2006/relationships"><Relationship Id="rId3" Type="http://schemas.openxmlformats.org/officeDocument/2006/relationships/pivotTable" Target="../pivotTables/pivotTable23.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pivotTable" Target="../pivotTables/pivotTable26.xml"/><Relationship Id="rId5" Type="http://schemas.openxmlformats.org/officeDocument/2006/relationships/pivotTable" Target="../pivotTables/pivotTable25.xml"/><Relationship Id="rId4" Type="http://schemas.openxmlformats.org/officeDocument/2006/relationships/pivotTable" Target="../pivotTables/pivotTable24.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7.xml"/></Relationships>
</file>

<file path=xl/worksheets/_rels/sheet15.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pivotTable" Target="../pivotTables/pivotTable30.xml"/><Relationship Id="rId7" Type="http://schemas.openxmlformats.org/officeDocument/2006/relationships/pivotTable" Target="../pivotTables/pivotTable34.xml"/><Relationship Id="rId2" Type="http://schemas.openxmlformats.org/officeDocument/2006/relationships/pivotTable" Target="../pivotTables/pivotTable29.xml"/><Relationship Id="rId1" Type="http://schemas.openxmlformats.org/officeDocument/2006/relationships/pivotTable" Target="../pivotTables/pivotTable28.xml"/><Relationship Id="rId6" Type="http://schemas.openxmlformats.org/officeDocument/2006/relationships/pivotTable" Target="../pivotTables/pivotTable33.xml"/><Relationship Id="rId11" Type="http://schemas.microsoft.com/office/2017/10/relationships/threadedComment" Target="../threadedComments/threadedComment5.xml"/><Relationship Id="rId5" Type="http://schemas.openxmlformats.org/officeDocument/2006/relationships/pivotTable" Target="../pivotTables/pivotTable32.xml"/><Relationship Id="rId10" Type="http://schemas.openxmlformats.org/officeDocument/2006/relationships/comments" Target="../comments5.xml"/><Relationship Id="rId4" Type="http://schemas.openxmlformats.org/officeDocument/2006/relationships/pivotTable" Target="../pivotTables/pivotTable31.xml"/><Relationship Id="rId9" Type="http://schemas.openxmlformats.org/officeDocument/2006/relationships/vmlDrawing" Target="../drawings/vmlDrawing5.vml"/></Relationships>
</file>

<file path=xl/worksheets/_rels/sheet17.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4" Type="http://schemas.openxmlformats.org/officeDocument/2006/relationships/printerSettings" Target="../printerSettings/printerSettings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4.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5.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6.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7.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2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9.xml"/><Relationship Id="rId1" Type="http://schemas.openxmlformats.org/officeDocument/2006/relationships/pivotTable" Target="../pivotTables/pivotTable38.xm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pivotTable" Target="../pivotTables/pivotTable41.xml"/><Relationship Id="rId1" Type="http://schemas.openxmlformats.org/officeDocument/2006/relationships/pivotTable" Target="../pivotTables/pivotTable40.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28.xml.rels><?xml version="1.0" encoding="UTF-8" standalone="yes"?>
<Relationships xmlns="http://schemas.openxmlformats.org/package/2006/relationships"><Relationship Id="rId3" Type="http://schemas.openxmlformats.org/officeDocument/2006/relationships/pivotTable" Target="../pivotTables/pivotTable44.xml"/><Relationship Id="rId2" Type="http://schemas.openxmlformats.org/officeDocument/2006/relationships/pivotTable" Target="../pivotTables/pivotTable43.xml"/><Relationship Id="rId1" Type="http://schemas.openxmlformats.org/officeDocument/2006/relationships/pivotTable" Target="../pivotTables/pivotTable42.xml"/><Relationship Id="rId6" Type="http://schemas.openxmlformats.org/officeDocument/2006/relationships/pivotTable" Target="../pivotTables/pivotTable47.xml"/><Relationship Id="rId5" Type="http://schemas.openxmlformats.org/officeDocument/2006/relationships/pivotTable" Target="../pivotTables/pivotTable46.xml"/><Relationship Id="rId4" Type="http://schemas.openxmlformats.org/officeDocument/2006/relationships/pivotTable" Target="../pivotTables/pivotTable45.xml"/></Relationships>
</file>

<file path=xl/worksheets/_rels/sheet29.xml.rels><?xml version="1.0" encoding="UTF-8" standalone="yes"?>
<Relationships xmlns="http://schemas.openxmlformats.org/package/2006/relationships"><Relationship Id="rId3" Type="http://schemas.openxmlformats.org/officeDocument/2006/relationships/pivotTable" Target="../pivotTables/pivotTable50.xml"/><Relationship Id="rId2" Type="http://schemas.openxmlformats.org/officeDocument/2006/relationships/pivotTable" Target="../pivotTables/pivotTable49.xml"/><Relationship Id="rId1" Type="http://schemas.openxmlformats.org/officeDocument/2006/relationships/pivotTable" Target="../pivotTables/pivotTable48.xml"/></Relationships>
</file>

<file path=xl/worksheets/_rels/sheet30.xml.rels><?xml version="1.0" encoding="UTF-8" standalone="yes"?>
<Relationships xmlns="http://schemas.openxmlformats.org/package/2006/relationships"><Relationship Id="rId3" Type="http://schemas.openxmlformats.org/officeDocument/2006/relationships/pivotTable" Target="../pivotTables/pivotTable53.xml"/><Relationship Id="rId7" Type="http://schemas.openxmlformats.org/officeDocument/2006/relationships/printerSettings" Target="../printerSettings/printerSettings7.bin"/><Relationship Id="rId2" Type="http://schemas.openxmlformats.org/officeDocument/2006/relationships/pivotTable" Target="../pivotTables/pivotTable52.xml"/><Relationship Id="rId1" Type="http://schemas.openxmlformats.org/officeDocument/2006/relationships/pivotTable" Target="../pivotTables/pivotTable51.xml"/><Relationship Id="rId6" Type="http://schemas.openxmlformats.org/officeDocument/2006/relationships/pivotTable" Target="../pivotTables/pivotTable56.xml"/><Relationship Id="rId5" Type="http://schemas.openxmlformats.org/officeDocument/2006/relationships/pivotTable" Target="../pivotTables/pivotTable55.xml"/><Relationship Id="rId4" Type="http://schemas.openxmlformats.org/officeDocument/2006/relationships/pivotTable" Target="../pivotTables/pivotTable54.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32.xml.rels><?xml version="1.0" encoding="UTF-8" standalone="yes"?>
<Relationships xmlns="http://schemas.openxmlformats.org/package/2006/relationships"><Relationship Id="rId3" Type="http://schemas.openxmlformats.org/officeDocument/2006/relationships/pivotTable" Target="../pivotTables/pivotTable59.xml"/><Relationship Id="rId7" Type="http://schemas.microsoft.com/office/2017/10/relationships/threadedComment" Target="../threadedComments/threadedComment6.xml"/><Relationship Id="rId2" Type="http://schemas.openxmlformats.org/officeDocument/2006/relationships/pivotTable" Target="../pivotTables/pivotTable58.xml"/><Relationship Id="rId1" Type="http://schemas.openxmlformats.org/officeDocument/2006/relationships/pivotTable" Target="../pivotTables/pivotTable57.xml"/><Relationship Id="rId6" Type="http://schemas.openxmlformats.org/officeDocument/2006/relationships/comments" Target="../comments6.xml"/><Relationship Id="rId5" Type="http://schemas.openxmlformats.org/officeDocument/2006/relationships/vmlDrawing" Target="../drawings/vmlDrawing6.vml"/><Relationship Id="rId4"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3" Type="http://schemas.openxmlformats.org/officeDocument/2006/relationships/pivotTable" Target="../pivotTables/pivotTable62.xml"/><Relationship Id="rId2" Type="http://schemas.openxmlformats.org/officeDocument/2006/relationships/pivotTable" Target="../pivotTables/pivotTable61.xml"/><Relationship Id="rId1" Type="http://schemas.openxmlformats.org/officeDocument/2006/relationships/pivotTable" Target="../pivotTables/pivotTable60.xml"/></Relationships>
</file>

<file path=xl/worksheets/_rels/sheet34.xml.rels><?xml version="1.0" encoding="UTF-8" standalone="yes"?>
<Relationships xmlns="http://schemas.openxmlformats.org/package/2006/relationships"><Relationship Id="rId3" Type="http://schemas.openxmlformats.org/officeDocument/2006/relationships/pivotTable" Target="../pivotTables/pivotTable65.xml"/><Relationship Id="rId2" Type="http://schemas.openxmlformats.org/officeDocument/2006/relationships/pivotTable" Target="../pivotTables/pivotTable64.xml"/><Relationship Id="rId1" Type="http://schemas.openxmlformats.org/officeDocument/2006/relationships/pivotTable" Target="../pivotTables/pivotTable63.xml"/></Relationships>
</file>

<file path=xl/worksheets/_rels/sheet35.xml.rels><?xml version="1.0" encoding="UTF-8" standalone="yes"?>
<Relationships xmlns="http://schemas.openxmlformats.org/package/2006/relationships"><Relationship Id="rId3" Type="http://schemas.microsoft.com/office/2017/10/relationships/threadedComment" Target="../threadedComments/threadedComment7.xml"/><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36.xml.rels><?xml version="1.0" encoding="UTF-8" standalone="yes"?>
<Relationships xmlns="http://schemas.openxmlformats.org/package/2006/relationships"><Relationship Id="rId3" Type="http://schemas.openxmlformats.org/officeDocument/2006/relationships/pivotTable" Target="../pivotTables/pivotTable68.xml"/><Relationship Id="rId2" Type="http://schemas.openxmlformats.org/officeDocument/2006/relationships/pivotTable" Target="../pivotTables/pivotTable67.xml"/><Relationship Id="rId1" Type="http://schemas.openxmlformats.org/officeDocument/2006/relationships/pivotTable" Target="../pivotTables/pivotTable66.xml"/></Relationships>
</file>

<file path=xl/worksheets/_rels/sheet3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4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2.xml"/><Relationship Id="rId1" Type="http://schemas.openxmlformats.org/officeDocument/2006/relationships/printerSettings" Target="../printerSettings/printerSettings11.bin"/><Relationship Id="rId5" Type="http://schemas.microsoft.com/office/2017/10/relationships/threadedComment" Target="../threadedComments/threadedComment8.xml"/><Relationship Id="rId4" Type="http://schemas.openxmlformats.org/officeDocument/2006/relationships/comments" Target="../comments8.xml"/></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BC54E6-6128-412E-B1E9-50DB7FED0CCF}">
  <dimension ref="A1:C66"/>
  <sheetViews>
    <sheetView workbookViewId="0">
      <selection activeCell="E8" sqref="E8"/>
    </sheetView>
  </sheetViews>
  <sheetFormatPr baseColWidth="10" defaultColWidth="11.3984375" defaultRowHeight="14.25"/>
  <cols>
    <col min="1" max="1" width="39.86328125" bestFit="1" customWidth="1"/>
    <col min="2" max="2" width="19.73046875" customWidth="1"/>
    <col min="3" max="3" width="34.1328125" bestFit="1" customWidth="1"/>
  </cols>
  <sheetData>
    <row r="1" spans="1:3">
      <c r="A1" s="574" t="s">
        <v>0</v>
      </c>
    </row>
    <row r="3" spans="1:3">
      <c r="A3" s="2" t="s">
        <v>1</v>
      </c>
      <c r="B3" s="2" t="s">
        <v>2</v>
      </c>
      <c r="C3" s="2" t="s">
        <v>3</v>
      </c>
    </row>
    <row r="4" spans="1:3">
      <c r="A4" t="s">
        <v>4</v>
      </c>
      <c r="B4" t="s">
        <v>5</v>
      </c>
      <c r="C4" t="s">
        <v>6</v>
      </c>
    </row>
    <row r="5" spans="1:3">
      <c r="A5" t="s">
        <v>4</v>
      </c>
      <c r="B5" t="s">
        <v>7</v>
      </c>
      <c r="C5" t="s">
        <v>8</v>
      </c>
    </row>
    <row r="6" spans="1:3">
      <c r="A6" t="s">
        <v>4</v>
      </c>
      <c r="B6" t="s">
        <v>9</v>
      </c>
      <c r="C6" t="s">
        <v>10</v>
      </c>
    </row>
    <row r="7" spans="1:3">
      <c r="A7" t="s">
        <v>4</v>
      </c>
      <c r="B7" t="s">
        <v>11</v>
      </c>
      <c r="C7" t="s">
        <v>12</v>
      </c>
    </row>
    <row r="8" spans="1:3">
      <c r="A8" t="s">
        <v>4</v>
      </c>
      <c r="B8" t="s">
        <v>11</v>
      </c>
      <c r="C8" t="s">
        <v>13</v>
      </c>
    </row>
    <row r="9" spans="1:3">
      <c r="A9" t="s">
        <v>4</v>
      </c>
      <c r="B9" t="s">
        <v>11</v>
      </c>
      <c r="C9" t="s">
        <v>14</v>
      </c>
    </row>
    <row r="10" spans="1:3">
      <c r="A10" t="s">
        <v>4</v>
      </c>
      <c r="B10" t="s">
        <v>11</v>
      </c>
      <c r="C10" t="s">
        <v>15</v>
      </c>
    </row>
    <row r="11" spans="1:3">
      <c r="A11" t="s">
        <v>4</v>
      </c>
      <c r="B11" t="s">
        <v>11</v>
      </c>
      <c r="C11" t="s">
        <v>16</v>
      </c>
    </row>
    <row r="12" spans="1:3">
      <c r="A12" t="s">
        <v>4</v>
      </c>
      <c r="B12" t="s">
        <v>17</v>
      </c>
      <c r="C12" t="s">
        <v>12</v>
      </c>
    </row>
    <row r="13" spans="1:3">
      <c r="A13" t="s">
        <v>4</v>
      </c>
      <c r="B13" t="s">
        <v>17</v>
      </c>
      <c r="C13" t="s">
        <v>14</v>
      </c>
    </row>
    <row r="14" spans="1:3">
      <c r="A14" t="s">
        <v>4</v>
      </c>
      <c r="B14" t="s">
        <v>17</v>
      </c>
      <c r="C14" t="s">
        <v>18</v>
      </c>
    </row>
    <row r="15" spans="1:3">
      <c r="A15" t="s">
        <v>4</v>
      </c>
      <c r="B15" t="s">
        <v>19</v>
      </c>
      <c r="C15" t="s">
        <v>20</v>
      </c>
    </row>
    <row r="16" spans="1:3">
      <c r="A16" t="s">
        <v>4</v>
      </c>
      <c r="B16" t="s">
        <v>19</v>
      </c>
      <c r="C16" t="s">
        <v>21</v>
      </c>
    </row>
    <row r="17" spans="1:3">
      <c r="A17" t="s">
        <v>4</v>
      </c>
      <c r="B17" t="s">
        <v>22</v>
      </c>
      <c r="C17" t="s">
        <v>23</v>
      </c>
    </row>
    <row r="18" spans="1:3">
      <c r="A18" t="s">
        <v>4</v>
      </c>
      <c r="B18" t="s">
        <v>22</v>
      </c>
      <c r="C18" t="s">
        <v>24</v>
      </c>
    </row>
    <row r="19" spans="1:3">
      <c r="A19" t="s">
        <v>4</v>
      </c>
      <c r="B19" t="s">
        <v>25</v>
      </c>
      <c r="C19" t="s">
        <v>26</v>
      </c>
    </row>
    <row r="20" spans="1:3">
      <c r="A20" t="s">
        <v>4</v>
      </c>
      <c r="B20" t="s">
        <v>25</v>
      </c>
      <c r="C20" t="s">
        <v>27</v>
      </c>
    </row>
    <row r="21" spans="1:3">
      <c r="A21" t="s">
        <v>4</v>
      </c>
      <c r="B21" t="s">
        <v>28</v>
      </c>
      <c r="C21" t="s">
        <v>29</v>
      </c>
    </row>
    <row r="22" spans="1:3">
      <c r="A22" t="s">
        <v>4</v>
      </c>
      <c r="B22" t="s">
        <v>28</v>
      </c>
      <c r="C22" t="s">
        <v>30</v>
      </c>
    </row>
    <row r="23" spans="1:3">
      <c r="A23" t="s">
        <v>4</v>
      </c>
      <c r="B23" t="s">
        <v>28</v>
      </c>
      <c r="C23" t="s">
        <v>31</v>
      </c>
    </row>
    <row r="24" spans="1:3">
      <c r="A24" t="s">
        <v>4</v>
      </c>
      <c r="B24" t="s">
        <v>32</v>
      </c>
      <c r="C24" t="s">
        <v>33</v>
      </c>
    </row>
    <row r="25" spans="1:3">
      <c r="A25" t="s">
        <v>4</v>
      </c>
      <c r="B25" t="s">
        <v>32</v>
      </c>
      <c r="C25" t="s">
        <v>34</v>
      </c>
    </row>
    <row r="26" spans="1:3">
      <c r="A26" t="s">
        <v>4</v>
      </c>
      <c r="B26" t="s">
        <v>35</v>
      </c>
      <c r="C26" t="s">
        <v>36</v>
      </c>
    </row>
    <row r="27" spans="1:3">
      <c r="A27" t="s">
        <v>4</v>
      </c>
      <c r="B27" t="s">
        <v>37</v>
      </c>
      <c r="C27" t="s">
        <v>38</v>
      </c>
    </row>
    <row r="28" spans="1:3">
      <c r="A28" t="s">
        <v>4</v>
      </c>
      <c r="B28" t="s">
        <v>37</v>
      </c>
      <c r="C28" t="s">
        <v>39</v>
      </c>
    </row>
    <row r="29" spans="1:3">
      <c r="A29" t="s">
        <v>4</v>
      </c>
      <c r="B29" t="s">
        <v>40</v>
      </c>
      <c r="C29" t="s">
        <v>38</v>
      </c>
    </row>
    <row r="30" spans="1:3">
      <c r="A30" t="s">
        <v>4</v>
      </c>
      <c r="B30" t="s">
        <v>41</v>
      </c>
      <c r="C30" t="s">
        <v>42</v>
      </c>
    </row>
    <row r="31" spans="1:3">
      <c r="A31" t="s">
        <v>4</v>
      </c>
      <c r="B31" t="s">
        <v>43</v>
      </c>
      <c r="C31" t="s">
        <v>44</v>
      </c>
    </row>
    <row r="32" spans="1:3">
      <c r="A32" t="s">
        <v>4</v>
      </c>
      <c r="B32" t="s">
        <v>45</v>
      </c>
      <c r="C32" t="s">
        <v>46</v>
      </c>
    </row>
    <row r="33" spans="1:3">
      <c r="A33" t="s">
        <v>4</v>
      </c>
      <c r="B33" t="s">
        <v>45</v>
      </c>
      <c r="C33" t="s">
        <v>47</v>
      </c>
    </row>
    <row r="34" spans="1:3">
      <c r="A34" t="s">
        <v>4</v>
      </c>
      <c r="B34" t="s">
        <v>45</v>
      </c>
      <c r="C34" t="s">
        <v>48</v>
      </c>
    </row>
    <row r="35" spans="1:3">
      <c r="A35" t="s">
        <v>4</v>
      </c>
      <c r="B35" t="s">
        <v>45</v>
      </c>
      <c r="C35" t="s">
        <v>49</v>
      </c>
    </row>
    <row r="36" spans="1:3">
      <c r="A36" t="s">
        <v>4</v>
      </c>
      <c r="B36" t="s">
        <v>45</v>
      </c>
      <c r="C36" t="s">
        <v>50</v>
      </c>
    </row>
    <row r="37" spans="1:3">
      <c r="A37" t="s">
        <v>4</v>
      </c>
      <c r="B37" t="s">
        <v>45</v>
      </c>
      <c r="C37" t="s">
        <v>51</v>
      </c>
    </row>
    <row r="38" spans="1:3">
      <c r="A38" t="s">
        <v>4</v>
      </c>
      <c r="B38" t="s">
        <v>45</v>
      </c>
      <c r="C38" t="s">
        <v>52</v>
      </c>
    </row>
    <row r="39" spans="1:3">
      <c r="A39" t="s">
        <v>4</v>
      </c>
      <c r="B39" t="s">
        <v>45</v>
      </c>
      <c r="C39" t="s">
        <v>24</v>
      </c>
    </row>
    <row r="40" spans="1:3">
      <c r="A40" t="s">
        <v>53</v>
      </c>
      <c r="B40" t="s">
        <v>54</v>
      </c>
      <c r="C40" t="s">
        <v>55</v>
      </c>
    </row>
    <row r="41" spans="1:3">
      <c r="A41" t="s">
        <v>53</v>
      </c>
      <c r="B41" t="s">
        <v>56</v>
      </c>
      <c r="C41" t="s">
        <v>57</v>
      </c>
    </row>
    <row r="42" spans="1:3">
      <c r="A42" t="s">
        <v>53</v>
      </c>
      <c r="B42" t="s">
        <v>56</v>
      </c>
      <c r="C42" t="s">
        <v>58</v>
      </c>
    </row>
    <row r="43" spans="1:3">
      <c r="A43" t="s">
        <v>53</v>
      </c>
      <c r="B43" t="s">
        <v>59</v>
      </c>
      <c r="C43" t="s">
        <v>60</v>
      </c>
    </row>
    <row r="44" spans="1:3">
      <c r="A44" t="s">
        <v>53</v>
      </c>
      <c r="B44" t="s">
        <v>61</v>
      </c>
      <c r="C44" t="s">
        <v>62</v>
      </c>
    </row>
    <row r="45" spans="1:3">
      <c r="A45" t="s">
        <v>53</v>
      </c>
      <c r="B45" t="s">
        <v>61</v>
      </c>
      <c r="C45" t="s">
        <v>63</v>
      </c>
    </row>
    <row r="46" spans="1:3">
      <c r="A46" t="s">
        <v>53</v>
      </c>
      <c r="B46" t="s">
        <v>61</v>
      </c>
      <c r="C46" t="s">
        <v>18</v>
      </c>
    </row>
    <row r="47" spans="1:3">
      <c r="A47" t="s">
        <v>53</v>
      </c>
      <c r="B47" t="s">
        <v>61</v>
      </c>
      <c r="C47" t="s">
        <v>64</v>
      </c>
    </row>
    <row r="48" spans="1:3">
      <c r="A48" t="s">
        <v>53</v>
      </c>
      <c r="B48" t="s">
        <v>61</v>
      </c>
      <c r="C48" t="s">
        <v>65</v>
      </c>
    </row>
    <row r="49" spans="1:3">
      <c r="A49" t="s">
        <v>53</v>
      </c>
      <c r="B49" t="s">
        <v>61</v>
      </c>
      <c r="C49" t="s">
        <v>66</v>
      </c>
    </row>
    <row r="50" spans="1:3">
      <c r="A50" t="s">
        <v>53</v>
      </c>
      <c r="B50" t="s">
        <v>61</v>
      </c>
      <c r="C50" t="s">
        <v>67</v>
      </c>
    </row>
    <row r="51" spans="1:3">
      <c r="A51" t="s">
        <v>53</v>
      </c>
      <c r="B51" t="s">
        <v>61</v>
      </c>
      <c r="C51" t="s">
        <v>68</v>
      </c>
    </row>
    <row r="52" spans="1:3">
      <c r="A52" t="s">
        <v>53</v>
      </c>
      <c r="B52" t="s">
        <v>61</v>
      </c>
      <c r="C52" t="s">
        <v>69</v>
      </c>
    </row>
    <row r="53" spans="1:3">
      <c r="A53" t="s">
        <v>53</v>
      </c>
      <c r="B53" t="s">
        <v>61</v>
      </c>
      <c r="C53" t="s">
        <v>24</v>
      </c>
    </row>
    <row r="54" spans="1:3">
      <c r="A54" t="s">
        <v>53</v>
      </c>
      <c r="B54" t="s">
        <v>70</v>
      </c>
      <c r="C54" t="s">
        <v>71</v>
      </c>
    </row>
    <row r="55" spans="1:3">
      <c r="A55" t="s">
        <v>72</v>
      </c>
      <c r="B55" t="s">
        <v>73</v>
      </c>
      <c r="C55" t="s">
        <v>13</v>
      </c>
    </row>
    <row r="56" spans="1:3">
      <c r="A56" t="s">
        <v>72</v>
      </c>
      <c r="B56" t="s">
        <v>11</v>
      </c>
      <c r="C56" t="s">
        <v>12</v>
      </c>
    </row>
    <row r="57" spans="1:3">
      <c r="A57" t="s">
        <v>72</v>
      </c>
      <c r="B57" t="s">
        <v>11</v>
      </c>
      <c r="C57" t="s">
        <v>13</v>
      </c>
    </row>
    <row r="58" spans="1:3">
      <c r="A58" t="s">
        <v>72</v>
      </c>
      <c r="B58" t="s">
        <v>17</v>
      </c>
      <c r="C58" t="s">
        <v>13</v>
      </c>
    </row>
    <row r="59" spans="1:3">
      <c r="A59" t="s">
        <v>72</v>
      </c>
      <c r="B59" t="s">
        <v>74</v>
      </c>
      <c r="C59" t="s">
        <v>13</v>
      </c>
    </row>
    <row r="60" spans="1:3">
      <c r="A60" t="s">
        <v>72</v>
      </c>
      <c r="B60" t="s">
        <v>40</v>
      </c>
      <c r="C60" t="s">
        <v>75</v>
      </c>
    </row>
    <row r="61" spans="1:3">
      <c r="A61" t="s">
        <v>72</v>
      </c>
      <c r="B61" t="s">
        <v>40</v>
      </c>
      <c r="C61" t="s">
        <v>76</v>
      </c>
    </row>
    <row r="62" spans="1:3">
      <c r="A62" t="s">
        <v>72</v>
      </c>
      <c r="B62" t="s">
        <v>77</v>
      </c>
      <c r="C62" t="s">
        <v>13</v>
      </c>
    </row>
    <row r="63" spans="1:3">
      <c r="A63" t="s">
        <v>78</v>
      </c>
      <c r="B63" t="s">
        <v>45</v>
      </c>
      <c r="C63" t="s">
        <v>79</v>
      </c>
    </row>
    <row r="64" spans="1:3">
      <c r="A64" t="s">
        <v>24</v>
      </c>
      <c r="B64" t="s">
        <v>80</v>
      </c>
      <c r="C64" t="s">
        <v>24</v>
      </c>
    </row>
    <row r="65" spans="1:3">
      <c r="A65" t="s">
        <v>24</v>
      </c>
      <c r="B65" t="s">
        <v>32</v>
      </c>
      <c r="C65" t="s">
        <v>34</v>
      </c>
    </row>
    <row r="66" spans="1:3">
      <c r="A66" t="s">
        <v>24</v>
      </c>
      <c r="B66" t="s">
        <v>32</v>
      </c>
      <c r="C66"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D4C4F-AABA-45A9-A98F-D8DC49CC1875}">
  <dimension ref="A1:C21"/>
  <sheetViews>
    <sheetView workbookViewId="0">
      <selection activeCell="A4" sqref="A4"/>
    </sheetView>
  </sheetViews>
  <sheetFormatPr baseColWidth="10" defaultColWidth="11.3984375" defaultRowHeight="14.25"/>
  <cols>
    <col min="1" max="1" width="11.265625" bestFit="1" customWidth="1"/>
    <col min="2" max="2" width="10.1328125" bestFit="1" customWidth="1"/>
  </cols>
  <sheetData>
    <row r="1" spans="1:3">
      <c r="A1" s="2" t="s">
        <v>81</v>
      </c>
      <c r="B1" t="s">
        <v>82</v>
      </c>
    </row>
    <row r="4" spans="1:3">
      <c r="A4" s="606"/>
      <c r="B4" s="607"/>
      <c r="C4" s="608"/>
    </row>
    <row r="5" spans="1:3">
      <c r="A5" s="609"/>
      <c r="B5" s="610"/>
      <c r="C5" s="611"/>
    </row>
    <row r="6" spans="1:3">
      <c r="A6" s="609"/>
      <c r="B6" s="610"/>
      <c r="C6" s="611"/>
    </row>
    <row r="7" spans="1:3">
      <c r="A7" s="609"/>
      <c r="B7" s="610"/>
      <c r="C7" s="611"/>
    </row>
    <row r="8" spans="1:3">
      <c r="A8" s="609"/>
      <c r="B8" s="610"/>
      <c r="C8" s="611"/>
    </row>
    <row r="9" spans="1:3">
      <c r="A9" s="609"/>
      <c r="B9" s="610"/>
      <c r="C9" s="611"/>
    </row>
    <row r="10" spans="1:3">
      <c r="A10" s="609"/>
      <c r="B10" s="610"/>
      <c r="C10" s="611"/>
    </row>
    <row r="11" spans="1:3">
      <c r="A11" s="609"/>
      <c r="B11" s="610"/>
      <c r="C11" s="611"/>
    </row>
    <row r="12" spans="1:3">
      <c r="A12" s="609"/>
      <c r="B12" s="610"/>
      <c r="C12" s="611"/>
    </row>
    <row r="13" spans="1:3">
      <c r="A13" s="609"/>
      <c r="B13" s="610"/>
      <c r="C13" s="611"/>
    </row>
    <row r="14" spans="1:3">
      <c r="A14" s="609"/>
      <c r="B14" s="610"/>
      <c r="C14" s="611"/>
    </row>
    <row r="15" spans="1:3">
      <c r="A15" s="609"/>
      <c r="B15" s="610"/>
      <c r="C15" s="611"/>
    </row>
    <row r="16" spans="1:3">
      <c r="A16" s="609"/>
      <c r="B16" s="610"/>
      <c r="C16" s="611"/>
    </row>
    <row r="17" spans="1:3">
      <c r="A17" s="609"/>
      <c r="B17" s="610"/>
      <c r="C17" s="611"/>
    </row>
    <row r="18" spans="1:3">
      <c r="A18" s="609"/>
      <c r="B18" s="610"/>
      <c r="C18" s="611"/>
    </row>
    <row r="19" spans="1:3">
      <c r="A19" s="609"/>
      <c r="B19" s="610"/>
      <c r="C19" s="611"/>
    </row>
    <row r="20" spans="1:3">
      <c r="A20" s="609"/>
      <c r="B20" s="610"/>
      <c r="C20" s="611"/>
    </row>
    <row r="21" spans="1:3">
      <c r="A21" s="612"/>
      <c r="B21" s="613"/>
      <c r="C21" s="6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443"/>
  <sheetViews>
    <sheetView tabSelected="1" topLeftCell="N426" zoomScale="96" zoomScaleNormal="100" workbookViewId="0">
      <selection activeCell="O253" sqref="O253"/>
    </sheetView>
  </sheetViews>
  <sheetFormatPr baseColWidth="10" defaultColWidth="9.1328125" defaultRowHeight="14.25"/>
  <cols>
    <col min="1" max="1" width="9" style="28" bestFit="1" customWidth="1"/>
    <col min="2" max="2" width="12.86328125" customWidth="1"/>
    <col min="3" max="3" width="27.73046875" customWidth="1"/>
    <col min="4" max="4" width="50.59765625" style="433" customWidth="1"/>
    <col min="5" max="5" width="18.59765625" style="433" customWidth="1"/>
    <col min="6" max="6" width="47.86328125" customWidth="1"/>
    <col min="7" max="8" width="11.73046875" customWidth="1"/>
    <col min="9" max="9" width="25.265625" customWidth="1"/>
    <col min="10" max="10" width="21.86328125" customWidth="1"/>
    <col min="11" max="12" width="26.73046875" customWidth="1"/>
    <col min="13" max="13" width="14.59765625" customWidth="1"/>
    <col min="14" max="14" width="28" style="5" customWidth="1"/>
    <col min="15" max="15" width="65.6640625" style="3" customWidth="1"/>
    <col min="16" max="16" width="29.3984375" customWidth="1"/>
    <col min="17" max="17" width="14.59765625" customWidth="1"/>
    <col min="18" max="18" width="12.3984375" style="5" customWidth="1"/>
    <col min="19" max="19" width="9.59765625" style="4" customWidth="1"/>
    <col min="20" max="20" width="11.59765625" style="3" customWidth="1"/>
    <col min="21" max="22" width="14.86328125" style="3" customWidth="1"/>
    <col min="23" max="23" width="14.86328125" style="5" customWidth="1"/>
    <col min="24" max="24" width="10.1328125" style="5" customWidth="1"/>
    <col min="25" max="25" width="20.1328125" style="5" customWidth="1"/>
    <col min="26" max="26" width="14" style="5" customWidth="1"/>
    <col min="27" max="27" width="37.3984375" style="5" customWidth="1"/>
    <col min="28" max="28" width="20.73046875" style="5" customWidth="1"/>
    <col min="29" max="29" width="14.86328125" style="5" customWidth="1"/>
    <col min="30" max="31" width="14.86328125" customWidth="1"/>
    <col min="32" max="33" width="14.86328125" style="430" customWidth="1"/>
    <col min="34" max="34" width="12.3984375" style="460" customWidth="1"/>
    <col min="35" max="35" width="14.73046875" style="461" customWidth="1"/>
    <col min="36" max="36" width="13.73046875" style="460" customWidth="1"/>
    <col min="37" max="37" width="9.73046875" style="460" customWidth="1"/>
    <col min="38" max="38" width="11.3984375" style="461" customWidth="1"/>
    <col min="39" max="39" width="14.3984375" style="460" customWidth="1"/>
    <col min="40" max="40" width="10.3984375" style="460" customWidth="1"/>
    <col min="41" max="41" width="16.86328125" style="461" customWidth="1"/>
    <col min="42" max="43" width="11.3984375" style="461" customWidth="1"/>
    <col min="44" max="44" width="16.86328125" style="461" customWidth="1"/>
    <col min="45" max="45" width="19.59765625" style="3" customWidth="1"/>
    <col min="46" max="46" width="21.59765625" customWidth="1"/>
    <col min="47" max="48" width="11.3984375" customWidth="1"/>
    <col min="49" max="49" width="80" customWidth="1"/>
    <col min="50" max="50" width="17.1328125" bestFit="1" customWidth="1"/>
    <col min="51" max="51" width="11.3984375" customWidth="1"/>
  </cols>
  <sheetData>
    <row r="1" spans="1:51" ht="31.5" customHeight="1">
      <c r="A1" s="4" t="s">
        <v>83</v>
      </c>
      <c r="B1" s="4" t="s">
        <v>84</v>
      </c>
      <c r="C1" s="4" t="s">
        <v>85</v>
      </c>
      <c r="D1" s="423" t="s">
        <v>86</v>
      </c>
      <c r="E1" s="423" t="s">
        <v>87</v>
      </c>
      <c r="F1" s="4" t="s">
        <v>88</v>
      </c>
      <c r="G1" s="4" t="s">
        <v>89</v>
      </c>
      <c r="H1" s="4" t="s">
        <v>90</v>
      </c>
      <c r="I1" s="4" t="s">
        <v>91</v>
      </c>
      <c r="J1" s="4" t="s">
        <v>1</v>
      </c>
      <c r="K1" s="4" t="s">
        <v>92</v>
      </c>
      <c r="L1" s="4" t="s">
        <v>93</v>
      </c>
      <c r="M1" s="4" t="s">
        <v>94</v>
      </c>
      <c r="N1" s="5" t="s">
        <v>3</v>
      </c>
      <c r="O1" s="4" t="s">
        <v>95</v>
      </c>
      <c r="P1" s="4" t="s">
        <v>96</v>
      </c>
      <c r="Q1" s="424" t="s">
        <v>81</v>
      </c>
      <c r="R1" s="424" t="s">
        <v>97</v>
      </c>
      <c r="S1" s="425" t="s">
        <v>98</v>
      </c>
      <c r="T1" s="583" t="s">
        <v>99</v>
      </c>
      <c r="U1" s="426" t="s">
        <v>100</v>
      </c>
      <c r="V1" s="426" t="s">
        <v>101</v>
      </c>
      <c r="W1" s="427" t="s">
        <v>102</v>
      </c>
      <c r="X1" s="597" t="s">
        <v>103</v>
      </c>
      <c r="Y1" s="597" t="s">
        <v>104</v>
      </c>
      <c r="Z1" s="597" t="s">
        <v>105</v>
      </c>
      <c r="AA1" s="427" t="s">
        <v>106</v>
      </c>
      <c r="AB1" s="427" t="s">
        <v>107</v>
      </c>
      <c r="AC1" s="427" t="s">
        <v>108</v>
      </c>
      <c r="AD1" s="429" t="s">
        <v>109</v>
      </c>
      <c r="AE1" s="428" t="s">
        <v>110</v>
      </c>
      <c r="AF1" s="429" t="s">
        <v>111</v>
      </c>
      <c r="AG1" s="429" t="s">
        <v>112</v>
      </c>
      <c r="AH1" s="460" t="s">
        <v>113</v>
      </c>
      <c r="AI1" s="460" t="s">
        <v>114</v>
      </c>
      <c r="AJ1" s="461" t="s">
        <v>115</v>
      </c>
      <c r="AK1" s="460" t="s">
        <v>116</v>
      </c>
      <c r="AL1" s="460" t="s">
        <v>117</v>
      </c>
      <c r="AM1" s="461" t="s">
        <v>118</v>
      </c>
      <c r="AN1" s="460" t="s">
        <v>119</v>
      </c>
      <c r="AO1" s="460" t="s">
        <v>120</v>
      </c>
      <c r="AP1" s="460" t="s">
        <v>121</v>
      </c>
      <c r="AQ1" s="460" t="s">
        <v>122</v>
      </c>
      <c r="AR1" s="460" t="s">
        <v>123</v>
      </c>
      <c r="AS1" s="586" t="s">
        <v>124</v>
      </c>
      <c r="AT1" s="28" t="s">
        <v>125</v>
      </c>
      <c r="AU1" t="s">
        <v>126</v>
      </c>
      <c r="AV1" t="s">
        <v>127</v>
      </c>
      <c r="AW1" s="142" t="s">
        <v>128</v>
      </c>
      <c r="AX1" s="142" t="s">
        <v>129</v>
      </c>
      <c r="AY1">
        <v>550</v>
      </c>
    </row>
    <row r="2" spans="1:51" ht="31.5" customHeight="1">
      <c r="A2" s="318" t="s">
        <v>130</v>
      </c>
      <c r="B2" s="262" t="s">
        <v>131</v>
      </c>
      <c r="C2" s="497" t="s">
        <v>132</v>
      </c>
      <c r="D2" s="573" t="s">
        <v>133</v>
      </c>
      <c r="E2" s="262" t="s">
        <v>134</v>
      </c>
      <c r="F2" s="264" t="s">
        <v>135</v>
      </c>
      <c r="G2" s="259" t="s">
        <v>136</v>
      </c>
      <c r="H2" s="259" t="s">
        <v>137</v>
      </c>
      <c r="I2" s="262" t="s">
        <v>138</v>
      </c>
      <c r="J2" s="262" t="s">
        <v>139</v>
      </c>
      <c r="K2" s="262"/>
      <c r="L2" s="262"/>
      <c r="M2" s="266" t="s">
        <v>140</v>
      </c>
      <c r="N2" s="262" t="s">
        <v>141</v>
      </c>
      <c r="O2" t="s">
        <v>142</v>
      </c>
      <c r="P2" s="262" t="s">
        <v>139</v>
      </c>
      <c r="Q2" s="262" t="s">
        <v>143</v>
      </c>
      <c r="R2" s="262" t="s">
        <v>144</v>
      </c>
      <c r="S2" s="261"/>
      <c r="T2" s="261" t="s">
        <v>145</v>
      </c>
      <c r="U2" s="261"/>
      <c r="V2" s="261" t="s">
        <v>146</v>
      </c>
      <c r="W2" s="261">
        <v>1</v>
      </c>
      <c r="X2" s="261">
        <v>4</v>
      </c>
      <c r="Y2" s="261">
        <f>Tabla_query__2[[#This Row],[Número
Semanas]]*5*8</f>
        <v>160</v>
      </c>
      <c r="Z2" s="268">
        <f>Tabla_query__2[[#This Row],[TOTAL]]/Tabla_query__2[[#This Row],[Número de Horas]]/2</f>
        <v>8.875</v>
      </c>
      <c r="AA2" s="261">
        <v>1</v>
      </c>
      <c r="AB2" s="261">
        <v>550</v>
      </c>
      <c r="AC2" s="261"/>
      <c r="AD2" s="387">
        <f>Tabla_query__2[[#This Row],[Número
Semanas]]*Tabla_query__2[[#This Row],[Número
Personas]]*Tabla_query__2[[#This Row],[Costo
Mano Obra/semana]] + 640</f>
        <v>2840</v>
      </c>
      <c r="AE2" s="261"/>
      <c r="AF2" s="261"/>
      <c r="AG2" s="261" t="s">
        <v>147</v>
      </c>
      <c r="AH2" s="463">
        <v>45376</v>
      </c>
      <c r="AI2" s="463">
        <v>45390</v>
      </c>
      <c r="AJ2" s="462">
        <f>Tabla_query__2[[#This Row],[FinDes]]-Tabla_query__2[[#This Row],[InicioDes]]</f>
        <v>14</v>
      </c>
      <c r="AK2" s="463">
        <v>45390</v>
      </c>
      <c r="AL2" s="463">
        <v>45397</v>
      </c>
      <c r="AM2" s="462">
        <f t="shared" ref="AM2:AM15" si="0">AL2+ ((AK2*7))</f>
        <v>363127</v>
      </c>
      <c r="AN2" s="463">
        <v>45397</v>
      </c>
      <c r="AO2" s="463">
        <v>45404</v>
      </c>
      <c r="AP2" s="281">
        <v>45505</v>
      </c>
      <c r="AQ2" s="281">
        <f>Tabla_query__2[[#This Row],[Inicio Real]]+(Tabla_query__2[[#This Row],[Número
Semanas]]*7)</f>
        <v>45533</v>
      </c>
      <c r="AR2" s="462">
        <f>Tabla_query__2[[#This Row],[Número
Semanas]]/4</f>
        <v>1</v>
      </c>
      <c r="AS2" s="269">
        <f>Tabla_query__2[[#This Row],[FinDes2]]-Tabla_query__2[[#This Row],[InicioDes2]]</f>
        <v>7</v>
      </c>
      <c r="AT2" s="261"/>
      <c r="AV2" s="444" t="s">
        <v>148</v>
      </c>
    </row>
    <row r="3" spans="1:51" ht="31.5" customHeight="1">
      <c r="A3" s="318" t="s">
        <v>130</v>
      </c>
      <c r="B3" s="262" t="s">
        <v>131</v>
      </c>
      <c r="C3" s="262" t="s">
        <v>149</v>
      </c>
      <c r="D3" s="356" t="s">
        <v>150</v>
      </c>
      <c r="E3" s="262" t="s">
        <v>134</v>
      </c>
      <c r="F3" s="259" t="s">
        <v>151</v>
      </c>
      <c r="G3" s="259" t="s">
        <v>136</v>
      </c>
      <c r="H3" s="259" t="s">
        <v>137</v>
      </c>
      <c r="I3" s="262" t="s">
        <v>138</v>
      </c>
      <c r="J3" s="262" t="s">
        <v>139</v>
      </c>
      <c r="K3" s="262"/>
      <c r="L3" s="262"/>
      <c r="M3" s="266" t="s">
        <v>140</v>
      </c>
      <c r="N3" s="262" t="s">
        <v>141</v>
      </c>
      <c r="O3" t="s">
        <v>142</v>
      </c>
      <c r="P3" s="262" t="s">
        <v>139</v>
      </c>
      <c r="Q3" s="262" t="s">
        <v>143</v>
      </c>
      <c r="R3" s="262" t="s">
        <v>144</v>
      </c>
      <c r="S3" s="261"/>
      <c r="T3" s="584" t="s">
        <v>152</v>
      </c>
      <c r="U3" s="261" t="s">
        <v>153</v>
      </c>
      <c r="V3" s="261" t="s">
        <v>136</v>
      </c>
      <c r="W3" s="261">
        <v>1</v>
      </c>
      <c r="X3" s="261">
        <v>6</v>
      </c>
      <c r="Y3" s="261">
        <f>Tabla_query__2[[#This Row],[Número
Semanas]]*5*8</f>
        <v>240</v>
      </c>
      <c r="Z3" s="268">
        <f>Tabla_query__2[[#This Row],[TOTAL]]/Tabla_query__2[[#This Row],[Número de Horas]]/2</f>
        <v>8.2083333333333339</v>
      </c>
      <c r="AA3" s="261">
        <v>1</v>
      </c>
      <c r="AB3" s="261">
        <v>550</v>
      </c>
      <c r="AC3" s="261"/>
      <c r="AD3" s="387">
        <f>(Tabla_query__2[[#This Row],[Número
Semanas]]*Tabla_query__2[[#This Row],[Número
Personas]]*Tabla_query__2[[#This Row],[Costo
Mano Obra/semana]]+640)*Tabla_query__2[[#This Row],[Factor País]]</f>
        <v>3940</v>
      </c>
      <c r="AE3" s="261"/>
      <c r="AF3" s="261"/>
      <c r="AG3" s="261" t="s">
        <v>154</v>
      </c>
      <c r="AH3" s="464">
        <v>45355</v>
      </c>
      <c r="AI3" s="464">
        <v>45383</v>
      </c>
      <c r="AJ3" s="462">
        <f>Tabla_query__2[[#This Row],[FinDes]]-Tabla_query__2[[#This Row],[InicioDes]]</f>
        <v>28</v>
      </c>
      <c r="AK3" s="464">
        <v>45383</v>
      </c>
      <c r="AL3" s="464">
        <v>45390</v>
      </c>
      <c r="AM3" s="462">
        <f t="shared" si="0"/>
        <v>363071</v>
      </c>
      <c r="AN3" s="464">
        <v>45390</v>
      </c>
      <c r="AO3" s="464">
        <v>45397</v>
      </c>
      <c r="AP3" s="281">
        <v>45444</v>
      </c>
      <c r="AQ3" s="281">
        <f>Tabla_query__2[[#This Row],[Inicio Real]]+(Tabla_query__2[[#This Row],[Número
Semanas]]*7)</f>
        <v>45486</v>
      </c>
      <c r="AR3" s="462">
        <f>Tabla_query__2[[#This Row],[Número
Semanas]]/4</f>
        <v>1.5</v>
      </c>
      <c r="AS3" s="587">
        <f>Tabla_query__2[[#This Row],[FinDes2]]-Tabla_query__2[[#This Row],[InicioDes2]]</f>
        <v>7</v>
      </c>
      <c r="AT3" s="261" t="s">
        <v>155</v>
      </c>
      <c r="AV3" s="437"/>
    </row>
    <row r="4" spans="1:51" ht="28.5">
      <c r="A4" s="318" t="s">
        <v>130</v>
      </c>
      <c r="B4" s="262" t="s">
        <v>131</v>
      </c>
      <c r="C4" s="262" t="s">
        <v>149</v>
      </c>
      <c r="D4" s="356" t="s">
        <v>156</v>
      </c>
      <c r="E4" s="262" t="s">
        <v>134</v>
      </c>
      <c r="F4" s="259" t="s">
        <v>157</v>
      </c>
      <c r="G4" s="259" t="s">
        <v>136</v>
      </c>
      <c r="H4" s="259" t="s">
        <v>137</v>
      </c>
      <c r="I4" s="262" t="s">
        <v>138</v>
      </c>
      <c r="J4" s="262" t="s">
        <v>139</v>
      </c>
      <c r="K4" s="262"/>
      <c r="L4" s="262"/>
      <c r="M4" s="266" t="s">
        <v>140</v>
      </c>
      <c r="N4" s="262" t="s">
        <v>141</v>
      </c>
      <c r="O4" t="s">
        <v>142</v>
      </c>
      <c r="P4" s="262" t="s">
        <v>139</v>
      </c>
      <c r="Q4" s="262" t="s">
        <v>143</v>
      </c>
      <c r="R4" s="262" t="s">
        <v>144</v>
      </c>
      <c r="S4" s="261"/>
      <c r="T4" s="584" t="s">
        <v>152</v>
      </c>
      <c r="U4" s="261" t="s">
        <v>158</v>
      </c>
      <c r="V4" s="261" t="s">
        <v>136</v>
      </c>
      <c r="W4" s="261">
        <v>1</v>
      </c>
      <c r="X4" s="261">
        <v>6</v>
      </c>
      <c r="Y4" s="261">
        <f>Tabla_query__2[[#This Row],[Número
Semanas]]*5*8</f>
        <v>240</v>
      </c>
      <c r="Z4" s="268">
        <f>Tabla_query__2[[#This Row],[TOTAL]]/Tabla_query__2[[#This Row],[Número de Horas]]/2</f>
        <v>8.2083333333333339</v>
      </c>
      <c r="AA4" s="261">
        <v>1</v>
      </c>
      <c r="AB4" s="261">
        <v>550</v>
      </c>
      <c r="AC4" s="261"/>
      <c r="AD4" s="387">
        <f>(Tabla_query__2[[#This Row],[Número
Semanas]]*Tabla_query__2[[#This Row],[Número
Personas]]*Tabla_query__2[[#This Row],[Costo
Mano Obra/semana]]+640)*Tabla_query__2[[#This Row],[Factor País]]</f>
        <v>3940</v>
      </c>
      <c r="AE4" s="261"/>
      <c r="AF4" s="261"/>
      <c r="AG4" s="291" t="s">
        <v>159</v>
      </c>
      <c r="AH4" s="281">
        <v>45348</v>
      </c>
      <c r="AI4" s="281">
        <v>45376</v>
      </c>
      <c r="AJ4" s="281">
        <f>Tabla_query__2[[#This Row],[FinDes]]-Tabla_query__2[[#This Row],[InicioDes]]</f>
        <v>28</v>
      </c>
      <c r="AK4" s="281">
        <v>45376</v>
      </c>
      <c r="AL4" s="281">
        <v>45383</v>
      </c>
      <c r="AM4" s="281">
        <f t="shared" si="0"/>
        <v>363015</v>
      </c>
      <c r="AN4" s="281">
        <v>45383</v>
      </c>
      <c r="AO4" s="281">
        <v>45390</v>
      </c>
      <c r="AP4" s="281">
        <v>45413</v>
      </c>
      <c r="AQ4" s="281">
        <f>Tabla_query__2[[#This Row],[Inicio Real]]+(Tabla_query__2[[#This Row],[Número
Semanas]]*7)</f>
        <v>45455</v>
      </c>
      <c r="AR4" s="462">
        <f>Tabla_query__2[[#This Row],[Número
Semanas]]/4</f>
        <v>1.5</v>
      </c>
      <c r="AS4" s="587">
        <f>Tabla_query__2[[#This Row],[FinDes2]]-Tabla_query__2[[#This Row],[InicioDes2]]</f>
        <v>7</v>
      </c>
      <c r="AT4" s="261" t="s">
        <v>155</v>
      </c>
      <c r="AV4" s="437"/>
      <c r="AW4" s="329" t="s">
        <v>160</v>
      </c>
      <c r="AX4" t="s">
        <v>161</v>
      </c>
    </row>
    <row r="5" spans="1:51" ht="87.75" customHeight="1">
      <c r="A5" s="318" t="s">
        <v>130</v>
      </c>
      <c r="B5" s="262" t="s">
        <v>131</v>
      </c>
      <c r="C5" s="356" t="s">
        <v>162</v>
      </c>
      <c r="D5" s="356" t="s">
        <v>163</v>
      </c>
      <c r="E5" s="356" t="s">
        <v>164</v>
      </c>
      <c r="F5" s="358" t="s">
        <v>165</v>
      </c>
      <c r="G5" s="259" t="s">
        <v>146</v>
      </c>
      <c r="H5" s="259" t="s">
        <v>137</v>
      </c>
      <c r="I5" s="262" t="s">
        <v>138</v>
      </c>
      <c r="J5" s="262" t="s">
        <v>139</v>
      </c>
      <c r="K5" s="262"/>
      <c r="L5" s="262"/>
      <c r="M5" s="266" t="s">
        <v>140</v>
      </c>
      <c r="N5" s="262" t="s">
        <v>141</v>
      </c>
      <c r="O5" t="s">
        <v>142</v>
      </c>
      <c r="P5" s="262" t="s">
        <v>139</v>
      </c>
      <c r="Q5" s="262" t="s">
        <v>143</v>
      </c>
      <c r="R5" s="262" t="s">
        <v>144</v>
      </c>
      <c r="S5" s="261"/>
      <c r="T5" s="584" t="s">
        <v>145</v>
      </c>
      <c r="U5" s="261" t="s">
        <v>166</v>
      </c>
      <c r="V5" s="261" t="s">
        <v>146</v>
      </c>
      <c r="W5" s="261">
        <v>1</v>
      </c>
      <c r="X5" s="261">
        <v>4</v>
      </c>
      <c r="Y5" s="261">
        <f>Tabla_query__2[[#This Row],[Número
Semanas]]*5*8</f>
        <v>160</v>
      </c>
      <c r="Z5" s="268">
        <f>Tabla_query__2[[#This Row],[TOTAL]]/Tabla_query__2[[#This Row],[Número de Horas]]/2</f>
        <v>8.875</v>
      </c>
      <c r="AA5" s="261">
        <v>1</v>
      </c>
      <c r="AB5" s="261">
        <v>550</v>
      </c>
      <c r="AC5" s="261"/>
      <c r="AD5" s="387">
        <f>(Tabla_query__2[[#This Row],[Número
Semanas]]*Tabla_query__2[[#This Row],[Número
Personas]]*Tabla_query__2[[#This Row],[Costo
Mano Obra/semana]]+640)*Tabla_query__2[[#This Row],[Factor País]]</f>
        <v>2840</v>
      </c>
      <c r="AE5" s="261"/>
      <c r="AF5" s="261"/>
      <c r="AG5" s="261" t="s">
        <v>154</v>
      </c>
      <c r="AH5" s="281">
        <v>45383</v>
      </c>
      <c r="AI5" s="281">
        <v>45397</v>
      </c>
      <c r="AJ5" s="281">
        <f>Tabla_query__2[[#This Row],[FinDes]]-Tabla_query__2[[#This Row],[InicioDes]]</f>
        <v>14</v>
      </c>
      <c r="AK5" s="281">
        <v>45397</v>
      </c>
      <c r="AL5" s="281">
        <v>45404</v>
      </c>
      <c r="AM5" s="281">
        <f t="shared" si="0"/>
        <v>363183</v>
      </c>
      <c r="AN5" s="281">
        <v>45404</v>
      </c>
      <c r="AO5" s="281">
        <f>Tabla_query__2[[#This Row],[InicioDes]]+Tabla_query__2[[#This Row],[Número
Semanas]]</f>
        <v>45387</v>
      </c>
      <c r="AP5" s="281">
        <v>45444</v>
      </c>
      <c r="AQ5" s="281">
        <f>Tabla_query__2[[#This Row],[Inicio Real]]+(Tabla_query__2[[#This Row],[Número
Semanas]]*7)</f>
        <v>45472</v>
      </c>
      <c r="AR5" s="462">
        <f>Tabla_query__2[[#This Row],[Número
Semanas]]/4</f>
        <v>1</v>
      </c>
      <c r="AS5" s="587">
        <f>Tabla_query__2[[#This Row],[FinDes2]]-Tabla_query__2[[#This Row],[InicioDes2]]</f>
        <v>-17</v>
      </c>
      <c r="AT5" s="261" t="s">
        <v>155</v>
      </c>
      <c r="AV5" s="447"/>
      <c r="AW5" s="329" t="s">
        <v>167</v>
      </c>
    </row>
    <row r="6" spans="1:51">
      <c r="A6" s="318" t="s">
        <v>130</v>
      </c>
      <c r="B6" s="262" t="s">
        <v>131</v>
      </c>
      <c r="C6" s="356" t="s">
        <v>162</v>
      </c>
      <c r="D6" s="601" t="s">
        <v>168</v>
      </c>
      <c r="E6" s="356" t="s">
        <v>164</v>
      </c>
      <c r="F6" s="259" t="s">
        <v>169</v>
      </c>
      <c r="G6" s="259" t="s">
        <v>146</v>
      </c>
      <c r="H6" s="259" t="s">
        <v>137</v>
      </c>
      <c r="I6" s="262" t="s">
        <v>138</v>
      </c>
      <c r="J6" s="262" t="s">
        <v>139</v>
      </c>
      <c r="K6" s="262"/>
      <c r="L6" s="262"/>
      <c r="M6" s="266" t="s">
        <v>140</v>
      </c>
      <c r="N6" s="262" t="s">
        <v>141</v>
      </c>
      <c r="O6" t="s">
        <v>142</v>
      </c>
      <c r="P6" s="262" t="s">
        <v>139</v>
      </c>
      <c r="Q6" s="262" t="s">
        <v>143</v>
      </c>
      <c r="R6" s="262" t="s">
        <v>144</v>
      </c>
      <c r="S6" s="261"/>
      <c r="T6" s="584" t="s">
        <v>152</v>
      </c>
      <c r="U6" s="261"/>
      <c r="V6" s="261" t="s">
        <v>146</v>
      </c>
      <c r="W6" s="261">
        <v>1</v>
      </c>
      <c r="X6" s="261">
        <v>6</v>
      </c>
      <c r="Y6" s="261">
        <f>Tabla_query__2[[#This Row],[Número
Semanas]]*5*8</f>
        <v>240</v>
      </c>
      <c r="Z6" s="268">
        <f>Tabla_query__2[[#This Row],[TOTAL]]/Tabla_query__2[[#This Row],[Número de Horas]]/2</f>
        <v>8.2083333333333339</v>
      </c>
      <c r="AA6" s="261">
        <v>1</v>
      </c>
      <c r="AB6" s="261">
        <v>550</v>
      </c>
      <c r="AC6" s="261"/>
      <c r="AD6" s="387">
        <f>(Tabla_query__2[[#This Row],[Número
Semanas]]*Tabla_query__2[[#This Row],[Número
Personas]]*Tabla_query__2[[#This Row],[Costo
Mano Obra/semana]]+640)*Tabla_query__2[[#This Row],[Factor País]]</f>
        <v>3940</v>
      </c>
      <c r="AE6" s="261"/>
      <c r="AF6" s="261"/>
      <c r="AG6" s="261" t="s">
        <v>154</v>
      </c>
      <c r="AH6" s="281">
        <v>45355</v>
      </c>
      <c r="AI6" s="281">
        <v>45383</v>
      </c>
      <c r="AJ6" s="281">
        <f>Tabla_query__2[[#This Row],[FinDes]]-Tabla_query__2[[#This Row],[InicioDes]]</f>
        <v>28</v>
      </c>
      <c r="AK6" s="281">
        <v>45383</v>
      </c>
      <c r="AL6" s="281">
        <v>45390</v>
      </c>
      <c r="AM6" s="281">
        <f t="shared" si="0"/>
        <v>363071</v>
      </c>
      <c r="AN6" s="281">
        <v>45390</v>
      </c>
      <c r="AO6" s="281">
        <v>45688</v>
      </c>
      <c r="AP6" s="281">
        <v>45444</v>
      </c>
      <c r="AQ6" s="281">
        <f>Tabla_query__2[[#This Row],[Inicio Real]]+(Tabla_query__2[[#This Row],[Número
Semanas]]*7)</f>
        <v>45486</v>
      </c>
      <c r="AR6" s="462">
        <f>Tabla_query__2[[#This Row],[Número
Semanas]]/4</f>
        <v>1.5</v>
      </c>
      <c r="AS6" s="587">
        <f>Tabla_query__2[[#This Row],[FinDes2]]-Tabla_query__2[[#This Row],[InicioDes2]]</f>
        <v>298</v>
      </c>
      <c r="AT6" s="261" t="s">
        <v>155</v>
      </c>
      <c r="AV6" s="444"/>
    </row>
    <row r="7" spans="1:51" ht="37.5" customHeight="1">
      <c r="A7" s="318" t="s">
        <v>130</v>
      </c>
      <c r="B7" s="262" t="s">
        <v>131</v>
      </c>
      <c r="C7" s="356" t="s">
        <v>170</v>
      </c>
      <c r="D7" s="356" t="s">
        <v>171</v>
      </c>
      <c r="E7" s="356" t="s">
        <v>172</v>
      </c>
      <c r="F7" s="259" t="s">
        <v>173</v>
      </c>
      <c r="G7" s="259" t="s">
        <v>146</v>
      </c>
      <c r="H7" s="259" t="s">
        <v>137</v>
      </c>
      <c r="I7" s="262" t="s">
        <v>138</v>
      </c>
      <c r="J7" s="262" t="s">
        <v>139</v>
      </c>
      <c r="K7" s="262"/>
      <c r="L7" s="262"/>
      <c r="M7" s="266" t="s">
        <v>140</v>
      </c>
      <c r="N7" s="262" t="s">
        <v>141</v>
      </c>
      <c r="O7" t="s">
        <v>142</v>
      </c>
      <c r="P7" s="262" t="s">
        <v>139</v>
      </c>
      <c r="Q7" s="262" t="s">
        <v>143</v>
      </c>
      <c r="R7" s="262" t="s">
        <v>144</v>
      </c>
      <c r="S7" s="261"/>
      <c r="T7" s="584" t="s">
        <v>145</v>
      </c>
      <c r="U7" s="261" t="s">
        <v>174</v>
      </c>
      <c r="V7" s="261" t="s">
        <v>146</v>
      </c>
      <c r="W7" s="261">
        <v>1</v>
      </c>
      <c r="X7" s="261">
        <v>4</v>
      </c>
      <c r="Y7" s="261">
        <f>Tabla_query__2[[#This Row],[Número
Semanas]]*5*8</f>
        <v>160</v>
      </c>
      <c r="Z7" s="268">
        <f>Tabla_query__2[[#This Row],[TOTAL]]/Tabla_query__2[[#This Row],[Número de Horas]]/2</f>
        <v>8.875</v>
      </c>
      <c r="AA7" s="261">
        <v>1</v>
      </c>
      <c r="AB7" s="261">
        <v>550</v>
      </c>
      <c r="AC7" s="261"/>
      <c r="AD7" s="387">
        <f>(Tabla_query__2[[#This Row],[Número
Semanas]]*Tabla_query__2[[#This Row],[Número
Personas]]*Tabla_query__2[[#This Row],[Costo
Mano Obra/semana]]+640)*Tabla_query__2[[#This Row],[Factor País]]</f>
        <v>2840</v>
      </c>
      <c r="AE7" s="261"/>
      <c r="AF7" s="261"/>
      <c r="AG7" s="261" t="s">
        <v>154</v>
      </c>
      <c r="AH7" s="281">
        <v>45425</v>
      </c>
      <c r="AI7" s="281">
        <v>45439</v>
      </c>
      <c r="AJ7" s="281">
        <f>Tabla_query__2[[#This Row],[FinDes]]-Tabla_query__2[[#This Row],[InicioDes]]</f>
        <v>14</v>
      </c>
      <c r="AK7" s="281">
        <v>45439</v>
      </c>
      <c r="AL7" s="281">
        <v>45446</v>
      </c>
      <c r="AM7" s="281">
        <f t="shared" si="0"/>
        <v>363519</v>
      </c>
      <c r="AN7" s="281">
        <v>45446</v>
      </c>
      <c r="AO7" s="281">
        <v>45453</v>
      </c>
      <c r="AP7" s="281">
        <v>45444</v>
      </c>
      <c r="AQ7" s="281">
        <f>Tabla_query__2[[#This Row],[Inicio Real]]+(Tabla_query__2[[#This Row],[Número
Semanas]]*7)</f>
        <v>45472</v>
      </c>
      <c r="AR7" s="462">
        <f>Tabla_query__2[[#This Row],[Número
Semanas]]/4</f>
        <v>1</v>
      </c>
      <c r="AS7" s="587">
        <f>Tabla_query__2[[#This Row],[FinDes2]]-Tabla_query__2[[#This Row],[InicioDes2]]</f>
        <v>7</v>
      </c>
      <c r="AT7" s="261" t="s">
        <v>155</v>
      </c>
    </row>
    <row r="8" spans="1:51" s="325" customFormat="1" ht="39" customHeight="1">
      <c r="A8" s="318" t="s">
        <v>130</v>
      </c>
      <c r="B8" s="262" t="s">
        <v>131</v>
      </c>
      <c r="C8" s="262" t="s">
        <v>175</v>
      </c>
      <c r="D8" s="262" t="s">
        <v>176</v>
      </c>
      <c r="E8" s="262" t="s">
        <v>164</v>
      </c>
      <c r="F8" s="259" t="s">
        <v>177</v>
      </c>
      <c r="G8" s="259" t="s">
        <v>146</v>
      </c>
      <c r="H8" s="259" t="s">
        <v>137</v>
      </c>
      <c r="I8" s="262" t="s">
        <v>138</v>
      </c>
      <c r="J8" s="262" t="s">
        <v>139</v>
      </c>
      <c r="K8" s="262"/>
      <c r="L8" s="262"/>
      <c r="M8" s="266" t="s">
        <v>140</v>
      </c>
      <c r="N8" s="262" t="s">
        <v>141</v>
      </c>
      <c r="O8" t="s">
        <v>142</v>
      </c>
      <c r="P8" s="262" t="s">
        <v>178</v>
      </c>
      <c r="Q8" s="262" t="s">
        <v>143</v>
      </c>
      <c r="R8" s="262" t="s">
        <v>179</v>
      </c>
      <c r="S8" s="261" t="s">
        <v>152</v>
      </c>
      <c r="T8" s="584" t="s">
        <v>145</v>
      </c>
      <c r="U8" s="261" t="s">
        <v>180</v>
      </c>
      <c r="V8" s="261" t="s">
        <v>146</v>
      </c>
      <c r="W8" s="261">
        <v>1</v>
      </c>
      <c r="X8" s="261">
        <v>8</v>
      </c>
      <c r="Y8" s="261">
        <f>Tabla_query__2[[#This Row],[Número
Semanas]]*5*8</f>
        <v>320</v>
      </c>
      <c r="Z8" s="268">
        <f>Tabla_query__2[[#This Row],[TOTAL]]/Tabla_query__2[[#This Row],[Número de Horas]]/2</f>
        <v>7.875</v>
      </c>
      <c r="AA8" s="261">
        <v>1</v>
      </c>
      <c r="AB8" s="261">
        <v>550</v>
      </c>
      <c r="AC8" s="261"/>
      <c r="AD8" s="387">
        <f>(Tabla_query__2[[#This Row],[Número
Semanas]]*Tabla_query__2[[#This Row],[Número
Personas]]*Tabla_query__2[[#This Row],[Costo
Mano Obra/semana]]+640)*Tabla_query__2[[#This Row],[Factor País]]</f>
        <v>5040</v>
      </c>
      <c r="AE8" s="261"/>
      <c r="AF8" s="261"/>
      <c r="AG8" s="261" t="s">
        <v>154</v>
      </c>
      <c r="AH8" s="281">
        <v>45369</v>
      </c>
      <c r="AI8" s="281">
        <v>45397</v>
      </c>
      <c r="AJ8" s="281">
        <f>Tabla_query__2[[#This Row],[FinDes]]-Tabla_query__2[[#This Row],[InicioDes]]</f>
        <v>28</v>
      </c>
      <c r="AK8" s="281">
        <v>45397</v>
      </c>
      <c r="AL8" s="281">
        <v>45411</v>
      </c>
      <c r="AM8" s="281">
        <f t="shared" si="0"/>
        <v>363190</v>
      </c>
      <c r="AN8" s="281">
        <v>45411</v>
      </c>
      <c r="AO8" s="281">
        <v>45425</v>
      </c>
      <c r="AP8" s="281">
        <v>45413</v>
      </c>
      <c r="AQ8" s="281">
        <f>Tabla_query__2[[#This Row],[Inicio Real]]+(Tabla_query__2[[#This Row],[Número
Semanas]]*7)</f>
        <v>45469</v>
      </c>
      <c r="AR8" s="462">
        <f>Tabla_query__2[[#This Row],[Número
Semanas]]/4</f>
        <v>2</v>
      </c>
      <c r="AS8" s="587">
        <f>Tabla_query__2[[#This Row],[FinDes2]]-Tabla_query__2[[#This Row],[InicioDes2]]</f>
        <v>14</v>
      </c>
      <c r="AT8" s="261" t="s">
        <v>155</v>
      </c>
      <c r="AU8"/>
      <c r="AV8" s="444" t="s">
        <v>148</v>
      </c>
    </row>
    <row r="9" spans="1:51" ht="48" customHeight="1">
      <c r="A9" s="318" t="s">
        <v>130</v>
      </c>
      <c r="B9" s="262" t="s">
        <v>131</v>
      </c>
      <c r="C9" s="262" t="s">
        <v>175</v>
      </c>
      <c r="D9" s="277" t="s">
        <v>176</v>
      </c>
      <c r="E9" s="262" t="s">
        <v>164</v>
      </c>
      <c r="F9" s="259" t="s">
        <v>181</v>
      </c>
      <c r="G9" s="259" t="s">
        <v>146</v>
      </c>
      <c r="H9" s="259" t="s">
        <v>137</v>
      </c>
      <c r="I9" s="262" t="s">
        <v>138</v>
      </c>
      <c r="J9" s="262" t="s">
        <v>139</v>
      </c>
      <c r="K9" s="262"/>
      <c r="L9" s="262"/>
      <c r="M9" s="266" t="s">
        <v>140</v>
      </c>
      <c r="N9" s="262" t="s">
        <v>141</v>
      </c>
      <c r="O9" t="s">
        <v>142</v>
      </c>
      <c r="P9" s="262" t="s">
        <v>178</v>
      </c>
      <c r="Q9" s="262" t="s">
        <v>143</v>
      </c>
      <c r="R9" s="262" t="s">
        <v>144</v>
      </c>
      <c r="S9" s="261"/>
      <c r="T9" s="584" t="s">
        <v>145</v>
      </c>
      <c r="U9" s="261" t="s">
        <v>182</v>
      </c>
      <c r="V9" s="261" t="s">
        <v>146</v>
      </c>
      <c r="W9" s="261">
        <v>1</v>
      </c>
      <c r="X9" s="261">
        <v>8</v>
      </c>
      <c r="Y9" s="261">
        <f>Tabla_query__2[[#This Row],[Número
Semanas]]*5*8</f>
        <v>320</v>
      </c>
      <c r="Z9" s="268">
        <f>Tabla_query__2[[#This Row],[TOTAL]]/Tabla_query__2[[#This Row],[Número de Horas]]/2</f>
        <v>14.75</v>
      </c>
      <c r="AA9" s="261">
        <v>2</v>
      </c>
      <c r="AB9" s="261">
        <v>550</v>
      </c>
      <c r="AC9" s="261"/>
      <c r="AD9" s="387">
        <f>(Tabla_query__2[[#This Row],[Número
Semanas]]*Tabla_query__2[[#This Row],[Número
Personas]]*Tabla_query__2[[#This Row],[Costo
Mano Obra/semana]]+640)*Tabla_query__2[[#This Row],[Factor País]]</f>
        <v>9440</v>
      </c>
      <c r="AE9" s="261"/>
      <c r="AF9" s="261"/>
      <c r="AG9" s="261" t="s">
        <v>154</v>
      </c>
      <c r="AH9" s="281">
        <v>45369</v>
      </c>
      <c r="AI9" s="281">
        <v>45397</v>
      </c>
      <c r="AJ9" s="281">
        <f>Tabla_query__2[[#This Row],[FinDes]]-Tabla_query__2[[#This Row],[InicioDes]]</f>
        <v>28</v>
      </c>
      <c r="AK9" s="281">
        <v>45397</v>
      </c>
      <c r="AL9" s="281">
        <v>45411</v>
      </c>
      <c r="AM9" s="281">
        <f t="shared" si="0"/>
        <v>363190</v>
      </c>
      <c r="AN9" s="281">
        <v>45411</v>
      </c>
      <c r="AO9" s="281">
        <v>45425</v>
      </c>
      <c r="AP9" s="281">
        <v>45413</v>
      </c>
      <c r="AQ9" s="281">
        <f>Tabla_query__2[[#This Row],[Inicio Real]]+(Tabla_query__2[[#This Row],[Número
Semanas]]*7)</f>
        <v>45469</v>
      </c>
      <c r="AR9" s="462">
        <f>Tabla_query__2[[#This Row],[Número
Semanas]]/4</f>
        <v>2</v>
      </c>
      <c r="AS9" s="587">
        <f>Tabla_query__2[[#This Row],[FinDes2]]-Tabla_query__2[[#This Row],[InicioDes2]]</f>
        <v>14</v>
      </c>
      <c r="AT9" s="261" t="s">
        <v>155</v>
      </c>
      <c r="AU9" s="289"/>
      <c r="AV9" s="444" t="s">
        <v>148</v>
      </c>
    </row>
    <row r="10" spans="1:51" ht="54.75" customHeight="1">
      <c r="A10" s="318" t="s">
        <v>130</v>
      </c>
      <c r="B10" s="262" t="s">
        <v>131</v>
      </c>
      <c r="C10" s="262" t="s">
        <v>162</v>
      </c>
      <c r="D10" s="277" t="s">
        <v>183</v>
      </c>
      <c r="E10" s="262" t="s">
        <v>164</v>
      </c>
      <c r="F10" s="259" t="s">
        <v>184</v>
      </c>
      <c r="G10" s="259" t="s">
        <v>136</v>
      </c>
      <c r="H10" s="259" t="s">
        <v>137</v>
      </c>
      <c r="I10" s="262" t="s">
        <v>138</v>
      </c>
      <c r="J10" s="262" t="s">
        <v>139</v>
      </c>
      <c r="K10" s="262"/>
      <c r="L10" s="262"/>
      <c r="M10" s="266" t="s">
        <v>140</v>
      </c>
      <c r="N10" s="262" t="s">
        <v>141</v>
      </c>
      <c r="O10" t="s">
        <v>142</v>
      </c>
      <c r="P10" s="262" t="s">
        <v>139</v>
      </c>
      <c r="Q10" s="262" t="s">
        <v>143</v>
      </c>
      <c r="R10" s="262" t="s">
        <v>144</v>
      </c>
      <c r="S10" s="261" t="s">
        <v>152</v>
      </c>
      <c r="T10" s="584" t="s">
        <v>152</v>
      </c>
      <c r="U10" s="261" t="s">
        <v>185</v>
      </c>
      <c r="V10" s="261" t="s">
        <v>146</v>
      </c>
      <c r="W10" s="261">
        <v>1</v>
      </c>
      <c r="X10" s="261">
        <v>2</v>
      </c>
      <c r="Y10" s="261">
        <f>Tabla_query__2[[#This Row],[Número
Semanas]]*5*8</f>
        <v>80</v>
      </c>
      <c r="Z10" s="268">
        <f>Tabla_query__2[[#This Row],[TOTAL]]/Tabla_query__2[[#This Row],[Número de Horas]]/2</f>
        <v>7.875</v>
      </c>
      <c r="AA10" s="261">
        <v>1</v>
      </c>
      <c r="AB10" s="261">
        <v>550</v>
      </c>
      <c r="AC10" s="261"/>
      <c r="AD10" s="387">
        <v>1260</v>
      </c>
      <c r="AE10" s="261"/>
      <c r="AF10" s="261"/>
      <c r="AG10" s="591" t="s">
        <v>159</v>
      </c>
      <c r="AH10" s="281">
        <v>45355</v>
      </c>
      <c r="AI10" s="281">
        <v>45383</v>
      </c>
      <c r="AJ10" s="281">
        <f>Tabla_query__2[[#This Row],[FinDes]]-Tabla_query__2[[#This Row],[InicioDes]]</f>
        <v>28</v>
      </c>
      <c r="AK10" s="281">
        <v>45383</v>
      </c>
      <c r="AL10" s="281">
        <v>45390</v>
      </c>
      <c r="AM10" s="281">
        <f t="shared" si="0"/>
        <v>363071</v>
      </c>
      <c r="AN10" s="281">
        <v>45390</v>
      </c>
      <c r="AO10" s="281">
        <v>45443</v>
      </c>
      <c r="AP10" s="281">
        <v>45413</v>
      </c>
      <c r="AQ10" s="281">
        <f>Tabla_query__2[[#This Row],[Inicio Real]]+(Tabla_query__2[[#This Row],[Número
Semanas]]*7)</f>
        <v>45427</v>
      </c>
      <c r="AR10" s="462">
        <f>Tabla_query__2[[#This Row],[Número
Semanas]]/4</f>
        <v>0.5</v>
      </c>
      <c r="AS10" s="587">
        <f>Tabla_query__2[[#This Row],[FinDes2]]-Tabla_query__2[[#This Row],[InicioDes2]]</f>
        <v>53</v>
      </c>
      <c r="AT10" s="261" t="s">
        <v>155</v>
      </c>
      <c r="AV10" s="446" t="s">
        <v>148</v>
      </c>
      <c r="AW10" s="595" t="s">
        <v>186</v>
      </c>
    </row>
    <row r="11" spans="1:51" ht="24" customHeight="1">
      <c r="A11" s="318" t="s">
        <v>130</v>
      </c>
      <c r="B11" s="262" t="s">
        <v>131</v>
      </c>
      <c r="C11" s="262" t="s">
        <v>187</v>
      </c>
      <c r="D11" s="262" t="s">
        <v>188</v>
      </c>
      <c r="E11" s="262" t="s">
        <v>164</v>
      </c>
      <c r="F11" s="263" t="s">
        <v>189</v>
      </c>
      <c r="G11" s="263" t="s">
        <v>136</v>
      </c>
      <c r="H11" s="259" t="s">
        <v>137</v>
      </c>
      <c r="I11" s="262" t="s">
        <v>138</v>
      </c>
      <c r="J11" s="262" t="s">
        <v>139</v>
      </c>
      <c r="K11" s="262"/>
      <c r="L11" s="262"/>
      <c r="M11" s="266" t="s">
        <v>140</v>
      </c>
      <c r="N11" s="262" t="s">
        <v>141</v>
      </c>
      <c r="O11" t="s">
        <v>142</v>
      </c>
      <c r="P11" s="262" t="s">
        <v>139</v>
      </c>
      <c r="Q11" s="262" t="s">
        <v>143</v>
      </c>
      <c r="R11" s="497" t="s">
        <v>179</v>
      </c>
      <c r="S11" s="274"/>
      <c r="T11" s="584" t="s">
        <v>145</v>
      </c>
      <c r="U11" s="261" t="s">
        <v>190</v>
      </c>
      <c r="V11" s="261" t="s">
        <v>136</v>
      </c>
      <c r="W11" s="261">
        <v>1</v>
      </c>
      <c r="X11" s="261">
        <v>2</v>
      </c>
      <c r="Y11" s="261">
        <f>Tabla_query__2[[#This Row],[Número
Semanas]]*5*8</f>
        <v>80</v>
      </c>
      <c r="Z11" s="268">
        <f>Tabla_query__2[[#This Row],[TOTAL]]/Tabla_query__2[[#This Row],[Número de Horas]]/2</f>
        <v>10.875</v>
      </c>
      <c r="AA11" s="261">
        <v>1</v>
      </c>
      <c r="AB11" s="261">
        <v>550</v>
      </c>
      <c r="AC11" s="261"/>
      <c r="AD11" s="387">
        <f>(Tabla_query__2[[#This Row],[Número
Semanas]]*Tabla_query__2[[#This Row],[Número
Personas]]*Tabla_query__2[[#This Row],[Costo
Mano Obra/semana]]+640)*Tabla_query__2[[#This Row],[Factor País]]</f>
        <v>1740</v>
      </c>
      <c r="AE11" s="261"/>
      <c r="AF11" s="261"/>
      <c r="AG11" s="547" t="s">
        <v>191</v>
      </c>
      <c r="AH11" s="281">
        <v>45355</v>
      </c>
      <c r="AI11" s="281">
        <v>45362</v>
      </c>
      <c r="AJ11" s="281">
        <f>Tabla_query__2[[#This Row],[FinDes]]-Tabla_query__2[[#This Row],[InicioDes]]</f>
        <v>7</v>
      </c>
      <c r="AK11" s="281">
        <v>45362</v>
      </c>
      <c r="AL11" s="281">
        <v>45369</v>
      </c>
      <c r="AM11" s="281">
        <f t="shared" si="0"/>
        <v>362903</v>
      </c>
      <c r="AN11" s="281">
        <v>45369</v>
      </c>
      <c r="AO11" s="281">
        <v>45376</v>
      </c>
      <c r="AP11" s="281">
        <v>45383</v>
      </c>
      <c r="AQ11" s="281">
        <f>Tabla_query__2[[#This Row],[Inicio Real]]+(Tabla_query__2[[#This Row],[Número
Semanas]]*7)</f>
        <v>45397</v>
      </c>
      <c r="AR11" s="462">
        <f>Tabla_query__2[[#This Row],[Número
Semanas]]/4</f>
        <v>0.5</v>
      </c>
      <c r="AS11" s="587">
        <f>Tabla_query__2[[#This Row],[FinDes2]]-Tabla_query__2[[#This Row],[InicioDes2]]</f>
        <v>7</v>
      </c>
      <c r="AT11" s="261" t="s">
        <v>155</v>
      </c>
      <c r="AV11" s="444"/>
    </row>
    <row r="12" spans="1:51" ht="72" customHeight="1">
      <c r="A12" s="318" t="s">
        <v>130</v>
      </c>
      <c r="B12" s="262" t="s">
        <v>131</v>
      </c>
      <c r="C12" s="262" t="s">
        <v>192</v>
      </c>
      <c r="D12" s="262" t="s">
        <v>193</v>
      </c>
      <c r="E12" s="262" t="s">
        <v>164</v>
      </c>
      <c r="F12" s="259"/>
      <c r="G12" s="259" t="s">
        <v>136</v>
      </c>
      <c r="H12" s="259" t="s">
        <v>137</v>
      </c>
      <c r="I12" s="262" t="s">
        <v>138</v>
      </c>
      <c r="J12" s="262" t="s">
        <v>139</v>
      </c>
      <c r="K12" s="262"/>
      <c r="L12" s="262"/>
      <c r="M12" s="266" t="s">
        <v>140</v>
      </c>
      <c r="N12" s="262" t="s">
        <v>141</v>
      </c>
      <c r="O12" t="s">
        <v>142</v>
      </c>
      <c r="P12" s="262" t="s">
        <v>139</v>
      </c>
      <c r="Q12" s="262" t="s">
        <v>143</v>
      </c>
      <c r="R12" s="262" t="s">
        <v>144</v>
      </c>
      <c r="S12" s="261"/>
      <c r="T12" s="584" t="s">
        <v>152</v>
      </c>
      <c r="U12" s="261" t="s">
        <v>194</v>
      </c>
      <c r="V12" s="261" t="s">
        <v>136</v>
      </c>
      <c r="W12" s="261">
        <v>1</v>
      </c>
      <c r="X12" s="261">
        <v>3</v>
      </c>
      <c r="Y12" s="261">
        <f>Tabla_query__2[[#This Row],[Número
Semanas]]*5*8</f>
        <v>120</v>
      </c>
      <c r="Z12" s="268">
        <f>Tabla_query__2[[#This Row],[TOTAL]]/Tabla_query__2[[#This Row],[Número de Horas]]/2</f>
        <v>9.5416666666666661</v>
      </c>
      <c r="AA12" s="261">
        <v>1</v>
      </c>
      <c r="AB12" s="261">
        <v>550</v>
      </c>
      <c r="AC12" s="261"/>
      <c r="AD12" s="387">
        <f>(Tabla_query__2[[#This Row],[Número
Semanas]]*Tabla_query__2[[#This Row],[Número
Personas]]*Tabla_query__2[[#This Row],[Costo
Mano Obra/semana]]+640)*Tabla_query__2[[#This Row],[Factor País]]</f>
        <v>2290</v>
      </c>
      <c r="AE12" s="261"/>
      <c r="AF12" s="261"/>
      <c r="AG12" s="591" t="s">
        <v>154</v>
      </c>
      <c r="AH12" s="464">
        <v>45369</v>
      </c>
      <c r="AI12" s="464">
        <v>45369</v>
      </c>
      <c r="AJ12" s="462">
        <f>Tabla_query__2[[#This Row],[FinDes]]-Tabla_query__2[[#This Row],[InicioDes]]</f>
        <v>0</v>
      </c>
      <c r="AK12" s="464">
        <v>45369</v>
      </c>
      <c r="AL12" s="464">
        <v>45376</v>
      </c>
      <c r="AM12" s="462">
        <f t="shared" si="0"/>
        <v>362959</v>
      </c>
      <c r="AN12" s="464">
        <v>45376</v>
      </c>
      <c r="AO12" s="464">
        <v>45383</v>
      </c>
      <c r="AP12" s="281">
        <v>45444</v>
      </c>
      <c r="AQ12" s="281">
        <f>Tabla_query__2[[#This Row],[Inicio Real]]+(Tabla_query__2[[#This Row],[Número
Semanas]]*7)</f>
        <v>45465</v>
      </c>
      <c r="AR12" s="462">
        <f>Tabla_query__2[[#This Row],[Número
Semanas]]/4</f>
        <v>0.75</v>
      </c>
      <c r="AS12" s="587">
        <f>Tabla_query__2[[#This Row],[FinDes2]]-Tabla_query__2[[#This Row],[InicioDes2]]</f>
        <v>7</v>
      </c>
      <c r="AT12" s="261" t="s">
        <v>155</v>
      </c>
      <c r="AV12" s="444"/>
    </row>
    <row r="13" spans="1:51" ht="20.25" customHeight="1">
      <c r="A13" s="318" t="s">
        <v>130</v>
      </c>
      <c r="B13" s="262" t="s">
        <v>131</v>
      </c>
      <c r="C13" s="262" t="s">
        <v>192</v>
      </c>
      <c r="D13" s="262" t="s">
        <v>195</v>
      </c>
      <c r="E13" s="262" t="s">
        <v>164</v>
      </c>
      <c r="F13" s="259" t="s">
        <v>196</v>
      </c>
      <c r="G13" s="259" t="s">
        <v>146</v>
      </c>
      <c r="H13" s="259" t="s">
        <v>137</v>
      </c>
      <c r="I13" s="262" t="s">
        <v>138</v>
      </c>
      <c r="J13" s="262" t="s">
        <v>139</v>
      </c>
      <c r="K13" s="262"/>
      <c r="L13" s="262"/>
      <c r="M13" s="266" t="s">
        <v>140</v>
      </c>
      <c r="N13" s="262" t="s">
        <v>141</v>
      </c>
      <c r="O13" t="s">
        <v>142</v>
      </c>
      <c r="P13" s="262" t="s">
        <v>139</v>
      </c>
      <c r="Q13" s="262" t="s">
        <v>143</v>
      </c>
      <c r="R13" s="262" t="s">
        <v>197</v>
      </c>
      <c r="S13" s="261"/>
      <c r="T13" s="584" t="s">
        <v>152</v>
      </c>
      <c r="U13" s="261" t="s">
        <v>198</v>
      </c>
      <c r="V13" s="261" t="s">
        <v>146</v>
      </c>
      <c r="W13" s="261">
        <v>1</v>
      </c>
      <c r="X13" s="261">
        <v>4</v>
      </c>
      <c r="Y13" s="261">
        <f>Tabla_query__2[[#This Row],[Número
Semanas]]*5*8</f>
        <v>160</v>
      </c>
      <c r="Z13" s="268">
        <f>Tabla_query__2[[#This Row],[TOTAL]]/Tabla_query__2[[#This Row],[Número de Horas]]/2</f>
        <v>8.875</v>
      </c>
      <c r="AA13" s="261">
        <v>1</v>
      </c>
      <c r="AB13" s="261">
        <v>550</v>
      </c>
      <c r="AC13" s="261"/>
      <c r="AD13" s="387">
        <f>(Tabla_query__2[[#This Row],[Número
Semanas]]*Tabla_query__2[[#This Row],[Número
Personas]]*Tabla_query__2[[#This Row],[Costo
Mano Obra/semana]]+640)*Tabla_query__2[[#This Row],[Factor País]]</f>
        <v>2840</v>
      </c>
      <c r="AE13" s="261"/>
      <c r="AF13" s="261"/>
      <c r="AG13" s="591" t="s">
        <v>154</v>
      </c>
      <c r="AH13" s="463">
        <v>45355</v>
      </c>
      <c r="AI13" s="463">
        <v>45369</v>
      </c>
      <c r="AJ13" s="462">
        <f>Tabla_query__2[[#This Row],[FinDes]]-Tabla_query__2[[#This Row],[InicioDes]]</f>
        <v>14</v>
      </c>
      <c r="AK13" s="463">
        <v>45369</v>
      </c>
      <c r="AL13" s="463">
        <v>45376</v>
      </c>
      <c r="AM13" s="462">
        <f t="shared" si="0"/>
        <v>362959</v>
      </c>
      <c r="AN13" s="463">
        <v>45376</v>
      </c>
      <c r="AO13" s="463">
        <v>45383</v>
      </c>
      <c r="AP13" s="281">
        <v>45444</v>
      </c>
      <c r="AQ13" s="281">
        <f>Tabla_query__2[[#This Row],[Inicio Real]]+(Tabla_query__2[[#This Row],[Número
Semanas]]*7)</f>
        <v>45472</v>
      </c>
      <c r="AR13" s="462">
        <f>Tabla_query__2[[#This Row],[Número
Semanas]]/4</f>
        <v>1</v>
      </c>
      <c r="AS13" s="587">
        <f>Tabla_query__2[[#This Row],[FinDes2]]-Tabla_query__2[[#This Row],[InicioDes2]]</f>
        <v>7</v>
      </c>
      <c r="AT13" s="261" t="s">
        <v>155</v>
      </c>
      <c r="AV13" s="447"/>
      <c r="AW13" t="s">
        <v>199</v>
      </c>
    </row>
    <row r="14" spans="1:51" s="329" customFormat="1" ht="27.75" customHeight="1">
      <c r="A14" s="318" t="s">
        <v>130</v>
      </c>
      <c r="B14" s="262" t="s">
        <v>131</v>
      </c>
      <c r="C14" s="262" t="s">
        <v>192</v>
      </c>
      <c r="D14" s="262" t="s">
        <v>200</v>
      </c>
      <c r="E14" s="262" t="s">
        <v>164</v>
      </c>
      <c r="F14" s="259" t="s">
        <v>201</v>
      </c>
      <c r="G14" s="259" t="s">
        <v>136</v>
      </c>
      <c r="H14" s="259" t="s">
        <v>137</v>
      </c>
      <c r="I14" s="262" t="s">
        <v>138</v>
      </c>
      <c r="J14" s="262" t="s">
        <v>139</v>
      </c>
      <c r="K14" s="262"/>
      <c r="L14" s="262"/>
      <c r="M14" s="266" t="s">
        <v>140</v>
      </c>
      <c r="N14" s="262" t="s">
        <v>141</v>
      </c>
      <c r="O14" t="s">
        <v>142</v>
      </c>
      <c r="P14" s="262" t="s">
        <v>139</v>
      </c>
      <c r="Q14" s="262" t="s">
        <v>143</v>
      </c>
      <c r="R14" s="262" t="s">
        <v>144</v>
      </c>
      <c r="S14" s="261"/>
      <c r="T14" s="584" t="s">
        <v>145</v>
      </c>
      <c r="U14" s="261"/>
      <c r="V14" s="261" t="s">
        <v>136</v>
      </c>
      <c r="W14" s="261">
        <v>1</v>
      </c>
      <c r="X14" s="261">
        <v>6</v>
      </c>
      <c r="Y14" s="261">
        <f>Tabla_query__2[[#This Row],[Número
Semanas]]*5*8</f>
        <v>240</v>
      </c>
      <c r="Z14" s="268">
        <f>Tabla_query__2[[#This Row],[TOTAL]]/Tabla_query__2[[#This Row],[Número de Horas]]/2</f>
        <v>8.2083333333333339</v>
      </c>
      <c r="AA14" s="261">
        <v>1</v>
      </c>
      <c r="AB14" s="261">
        <v>550</v>
      </c>
      <c r="AC14" s="261"/>
      <c r="AD14" s="387">
        <f>(Tabla_query__2[[#This Row],[Número
Semanas]]*Tabla_query__2[[#This Row],[Número
Personas]]*Tabla_query__2[[#This Row],[Costo
Mano Obra/semana]]+640)*Tabla_query__2[[#This Row],[Factor País]]</f>
        <v>3940</v>
      </c>
      <c r="AE14" s="261"/>
      <c r="AF14" s="261"/>
      <c r="AG14" s="591" t="s">
        <v>154</v>
      </c>
      <c r="AH14" s="281">
        <v>45369</v>
      </c>
      <c r="AI14" s="281">
        <v>45397</v>
      </c>
      <c r="AJ14" s="462">
        <f>Tabla_query__2[[#This Row],[FinDes]]-Tabla_query__2[[#This Row],[InicioDes]]</f>
        <v>28</v>
      </c>
      <c r="AK14" s="281">
        <v>45397</v>
      </c>
      <c r="AL14" s="281">
        <v>45404</v>
      </c>
      <c r="AM14" s="462">
        <f t="shared" si="0"/>
        <v>363183</v>
      </c>
      <c r="AN14" s="281">
        <v>45404</v>
      </c>
      <c r="AO14" s="281">
        <v>45411</v>
      </c>
      <c r="AP14" s="281">
        <v>45413</v>
      </c>
      <c r="AQ14" s="281">
        <f>Tabla_query__2[[#This Row],[Inicio Real]]+(Tabla_query__2[[#This Row],[Número
Semanas]]*7)</f>
        <v>45455</v>
      </c>
      <c r="AR14" s="462">
        <f>Tabla_query__2[[#This Row],[Número
Semanas]]/4</f>
        <v>1.5</v>
      </c>
      <c r="AS14" s="587">
        <f>Tabla_query__2[[#This Row],[FinDes2]]-Tabla_query__2[[#This Row],[InicioDes2]]</f>
        <v>7</v>
      </c>
      <c r="AT14" s="261" t="s">
        <v>155</v>
      </c>
      <c r="AU14"/>
      <c r="AV14" s="447"/>
    </row>
    <row r="15" spans="1:51" ht="32.25" customHeight="1">
      <c r="A15" s="550" t="s">
        <v>130</v>
      </c>
      <c r="B15" s="549" t="s">
        <v>134</v>
      </c>
      <c r="C15" s="549"/>
      <c r="D15" s="558" t="s">
        <v>202</v>
      </c>
      <c r="E15" s="549" t="s">
        <v>203</v>
      </c>
      <c r="F15" s="551"/>
      <c r="G15" s="551"/>
      <c r="H15" s="259" t="s">
        <v>204</v>
      </c>
      <c r="I15" s="549" t="s">
        <v>205</v>
      </c>
      <c r="J15" s="549" t="s">
        <v>4</v>
      </c>
      <c r="K15" s="549"/>
      <c r="L15" s="549"/>
      <c r="M15" s="549" t="s">
        <v>206</v>
      </c>
      <c r="N15" s="549" t="s">
        <v>23</v>
      </c>
      <c r="O15" t="s">
        <v>207</v>
      </c>
      <c r="P15" s="549" t="s">
        <v>22</v>
      </c>
      <c r="Q15" s="549" t="s">
        <v>208</v>
      </c>
      <c r="R15" s="549" t="s">
        <v>209</v>
      </c>
      <c r="S15" s="547"/>
      <c r="T15" s="552" t="str">
        <f>IF(MONTH(AH15)&lt;4, "Q1",IF(AND(MONTH(AH15)&gt;3,MONTH(AH15)&lt;=6),"Q2",IF(AND(MONTH(AH15)&gt;6,MONTH(AH15)&lt;=9),"Q3","Q4")))</f>
        <v>Q2</v>
      </c>
      <c r="U15" s="261"/>
      <c r="V15" s="261" t="s">
        <v>210</v>
      </c>
      <c r="W15" s="261"/>
      <c r="X15" s="261">
        <v>6</v>
      </c>
      <c r="Y15" s="261">
        <f>Tabla_query__2[[#This Row],[Número
Semanas]]*5*8</f>
        <v>240</v>
      </c>
      <c r="Z15" s="268">
        <f>Tabla_query__2[[#This Row],[TOTAL]]/Tabla_query__2[[#This Row],[Número de Horas]]/2</f>
        <v>8.0833333333333339</v>
      </c>
      <c r="AA15" s="261">
        <v>1</v>
      </c>
      <c r="AB15" s="261">
        <v>550</v>
      </c>
      <c r="AC15" s="261"/>
      <c r="AD15" s="388">
        <f>Tabla_query__2[[#This Row],[Número
Semanas]]*Tabla_query__2[[#This Row],[Número
Personas]]*Tabla_query__2[[#This Row],[Costo
Mano Obra/semana]]+580</f>
        <v>3880</v>
      </c>
      <c r="AE15" s="261"/>
      <c r="AF15" s="261"/>
      <c r="AG15" s="563" t="s">
        <v>211</v>
      </c>
      <c r="AH15" s="670">
        <v>45383</v>
      </c>
      <c r="AI15" s="670">
        <v>45432</v>
      </c>
      <c r="AJ15" s="282" t="e">
        <f>#REF!</f>
        <v>#REF!</v>
      </c>
      <c r="AK15" s="670">
        <v>45433</v>
      </c>
      <c r="AL15" s="670">
        <v>45447</v>
      </c>
      <c r="AM15" s="282">
        <f t="shared" si="0"/>
        <v>363478</v>
      </c>
      <c r="AN15" s="670">
        <v>45448</v>
      </c>
      <c r="AO15" s="670">
        <v>45462</v>
      </c>
      <c r="AP15" s="553">
        <f>Tabla_query__2[[#This Row],[InicioDes]]</f>
        <v>45383</v>
      </c>
      <c r="AQ15" s="553">
        <f>Tabla_query__2[[#This Row],[FinDes2]]</f>
        <v>45462</v>
      </c>
      <c r="AR15" s="554">
        <f>Tabla_query__2[[#This Row],[Número
Semanas]]/4</f>
        <v>1.5</v>
      </c>
      <c r="AS15" s="269">
        <f>Tabla_query__2[[#This Row],[FinDes2]]-Tabla_query__2[[#This Row],[InicioDes2]]</f>
        <v>14</v>
      </c>
      <c r="AT15" s="552"/>
      <c r="AU15" s="556"/>
    </row>
    <row r="16" spans="1:51" ht="32.25" customHeight="1">
      <c r="A16" s="318" t="s">
        <v>130</v>
      </c>
      <c r="B16" s="277" t="s">
        <v>212</v>
      </c>
      <c r="C16" s="277"/>
      <c r="D16" s="277" t="s">
        <v>213</v>
      </c>
      <c r="E16" s="262"/>
      <c r="F16" s="259" t="s">
        <v>214</v>
      </c>
      <c r="G16" s="259"/>
      <c r="H16" s="259"/>
      <c r="I16" s="277" t="s">
        <v>215</v>
      </c>
      <c r="J16" s="262" t="s">
        <v>139</v>
      </c>
      <c r="K16" s="262"/>
      <c r="L16" s="262"/>
      <c r="M16" s="277" t="s">
        <v>206</v>
      </c>
      <c r="N16" s="277" t="s">
        <v>46</v>
      </c>
      <c r="O16" t="s">
        <v>216</v>
      </c>
      <c r="P16" s="277" t="s">
        <v>139</v>
      </c>
      <c r="Q16" s="262" t="s">
        <v>143</v>
      </c>
      <c r="R16" s="277" t="s">
        <v>197</v>
      </c>
      <c r="S16" s="259" t="s">
        <v>145</v>
      </c>
      <c r="T16" s="259" t="s">
        <v>152</v>
      </c>
      <c r="U16" s="259"/>
      <c r="V16" s="259" t="s">
        <v>146</v>
      </c>
      <c r="W16" s="259">
        <v>1</v>
      </c>
      <c r="X16" s="259">
        <v>2</v>
      </c>
      <c r="Y16" s="259">
        <f>Tabla_query__2[[#This Row],[Número
Semanas]]*5*8</f>
        <v>80</v>
      </c>
      <c r="Z16" s="387">
        <f>Tabla_query__2[[#This Row],[TOTAL]]/Tabla_query__2[[#This Row],[Número de Horas]]/2</f>
        <v>13.75</v>
      </c>
      <c r="AA16" s="259">
        <v>2</v>
      </c>
      <c r="AB16" s="259">
        <v>550</v>
      </c>
      <c r="AC16" s="259"/>
      <c r="AD16" s="403">
        <f>Tabla_query__2[[#This Row],[Número
Semanas]]*Tabla_query__2[[#This Row],[Número
Personas]]*Tabla_query__2[[#This Row],[Costo
Mano Obra/semana]]</f>
        <v>2200</v>
      </c>
      <c r="AE16" s="259"/>
      <c r="AF16" s="259"/>
      <c r="AG16" s="259"/>
      <c r="AH16" s="281">
        <v>45329</v>
      </c>
      <c r="AI16" s="281">
        <v>45336</v>
      </c>
      <c r="AJ16" s="281">
        <f>Tabla_query__2[[#This Row],[FinDes]]-Tabla_query__2[[#This Row],[InicioDes]]</f>
        <v>7</v>
      </c>
      <c r="AK16" s="281">
        <v>45336</v>
      </c>
      <c r="AL16" s="281">
        <v>45343</v>
      </c>
      <c r="AM16" s="281">
        <f>Tabla_query__2[[#This Row],[FinPil]]-Tabla_query__2[[#This Row],[InicioPil]]</f>
        <v>7</v>
      </c>
      <c r="AN16" s="281">
        <v>45343</v>
      </c>
      <c r="AO16" s="281">
        <v>45350</v>
      </c>
      <c r="AP16" s="281">
        <f>Tabla_query__2[[#This Row],[InicioDes]]</f>
        <v>45329</v>
      </c>
      <c r="AQ16" s="281">
        <f>Tabla_query__2[[#This Row],[FinDes2]]</f>
        <v>45350</v>
      </c>
      <c r="AR16" s="462">
        <f>Tabla_query__2[[#This Row],[Número
Semanas]]/4</f>
        <v>0.5</v>
      </c>
      <c r="AS16" s="405">
        <f>Tabla_query__2[[#This Row],[FinDes2]]-Tabla_query__2[[#This Row],[InicioDes2]]</f>
        <v>7</v>
      </c>
      <c r="AT16" s="259" t="s">
        <v>217</v>
      </c>
      <c r="AU16" s="407"/>
      <c r="AV16" s="407"/>
    </row>
    <row r="17" spans="1:48" ht="32.25" customHeight="1">
      <c r="A17" s="318" t="s">
        <v>130</v>
      </c>
      <c r="B17" s="262" t="s">
        <v>218</v>
      </c>
      <c r="C17" s="262"/>
      <c r="D17" s="262" t="s">
        <v>219</v>
      </c>
      <c r="E17" s="262"/>
      <c r="F17" s="259"/>
      <c r="G17" s="259"/>
      <c r="H17" s="259"/>
      <c r="I17" s="262" t="s">
        <v>220</v>
      </c>
      <c r="J17" s="262" t="s">
        <v>139</v>
      </c>
      <c r="K17" s="262"/>
      <c r="L17" s="262"/>
      <c r="M17" s="262" t="s">
        <v>206</v>
      </c>
      <c r="N17" s="262" t="s">
        <v>46</v>
      </c>
      <c r="O17" t="s">
        <v>216</v>
      </c>
      <c r="P17" s="262" t="s">
        <v>217</v>
      </c>
      <c r="Q17" s="262" t="s">
        <v>143</v>
      </c>
      <c r="R17" s="262" t="s">
        <v>144</v>
      </c>
      <c r="S17" s="261"/>
      <c r="T17" s="261" t="s">
        <v>221</v>
      </c>
      <c r="U17" s="261"/>
      <c r="V17" s="261" t="s">
        <v>136</v>
      </c>
      <c r="W17" s="261"/>
      <c r="X17" s="261">
        <v>6</v>
      </c>
      <c r="Y17" s="261">
        <f>Tabla_query__2[[#This Row],[Número
Semanas]]*5*8</f>
        <v>240</v>
      </c>
      <c r="Z17" s="268">
        <f>Tabla_query__2[[#This Row],[TOTAL]]/Tabla_query__2[[#This Row],[Número de Horas]]/2</f>
        <v>12.583333333333334</v>
      </c>
      <c r="AA17" s="261">
        <v>2</v>
      </c>
      <c r="AB17" s="261">
        <v>450</v>
      </c>
      <c r="AC17" s="261"/>
      <c r="AD17" s="388">
        <f>Tabla_query__2[[#This Row],[Número
Semanas]]*Tabla_query__2[[#This Row],[Número
Personas]]*Tabla_query__2[[#This Row],[Costo
Mano Obra/semana]] + 640</f>
        <v>6040</v>
      </c>
      <c r="AE17" s="261"/>
      <c r="AF17" s="261"/>
      <c r="AG17" s="261"/>
      <c r="AH17" s="417">
        <v>45523</v>
      </c>
      <c r="AI17" s="267">
        <v>45562</v>
      </c>
      <c r="AJ17" s="282" t="e">
        <f>#REF!</f>
        <v>#REF!</v>
      </c>
      <c r="AK17" s="267">
        <v>45566</v>
      </c>
      <c r="AL17" s="267">
        <v>45572</v>
      </c>
      <c r="AM17" s="282">
        <f>AL17+ ((AK17*7))</f>
        <v>364534</v>
      </c>
      <c r="AN17" s="321"/>
      <c r="AO17" s="261"/>
      <c r="AP17" s="384">
        <f>Tabla_query__2[[#This Row],[InicioDes]]</f>
        <v>45523</v>
      </c>
      <c r="AQ17" s="384">
        <f>Tabla_query__2[[#This Row],[FinDes2]]</f>
        <v>0</v>
      </c>
      <c r="AR17" s="462">
        <f>Tabla_query__2[[#This Row],[Número
Semanas]]/4</f>
        <v>1.5</v>
      </c>
      <c r="AS17" s="269">
        <f>Tabla_query__2[[#This Row],[FinDes2]]-Tabla_query__2[[#This Row],[InicioDes2]]</f>
        <v>0</v>
      </c>
      <c r="AT17" s="261"/>
      <c r="AV17" s="293"/>
    </row>
    <row r="18" spans="1:48" ht="32.25" customHeight="1">
      <c r="A18" s="318" t="s">
        <v>130</v>
      </c>
      <c r="B18" s="277" t="s">
        <v>212</v>
      </c>
      <c r="C18" s="277"/>
      <c r="D18" s="262" t="s">
        <v>222</v>
      </c>
      <c r="E18" s="262"/>
      <c r="F18" s="259" t="s">
        <v>223</v>
      </c>
      <c r="G18" s="259"/>
      <c r="H18" s="259" t="s">
        <v>204</v>
      </c>
      <c r="I18" s="277" t="s">
        <v>224</v>
      </c>
      <c r="J18" s="277" t="s">
        <v>4</v>
      </c>
      <c r="K18" s="277"/>
      <c r="L18" s="277"/>
      <c r="M18" s="277" t="s">
        <v>206</v>
      </c>
      <c r="N18" s="277" t="s">
        <v>44</v>
      </c>
      <c r="O18" t="s">
        <v>225</v>
      </c>
      <c r="P18" s="277" t="s">
        <v>43</v>
      </c>
      <c r="Q18" s="262" t="s">
        <v>208</v>
      </c>
      <c r="R18" s="409" t="s">
        <v>144</v>
      </c>
      <c r="S18" s="259" t="s">
        <v>145</v>
      </c>
      <c r="T18" s="259" t="s">
        <v>145</v>
      </c>
      <c r="U18" s="259"/>
      <c r="V18" s="259" t="s">
        <v>146</v>
      </c>
      <c r="W18" s="259">
        <v>1</v>
      </c>
      <c r="X18" s="259">
        <v>2</v>
      </c>
      <c r="Y18" s="259">
        <f>Tabla_query__2[[#This Row],[Número
Semanas]]*5*8</f>
        <v>80</v>
      </c>
      <c r="Z18" s="387">
        <f>Tabla_query__2[[#This Row],[TOTAL]]/Tabla_query__2[[#This Row],[Número de Horas]]/2</f>
        <v>13.75</v>
      </c>
      <c r="AA18" s="259">
        <v>1</v>
      </c>
      <c r="AB18" s="259">
        <f>40*27.5</f>
        <v>1100</v>
      </c>
      <c r="AC18" s="259"/>
      <c r="AD18" s="403">
        <f>Tabla_query__2[[#This Row],[Número
Semanas]]*Tabla_query__2[[#This Row],[Número
Personas]]*Tabla_query__2[[#This Row],[Costo
Mano Obra/semana]]</f>
        <v>2200</v>
      </c>
      <c r="AE18" s="259"/>
      <c r="AF18" s="259"/>
      <c r="AG18" s="259"/>
      <c r="AH18" s="406">
        <v>45389</v>
      </c>
      <c r="AI18" s="404">
        <v>45419</v>
      </c>
      <c r="AJ18" s="451">
        <f>Tabla_query__2[[#This Row],[FinDes]]-Tabla_query__2[[#This Row],[InicioDes]]</f>
        <v>30</v>
      </c>
      <c r="AK18" s="404">
        <v>45410</v>
      </c>
      <c r="AL18" s="404">
        <v>45419</v>
      </c>
      <c r="AM18" s="405">
        <f>Tabla_query__2[[#This Row],[FinPil]]-Tabla_query__2[[#This Row],[InicioPil]]</f>
        <v>9</v>
      </c>
      <c r="AN18" s="406">
        <v>45419</v>
      </c>
      <c r="AO18" s="404">
        <v>45426</v>
      </c>
      <c r="AP18" s="384">
        <f>Tabla_query__2[[#This Row],[InicioDes]]</f>
        <v>45389</v>
      </c>
      <c r="AQ18" s="384">
        <f>Tabla_query__2[[#This Row],[FinDes2]]</f>
        <v>45426</v>
      </c>
      <c r="AR18" s="462">
        <f>Tabla_query__2[[#This Row],[Número
Semanas]]/4</f>
        <v>0.5</v>
      </c>
      <c r="AS18" s="405">
        <f>Tabla_query__2[[#This Row],[FinDes2]]-Tabla_query__2[[#This Row],[InicioDes2]]</f>
        <v>7</v>
      </c>
      <c r="AT18" s="259"/>
      <c r="AU18" s="407"/>
      <c r="AV18" s="329"/>
    </row>
    <row r="19" spans="1:48" ht="32.25" customHeight="1">
      <c r="A19" s="318" t="s">
        <v>130</v>
      </c>
      <c r="B19" s="262" t="s">
        <v>212</v>
      </c>
      <c r="C19" s="262"/>
      <c r="D19" s="277" t="s">
        <v>226</v>
      </c>
      <c r="E19" s="262"/>
      <c r="F19" s="259" t="s">
        <v>227</v>
      </c>
      <c r="G19" s="259"/>
      <c r="H19" s="259" t="s">
        <v>204</v>
      </c>
      <c r="I19" s="277" t="s">
        <v>226</v>
      </c>
      <c r="J19" s="262" t="s">
        <v>4</v>
      </c>
      <c r="K19" s="262"/>
      <c r="L19" s="262"/>
      <c r="M19" s="262" t="s">
        <v>206</v>
      </c>
      <c r="N19" s="262" t="s">
        <v>44</v>
      </c>
      <c r="O19" s="490" t="s">
        <v>225</v>
      </c>
      <c r="P19" s="262" t="s">
        <v>43</v>
      </c>
      <c r="Q19" s="262" t="s">
        <v>208</v>
      </c>
      <c r="R19" s="600" t="s">
        <v>144</v>
      </c>
      <c r="S19" s="261" t="s">
        <v>145</v>
      </c>
      <c r="T19" s="261" t="s">
        <v>145</v>
      </c>
      <c r="U19" s="261"/>
      <c r="V19" s="261" t="s">
        <v>136</v>
      </c>
      <c r="W19" s="261">
        <v>1</v>
      </c>
      <c r="X19" s="261">
        <v>1</v>
      </c>
      <c r="Y19" s="261">
        <f>Tabla_query__2[[#This Row],[Número
Semanas]]*5*8</f>
        <v>40</v>
      </c>
      <c r="Z19" s="268">
        <f>Tabla_query__2[[#This Row],[TOTAL]]/Tabla_query__2[[#This Row],[Número de Horas]]/2</f>
        <v>398.8125</v>
      </c>
      <c r="AA19" s="261">
        <v>1</v>
      </c>
      <c r="AB19" s="261">
        <f>2100+12250+4955</f>
        <v>19305</v>
      </c>
      <c r="AC19" s="261">
        <f>25200/2</f>
        <v>12600</v>
      </c>
      <c r="AD19" s="387">
        <f>((X19*AA19*AB19)+AC19)*W19</f>
        <v>31905</v>
      </c>
      <c r="AE19" s="268">
        <f>25200/2</f>
        <v>12600</v>
      </c>
      <c r="AF19" s="261"/>
      <c r="AG19" s="261"/>
      <c r="AH19" s="417">
        <v>45358</v>
      </c>
      <c r="AI19" s="267">
        <v>45450</v>
      </c>
      <c r="AJ19" s="451">
        <f>Tabla_query__2[[#This Row],[FinDes]]-Tabla_query__2[[#This Row],[InicioDes]]</f>
        <v>92</v>
      </c>
      <c r="AK19" s="267">
        <v>45379</v>
      </c>
      <c r="AL19" s="267">
        <v>45471</v>
      </c>
      <c r="AM19" s="405">
        <f>Tabla_query__2[[#This Row],[FinPil]]-Tabla_query__2[[#This Row],[InicioPil]]</f>
        <v>92</v>
      </c>
      <c r="AN19" s="417">
        <v>45389</v>
      </c>
      <c r="AO19" s="267">
        <v>45471</v>
      </c>
      <c r="AP19" s="384">
        <f>Tabla_query__2[[#This Row],[InicioDes]]</f>
        <v>45358</v>
      </c>
      <c r="AQ19" s="384">
        <f>Tabla_query__2[[#This Row],[FinDes2]]</f>
        <v>45471</v>
      </c>
      <c r="AR19" s="462">
        <f>Tabla_query__2[[#This Row],[Número
Semanas]]/4</f>
        <v>0.25</v>
      </c>
      <c r="AS19" s="269">
        <f>Tabla_query__2[[#This Row],[FinDes2]]-Tabla_query__2[[#This Row],[InicioDes2]]</f>
        <v>82</v>
      </c>
      <c r="AT19" s="261"/>
    </row>
    <row r="20" spans="1:48" ht="32.25" customHeight="1">
      <c r="A20" s="318" t="s">
        <v>130</v>
      </c>
      <c r="B20" s="277" t="s">
        <v>212</v>
      </c>
      <c r="C20" s="277"/>
      <c r="D20" s="277" t="s">
        <v>228</v>
      </c>
      <c r="E20" s="262"/>
      <c r="F20" s="259" t="s">
        <v>229</v>
      </c>
      <c r="G20" s="259"/>
      <c r="H20" s="259" t="s">
        <v>204</v>
      </c>
      <c r="I20" s="277" t="s">
        <v>230</v>
      </c>
      <c r="J20" s="277" t="s">
        <v>4</v>
      </c>
      <c r="K20" s="277"/>
      <c r="L20" s="277"/>
      <c r="M20" s="277" t="s">
        <v>206</v>
      </c>
      <c r="N20" s="277" t="s">
        <v>44</v>
      </c>
      <c r="O20" t="s">
        <v>225</v>
      </c>
      <c r="P20" s="277" t="s">
        <v>43</v>
      </c>
      <c r="Q20" s="262" t="s">
        <v>208</v>
      </c>
      <c r="R20" s="277" t="s">
        <v>144</v>
      </c>
      <c r="S20" s="259" t="s">
        <v>145</v>
      </c>
      <c r="T20" s="259" t="s">
        <v>145</v>
      </c>
      <c r="U20" s="259"/>
      <c r="V20" s="261" t="s">
        <v>210</v>
      </c>
      <c r="W20" s="259">
        <v>1</v>
      </c>
      <c r="X20" s="259">
        <v>1</v>
      </c>
      <c r="Y20" s="259">
        <f>Tabla_query__2[[#This Row],[Número
Semanas]]*5*8</f>
        <v>40</v>
      </c>
      <c r="Z20" s="387">
        <f>Tabla_query__2[[#This Row],[TOTAL]]/Tabla_query__2[[#This Row],[Número de Horas]]/2</f>
        <v>13.75</v>
      </c>
      <c r="AA20" s="259">
        <v>2</v>
      </c>
      <c r="AB20" s="259">
        <v>550</v>
      </c>
      <c r="AC20" s="259"/>
      <c r="AD20" s="403">
        <f>Tabla_query__2[[#This Row],[Número
Semanas]]*Tabla_query__2[[#This Row],[Número
Personas]]*Tabla_query__2[[#This Row],[Costo
Mano Obra/semana]]</f>
        <v>1100</v>
      </c>
      <c r="AE20" s="387">
        <v>1800</v>
      </c>
      <c r="AF20" s="259"/>
      <c r="AG20" s="259"/>
      <c r="AH20" s="406">
        <v>45336</v>
      </c>
      <c r="AI20" s="404">
        <v>45350</v>
      </c>
      <c r="AJ20" s="451">
        <f>Tabla_query__2[[#This Row],[FinDes]]-Tabla_query__2[[#This Row],[InicioDes]]</f>
        <v>14</v>
      </c>
      <c r="AK20" s="404">
        <v>45350</v>
      </c>
      <c r="AL20" s="404">
        <v>45365</v>
      </c>
      <c r="AM20" s="405">
        <f>Tabla_query__2[[#This Row],[FinPil]]-Tabla_query__2[[#This Row],[InicioPil]]</f>
        <v>15</v>
      </c>
      <c r="AN20" s="406">
        <v>45365</v>
      </c>
      <c r="AO20" s="404">
        <v>45372</v>
      </c>
      <c r="AP20" s="384">
        <f>Tabla_query__2[[#This Row],[InicioDes]]</f>
        <v>45336</v>
      </c>
      <c r="AQ20" s="384">
        <f>Tabla_query__2[[#This Row],[FinDes2]]</f>
        <v>45372</v>
      </c>
      <c r="AR20" s="462">
        <f>Tabla_query__2[[#This Row],[Número
Semanas]]/4</f>
        <v>0.25</v>
      </c>
      <c r="AS20" s="405">
        <f>Tabla_query__2[[#This Row],[FinDes2]]-Tabla_query__2[[#This Row],[InicioDes2]]</f>
        <v>7</v>
      </c>
      <c r="AT20" s="259"/>
      <c r="AU20" s="329"/>
      <c r="AV20" s="407"/>
    </row>
    <row r="21" spans="1:48" ht="23.25">
      <c r="A21" s="318" t="s">
        <v>130</v>
      </c>
      <c r="B21" s="277" t="s">
        <v>212</v>
      </c>
      <c r="C21" s="277"/>
      <c r="D21" s="277" t="s">
        <v>231</v>
      </c>
      <c r="E21" s="262"/>
      <c r="F21" s="259" t="s">
        <v>232</v>
      </c>
      <c r="G21" s="259"/>
      <c r="H21" s="259" t="s">
        <v>204</v>
      </c>
      <c r="I21" s="277" t="s">
        <v>233</v>
      </c>
      <c r="J21" s="277" t="s">
        <v>4</v>
      </c>
      <c r="K21" s="277"/>
      <c r="L21" s="277"/>
      <c r="M21" s="277" t="s">
        <v>206</v>
      </c>
      <c r="N21" s="277" t="s">
        <v>44</v>
      </c>
      <c r="O21" t="s">
        <v>225</v>
      </c>
      <c r="P21" s="277" t="s">
        <v>43</v>
      </c>
      <c r="Q21" s="262" t="s">
        <v>143</v>
      </c>
      <c r="R21" s="277" t="s">
        <v>197</v>
      </c>
      <c r="S21" s="259" t="s">
        <v>145</v>
      </c>
      <c r="T21" s="259" t="s">
        <v>152</v>
      </c>
      <c r="U21" s="259"/>
      <c r="V21" s="261" t="s">
        <v>210</v>
      </c>
      <c r="W21" s="259">
        <v>1</v>
      </c>
      <c r="X21" s="259">
        <v>1</v>
      </c>
      <c r="Y21" s="259">
        <f>Tabla_query__2[[#This Row],[Número
Semanas]]*5*8</f>
        <v>40</v>
      </c>
      <c r="Z21" s="387">
        <f>Tabla_query__2[[#This Row],[TOTAL]]/Tabla_query__2[[#This Row],[Número de Horas]]/2</f>
        <v>13.75</v>
      </c>
      <c r="AA21" s="259">
        <v>2</v>
      </c>
      <c r="AB21" s="259">
        <v>550</v>
      </c>
      <c r="AC21" s="259"/>
      <c r="AD21" s="403">
        <f>Tabla_query__2[[#This Row],[Número
Semanas]]*Tabla_query__2[[#This Row],[Número
Personas]]*Tabla_query__2[[#This Row],[Costo
Mano Obra/semana]]</f>
        <v>1100</v>
      </c>
      <c r="AE21" s="259"/>
      <c r="AF21" s="259"/>
      <c r="AG21" s="259"/>
      <c r="AH21" s="404">
        <v>45329</v>
      </c>
      <c r="AI21" s="406">
        <v>45336</v>
      </c>
      <c r="AJ21" s="451">
        <f>Tabla_query__2[[#This Row],[FinDes]]-Tabla_query__2[[#This Row],[InicioDes]]</f>
        <v>7</v>
      </c>
      <c r="AK21" s="406">
        <v>45336</v>
      </c>
      <c r="AL21" s="406">
        <v>45336</v>
      </c>
      <c r="AM21" s="405">
        <f>Tabla_query__2[[#This Row],[FinPil]]-Tabla_query__2[[#This Row],[InicioPil]]</f>
        <v>0</v>
      </c>
      <c r="AN21" s="406">
        <v>45336</v>
      </c>
      <c r="AO21" s="404">
        <v>45343</v>
      </c>
      <c r="AP21" s="384">
        <f>Tabla_query__2[[#This Row],[InicioDes]]</f>
        <v>45329</v>
      </c>
      <c r="AQ21" s="384">
        <f>Tabla_query__2[[#This Row],[FinDes2]]</f>
        <v>45343</v>
      </c>
      <c r="AR21" s="462">
        <f>Tabla_query__2[[#This Row],[Número
Semanas]]/4</f>
        <v>0.25</v>
      </c>
      <c r="AS21" s="405">
        <f>Tabla_query__2[[#This Row],[FinDes2]]-Tabla_query__2[[#This Row],[InicioDes2]]</f>
        <v>7</v>
      </c>
      <c r="AT21" s="259"/>
      <c r="AU21" s="329"/>
      <c r="AV21" s="329"/>
    </row>
    <row r="22" spans="1:48" ht="20.25" customHeight="1">
      <c r="A22" s="318">
        <v>2024</v>
      </c>
      <c r="B22" s="262" t="s">
        <v>212</v>
      </c>
      <c r="C22" s="262"/>
      <c r="D22" s="262" t="s">
        <v>234</v>
      </c>
      <c r="E22" s="262"/>
      <c r="F22" s="259" t="s">
        <v>235</v>
      </c>
      <c r="G22" s="259"/>
      <c r="H22" s="259" t="s">
        <v>204</v>
      </c>
      <c r="I22" s="490" t="s">
        <v>236</v>
      </c>
      <c r="J22" s="262" t="s">
        <v>4</v>
      </c>
      <c r="K22" s="262"/>
      <c r="L22" s="262"/>
      <c r="M22" s="262" t="s">
        <v>206</v>
      </c>
      <c r="N22" s="262" t="s">
        <v>44</v>
      </c>
      <c r="O22" t="s">
        <v>225</v>
      </c>
      <c r="P22" s="262" t="s">
        <v>237</v>
      </c>
      <c r="Q22" s="262" t="s">
        <v>208</v>
      </c>
      <c r="R22" s="262" t="s">
        <v>144</v>
      </c>
      <c r="S22" s="261" t="s">
        <v>221</v>
      </c>
      <c r="T22" s="261" t="s">
        <v>221</v>
      </c>
      <c r="U22" s="261"/>
      <c r="V22" s="261" t="s">
        <v>146</v>
      </c>
      <c r="W22" s="261">
        <v>1</v>
      </c>
      <c r="X22" s="261">
        <v>24</v>
      </c>
      <c r="Y22" s="261">
        <f>Tabla_query__2[[#This Row],[Número
Semanas]]*5*8</f>
        <v>960</v>
      </c>
      <c r="Z22" s="268">
        <f>Tabla_query__2[[#This Row],[TOTAL]]/Tabla_query__2[[#This Row],[Número de Horas]]/2</f>
        <v>1.875</v>
      </c>
      <c r="AA22" s="261">
        <v>1</v>
      </c>
      <c r="AB22" s="261">
        <v>150</v>
      </c>
      <c r="AC22" s="261"/>
      <c r="AD22" s="268">
        <f>Tabla_query__2[[#This Row],[Número
Semanas]]*Tabla_query__2[[#This Row],[Número
Personas]]*Tabla_query__2[[#This Row],[Costo
Mano Obra/semana]]</f>
        <v>3600</v>
      </c>
      <c r="AE22" s="261"/>
      <c r="AF22" s="267"/>
      <c r="AG22" s="267"/>
      <c r="AH22" s="467">
        <v>45383</v>
      </c>
      <c r="AI22" s="404">
        <v>45596</v>
      </c>
      <c r="AJ22" s="451">
        <f>Tabla_query__2[[#This Row],[FinDes]]-Tabla_query__2[[#This Row],[InicioDes]]</f>
        <v>213</v>
      </c>
      <c r="AK22" s="467"/>
      <c r="AL22" s="468"/>
      <c r="AM22" s="469">
        <f>AL22+ ((AK22*7))</f>
        <v>0</v>
      </c>
      <c r="AN22" s="467"/>
      <c r="AO22" s="468"/>
      <c r="AP22" s="384">
        <f>Tabla_query__2[[#This Row],[InicioDes]]</f>
        <v>45383</v>
      </c>
      <c r="AQ22" s="384">
        <f>Tabla_query__2[[#This Row],[FinDes2]]</f>
        <v>0</v>
      </c>
      <c r="AR22" s="468">
        <f>Tabla_query__2[[#This Row],[Número
Semanas]]/4</f>
        <v>6</v>
      </c>
      <c r="AS22" s="269">
        <f>Tabla_query__2[[#This Row],[FinDes2]]-Tabla_query__2[[#This Row],[InicioDes2]]</f>
        <v>0</v>
      </c>
      <c r="AT22" s="261"/>
    </row>
    <row r="23" spans="1:48" ht="20.25" customHeight="1">
      <c r="A23" s="318" t="s">
        <v>130</v>
      </c>
      <c r="B23" s="277" t="s">
        <v>212</v>
      </c>
      <c r="C23" s="277"/>
      <c r="D23" s="262" t="s">
        <v>238</v>
      </c>
      <c r="E23" s="262"/>
      <c r="F23" s="259" t="s">
        <v>239</v>
      </c>
      <c r="G23" s="259"/>
      <c r="H23" s="259" t="s">
        <v>204</v>
      </c>
      <c r="I23" s="277" t="s">
        <v>240</v>
      </c>
      <c r="J23" s="277" t="s">
        <v>4</v>
      </c>
      <c r="K23" s="277"/>
      <c r="L23" s="277"/>
      <c r="M23" s="277" t="s">
        <v>206</v>
      </c>
      <c r="N23" s="277" t="s">
        <v>44</v>
      </c>
      <c r="O23" t="s">
        <v>225</v>
      </c>
      <c r="P23" s="277" t="s">
        <v>43</v>
      </c>
      <c r="Q23" s="262" t="s">
        <v>208</v>
      </c>
      <c r="R23" s="277" t="s">
        <v>144</v>
      </c>
      <c r="S23" s="259" t="s">
        <v>145</v>
      </c>
      <c r="T23" s="259" t="s">
        <v>145</v>
      </c>
      <c r="U23" s="259"/>
      <c r="V23" s="259" t="s">
        <v>146</v>
      </c>
      <c r="W23" s="259">
        <v>1</v>
      </c>
      <c r="X23" s="259">
        <v>4</v>
      </c>
      <c r="Y23" s="259">
        <f>Tabla_query__2[[#This Row],[Número
Semanas]]*5*8</f>
        <v>160</v>
      </c>
      <c r="Z23" s="387">
        <f>Tabla_query__2[[#This Row],[TOTAL]]/Tabla_query__2[[#This Row],[Número de Horas]]/2</f>
        <v>22</v>
      </c>
      <c r="AA23" s="259">
        <v>1</v>
      </c>
      <c r="AB23" s="259">
        <f>40*40</f>
        <v>1600</v>
      </c>
      <c r="AC23" s="259"/>
      <c r="AD23" s="403">
        <f>Tabla_query__2[[#This Row],[Número
Semanas]]*Tabla_query__2[[#This Row],[Número
Personas]]*Tabla_query__2[[#This Row],[Costo
Mano Obra/semana]] + 640</f>
        <v>7040</v>
      </c>
      <c r="AE23" s="259"/>
      <c r="AF23" s="259"/>
      <c r="AG23" s="259"/>
      <c r="AH23" s="404">
        <v>45358</v>
      </c>
      <c r="AI23" s="404">
        <v>45419</v>
      </c>
      <c r="AJ23" s="451">
        <f>Tabla_query__2[[#This Row],[FinDes]]-Tabla_query__2[[#This Row],[InicioDes]]</f>
        <v>61</v>
      </c>
      <c r="AK23" s="404">
        <v>45419</v>
      </c>
      <c r="AL23" s="404">
        <v>45426</v>
      </c>
      <c r="AM23" s="405">
        <f>Tabla_query__2[[#This Row],[FinPil]]-Tabla_query__2[[#This Row],[InicioPil]]</f>
        <v>7</v>
      </c>
      <c r="AN23" s="404">
        <v>45426</v>
      </c>
      <c r="AO23" s="404">
        <v>45433</v>
      </c>
      <c r="AP23" s="384">
        <f>Tabla_query__2[[#This Row],[InicioDes]]</f>
        <v>45358</v>
      </c>
      <c r="AQ23" s="384">
        <f>Tabla_query__2[[#This Row],[FinDes2]]</f>
        <v>45433</v>
      </c>
      <c r="AR23" s="462">
        <f>Tabla_query__2[[#This Row],[Número
Semanas]]/4</f>
        <v>1</v>
      </c>
      <c r="AS23" s="405">
        <f>Tabla_query__2[[#This Row],[FinDes2]]-Tabla_query__2[[#This Row],[InicioDes2]]</f>
        <v>7</v>
      </c>
      <c r="AT23" s="259"/>
      <c r="AU23" s="329"/>
      <c r="AV23" s="329"/>
    </row>
    <row r="24" spans="1:48" ht="28.5" customHeight="1">
      <c r="A24" s="318" t="s">
        <v>130</v>
      </c>
      <c r="B24" s="277" t="s">
        <v>212</v>
      </c>
      <c r="C24" s="277"/>
      <c r="D24" s="262" t="s">
        <v>241</v>
      </c>
      <c r="E24" s="262"/>
      <c r="F24" s="259" t="s">
        <v>242</v>
      </c>
      <c r="G24" s="259"/>
      <c r="H24" s="259" t="s">
        <v>204</v>
      </c>
      <c r="I24" s="650" t="s">
        <v>243</v>
      </c>
      <c r="J24" s="277" t="s">
        <v>4</v>
      </c>
      <c r="K24" s="277"/>
      <c r="L24" s="277"/>
      <c r="M24" s="277" t="s">
        <v>206</v>
      </c>
      <c r="N24" s="277" t="s">
        <v>44</v>
      </c>
      <c r="O24" t="s">
        <v>225</v>
      </c>
      <c r="P24" s="277" t="s">
        <v>43</v>
      </c>
      <c r="Q24" s="262" t="s">
        <v>208</v>
      </c>
      <c r="R24" s="277" t="s">
        <v>144</v>
      </c>
      <c r="S24" s="259" t="s">
        <v>145</v>
      </c>
      <c r="T24" s="259" t="s">
        <v>145</v>
      </c>
      <c r="U24" s="259"/>
      <c r="V24" s="261" t="s">
        <v>136</v>
      </c>
      <c r="W24" s="259">
        <v>1</v>
      </c>
      <c r="X24" s="259">
        <v>4</v>
      </c>
      <c r="Y24" s="259">
        <f>Tabla_query__2[[#This Row],[Número
Semanas]]*5*8</f>
        <v>160</v>
      </c>
      <c r="Z24" s="387">
        <f>Tabla_query__2[[#This Row],[TOTAL]]/Tabla_query__2[[#This Row],[Número de Horas]]/2</f>
        <v>22</v>
      </c>
      <c r="AA24" s="259">
        <v>1</v>
      </c>
      <c r="AB24" s="259">
        <v>1600</v>
      </c>
      <c r="AC24" s="259"/>
      <c r="AD24" s="403">
        <f>Tabla_query__2[[#This Row],[Número
Semanas]]*Tabla_query__2[[#This Row],[Número
Personas]]*Tabla_query__2[[#This Row],[Costo
Mano Obra/semana]]+640</f>
        <v>7040</v>
      </c>
      <c r="AE24" s="259"/>
      <c r="AF24" s="259"/>
      <c r="AG24" s="259"/>
      <c r="AH24" s="404">
        <v>45389</v>
      </c>
      <c r="AI24" s="404">
        <v>45419</v>
      </c>
      <c r="AJ24" s="451">
        <f>Tabla_query__2[[#This Row],[FinDes]]-Tabla_query__2[[#This Row],[InicioDes]]</f>
        <v>30</v>
      </c>
      <c r="AK24" s="404">
        <v>45419</v>
      </c>
      <c r="AL24" s="404">
        <v>45419</v>
      </c>
      <c r="AM24" s="405">
        <f>Tabla_query__2[[#This Row],[FinPil]]-Tabla_query__2[[#This Row],[InicioPil]]</f>
        <v>0</v>
      </c>
      <c r="AN24" s="404">
        <v>45419</v>
      </c>
      <c r="AO24" s="404">
        <v>45433</v>
      </c>
      <c r="AP24" s="384">
        <f>Tabla_query__2[[#This Row],[InicioDes]]</f>
        <v>45389</v>
      </c>
      <c r="AQ24" s="384">
        <f>Tabla_query__2[[#This Row],[FinDes2]]</f>
        <v>45433</v>
      </c>
      <c r="AR24" s="462">
        <f>Tabla_query__2[[#This Row],[Número
Semanas]]/4</f>
        <v>1</v>
      </c>
      <c r="AS24" s="405">
        <f>Tabla_query__2[[#This Row],[FinDes2]]-Tabla_query__2[[#This Row],[InicioDes2]]</f>
        <v>14</v>
      </c>
      <c r="AT24" s="259"/>
      <c r="AU24" s="329"/>
      <c r="AV24" s="329"/>
    </row>
    <row r="25" spans="1:48" ht="26.25" customHeight="1">
      <c r="A25" s="318" t="s">
        <v>130</v>
      </c>
      <c r="B25" s="277" t="s">
        <v>212</v>
      </c>
      <c r="C25" s="277"/>
      <c r="D25" s="262" t="s">
        <v>244</v>
      </c>
      <c r="E25" s="262"/>
      <c r="F25" s="259" t="s">
        <v>245</v>
      </c>
      <c r="G25" s="259"/>
      <c r="H25" s="259" t="s">
        <v>204</v>
      </c>
      <c r="I25" s="277" t="s">
        <v>246</v>
      </c>
      <c r="J25" s="277" t="s">
        <v>4</v>
      </c>
      <c r="K25" s="277"/>
      <c r="L25" s="277"/>
      <c r="M25" s="277" t="s">
        <v>206</v>
      </c>
      <c r="N25" s="277" t="s">
        <v>38</v>
      </c>
      <c r="O25" t="s">
        <v>247</v>
      </c>
      <c r="P25" s="277" t="s">
        <v>37</v>
      </c>
      <c r="Q25" s="262" t="s">
        <v>143</v>
      </c>
      <c r="R25" s="409" t="s">
        <v>197</v>
      </c>
      <c r="S25" s="259" t="s">
        <v>152</v>
      </c>
      <c r="T25" s="259" t="s">
        <v>152</v>
      </c>
      <c r="U25" s="259"/>
      <c r="V25" s="261" t="s">
        <v>210</v>
      </c>
      <c r="W25" s="259">
        <v>1</v>
      </c>
      <c r="X25" s="259">
        <v>4</v>
      </c>
      <c r="Y25" s="259">
        <f>Tabla_query__2[[#This Row],[Número
Semanas]]*5*8</f>
        <v>160</v>
      </c>
      <c r="Z25" s="387">
        <f>Tabla_query__2[[#This Row],[TOTAL]]/Tabla_query__2[[#This Row],[Número de Horas]]/2</f>
        <v>0</v>
      </c>
      <c r="AA25" s="259"/>
      <c r="AB25" s="259"/>
      <c r="AC25" s="259"/>
      <c r="AD25" s="403">
        <f>Tabla_query__2[[#This Row],[Número
Semanas]]*Tabla_query__2[[#This Row],[Número
Personas]]*Tabla_query__2[[#This Row],[Costo
Mano Obra/semana]]</f>
        <v>0</v>
      </c>
      <c r="AE25" s="259"/>
      <c r="AF25" s="259"/>
      <c r="AG25" s="259"/>
      <c r="AH25" s="404">
        <v>45329</v>
      </c>
      <c r="AI25" s="404">
        <v>45343</v>
      </c>
      <c r="AJ25" s="451">
        <f>Tabla_query__2[[#This Row],[FinDes]]-Tabla_query__2[[#This Row],[InicioDes]]</f>
        <v>14</v>
      </c>
      <c r="AK25" s="404">
        <v>45343</v>
      </c>
      <c r="AL25" s="404">
        <v>45350</v>
      </c>
      <c r="AM25" s="405">
        <f>Tabla_query__2[[#This Row],[FinPil]]-Tabla_query__2[[#This Row],[InicioPil]]</f>
        <v>7</v>
      </c>
      <c r="AN25" s="404">
        <v>45358</v>
      </c>
      <c r="AO25" s="404">
        <v>45365</v>
      </c>
      <c r="AP25" s="384">
        <f>Tabla_query__2[[#This Row],[InicioDes]]</f>
        <v>45329</v>
      </c>
      <c r="AQ25" s="384">
        <f>Tabla_query__2[[#This Row],[FinDes2]]</f>
        <v>45365</v>
      </c>
      <c r="AR25" s="462">
        <f>Tabla_query__2[[#This Row],[Número
Semanas]]/4</f>
        <v>1</v>
      </c>
      <c r="AS25" s="405">
        <f>Tabla_query__2[[#This Row],[FinDes2]]-Tabla_query__2[[#This Row],[InicioDes2]]</f>
        <v>7</v>
      </c>
      <c r="AT25" s="259"/>
      <c r="AU25" s="407"/>
      <c r="AV25" s="329"/>
    </row>
    <row r="26" spans="1:48" ht="20.25" customHeight="1">
      <c r="A26" s="318" t="s">
        <v>130</v>
      </c>
      <c r="B26" s="277" t="s">
        <v>212</v>
      </c>
      <c r="C26" s="277"/>
      <c r="D26" s="262" t="s">
        <v>248</v>
      </c>
      <c r="E26" s="262"/>
      <c r="F26" s="259" t="s">
        <v>249</v>
      </c>
      <c r="G26" s="259"/>
      <c r="H26" s="259" t="s">
        <v>204</v>
      </c>
      <c r="I26" s="277" t="s">
        <v>250</v>
      </c>
      <c r="J26" s="277" t="s">
        <v>4</v>
      </c>
      <c r="K26" s="277"/>
      <c r="L26" s="277"/>
      <c r="M26" s="277" t="s">
        <v>206</v>
      </c>
      <c r="N26" s="277" t="s">
        <v>38</v>
      </c>
      <c r="O26" t="s">
        <v>247</v>
      </c>
      <c r="P26" s="277" t="s">
        <v>37</v>
      </c>
      <c r="Q26" s="262" t="s">
        <v>208</v>
      </c>
      <c r="R26" s="409" t="s">
        <v>144</v>
      </c>
      <c r="S26" s="259" t="s">
        <v>152</v>
      </c>
      <c r="T26" s="259" t="s">
        <v>145</v>
      </c>
      <c r="U26" s="259"/>
      <c r="V26" s="261" t="s">
        <v>210</v>
      </c>
      <c r="W26" s="259">
        <v>1</v>
      </c>
      <c r="X26" s="259"/>
      <c r="Y26" s="259">
        <f>Tabla_query__2[[#This Row],[Número
Semanas]]*5*8</f>
        <v>0</v>
      </c>
      <c r="Z26" s="387" t="e">
        <f>Tabla_query__2[[#This Row],[TOTAL]]/Tabla_query__2[[#This Row],[Número de Horas]]/2</f>
        <v>#DIV/0!</v>
      </c>
      <c r="AA26" s="259"/>
      <c r="AB26" s="259"/>
      <c r="AC26" s="259">
        <v>0</v>
      </c>
      <c r="AD26" s="403">
        <v>0</v>
      </c>
      <c r="AE26" s="259"/>
      <c r="AF26" s="259"/>
      <c r="AG26" s="259"/>
      <c r="AH26" s="404">
        <v>45329</v>
      </c>
      <c r="AI26" s="404">
        <v>45379</v>
      </c>
      <c r="AJ26" s="451">
        <f>Tabla_query__2[[#This Row],[FinDes]]-Tabla_query__2[[#This Row],[InicioDes]]</f>
        <v>50</v>
      </c>
      <c r="AK26" s="404">
        <v>45372</v>
      </c>
      <c r="AL26" s="404">
        <v>45379</v>
      </c>
      <c r="AM26" s="405">
        <f>Tabla_query__2[[#This Row],[FinPil]]-Tabla_query__2[[#This Row],[InicioPil]]</f>
        <v>7</v>
      </c>
      <c r="AN26" s="404">
        <v>45379</v>
      </c>
      <c r="AO26" s="404">
        <v>45389</v>
      </c>
      <c r="AP26" s="384">
        <f>Tabla_query__2[[#This Row],[InicioDes]]</f>
        <v>45329</v>
      </c>
      <c r="AQ26" s="384">
        <f>Tabla_query__2[[#This Row],[FinDes2]]</f>
        <v>45389</v>
      </c>
      <c r="AR26" s="462">
        <f>Tabla_query__2[[#This Row],[Número
Semanas]]/4</f>
        <v>0</v>
      </c>
      <c r="AS26" s="405">
        <f>Tabla_query__2[[#This Row],[FinDes2]]-Tabla_query__2[[#This Row],[InicioDes2]]</f>
        <v>10</v>
      </c>
      <c r="AT26" s="259"/>
      <c r="AU26" s="407"/>
      <c r="AV26" s="329"/>
    </row>
    <row r="27" spans="1:48" ht="20.25" customHeight="1">
      <c r="A27" s="318" t="s">
        <v>251</v>
      </c>
      <c r="B27" s="277" t="s">
        <v>212</v>
      </c>
      <c r="C27" s="601"/>
      <c r="D27" s="262" t="s">
        <v>252</v>
      </c>
      <c r="E27" s="262"/>
      <c r="F27" s="259" t="s">
        <v>253</v>
      </c>
      <c r="G27" s="259"/>
      <c r="H27" s="259" t="s">
        <v>204</v>
      </c>
      <c r="I27" s="277" t="s">
        <v>254</v>
      </c>
      <c r="J27" s="277" t="s">
        <v>4</v>
      </c>
      <c r="K27" s="277"/>
      <c r="L27" s="277"/>
      <c r="M27" s="277" t="s">
        <v>206</v>
      </c>
      <c r="N27" s="277" t="s">
        <v>38</v>
      </c>
      <c r="O27" t="s">
        <v>247</v>
      </c>
      <c r="P27" s="277" t="s">
        <v>37</v>
      </c>
      <c r="Q27" s="262" t="s">
        <v>143</v>
      </c>
      <c r="R27" s="277" t="s">
        <v>197</v>
      </c>
      <c r="S27" s="259" t="s">
        <v>152</v>
      </c>
      <c r="T27" s="259" t="s">
        <v>152</v>
      </c>
      <c r="U27" s="259"/>
      <c r="V27" s="259" t="s">
        <v>146</v>
      </c>
      <c r="W27" s="259">
        <v>1</v>
      </c>
      <c r="X27" s="259"/>
      <c r="Y27" s="259">
        <f>Tabla_query__2[[#This Row],[Número
Semanas]]*5*8</f>
        <v>0</v>
      </c>
      <c r="Z27" s="387" t="e">
        <f>Tabla_query__2[[#This Row],[TOTAL]]/Tabla_query__2[[#This Row],[Número de Horas]]/2</f>
        <v>#DIV/0!</v>
      </c>
      <c r="AA27" s="259"/>
      <c r="AB27" s="259"/>
      <c r="AC27" s="259"/>
      <c r="AD27" s="403">
        <f>Tabla_query__2[[#This Row],[Número
Semanas]]*Tabla_query__2[[#This Row],[Número
Personas]]*Tabla_query__2[[#This Row],[Costo
Mano Obra/semana]]</f>
        <v>0</v>
      </c>
      <c r="AE27" s="259"/>
      <c r="AF27" s="259"/>
      <c r="AG27" s="259"/>
      <c r="AH27" s="404">
        <v>45145</v>
      </c>
      <c r="AI27" s="404">
        <v>45319</v>
      </c>
      <c r="AJ27" s="451">
        <f>Tabla_query__2[[#This Row],[FinDes]]-Tabla_query__2[[#This Row],[InicioDes]]</f>
        <v>174</v>
      </c>
      <c r="AK27" s="404">
        <v>45343</v>
      </c>
      <c r="AL27" s="404">
        <v>45350</v>
      </c>
      <c r="AM27" s="405">
        <f>Tabla_query__2[[#This Row],[FinPil]]-Tabla_query__2[[#This Row],[InicioPil]]</f>
        <v>7</v>
      </c>
      <c r="AN27" s="404">
        <v>45350</v>
      </c>
      <c r="AO27" s="404">
        <v>45358</v>
      </c>
      <c r="AP27" s="384">
        <f>Tabla_query__2[[#This Row],[InicioDes]]</f>
        <v>45145</v>
      </c>
      <c r="AQ27" s="384">
        <f>Tabla_query__2[[#This Row],[FinDes2]]</f>
        <v>45358</v>
      </c>
      <c r="AR27" s="462">
        <f>Tabla_query__2[[#This Row],[Número
Semanas]]/4</f>
        <v>0</v>
      </c>
      <c r="AS27" s="405">
        <f>Tabla_query__2[[#This Row],[FinDes2]]-Tabla_query__2[[#This Row],[InicioDes2]]</f>
        <v>8</v>
      </c>
      <c r="AT27" s="259"/>
      <c r="AU27" s="407"/>
      <c r="AV27" s="407"/>
    </row>
    <row r="28" spans="1:48" ht="20.25" customHeight="1">
      <c r="A28" s="318" t="s">
        <v>130</v>
      </c>
      <c r="B28" s="277" t="s">
        <v>212</v>
      </c>
      <c r="C28" s="277"/>
      <c r="D28" s="262" t="s">
        <v>255</v>
      </c>
      <c r="E28" s="262"/>
      <c r="F28" s="259" t="s">
        <v>256</v>
      </c>
      <c r="G28" s="259"/>
      <c r="H28" s="259" t="s">
        <v>204</v>
      </c>
      <c r="I28" s="277" t="s">
        <v>257</v>
      </c>
      <c r="J28" s="277" t="s">
        <v>4</v>
      </c>
      <c r="K28" s="277"/>
      <c r="L28" s="277"/>
      <c r="M28" s="277" t="s">
        <v>206</v>
      </c>
      <c r="N28" s="277" t="s">
        <v>38</v>
      </c>
      <c r="O28" t="s">
        <v>247</v>
      </c>
      <c r="P28" s="277" t="s">
        <v>37</v>
      </c>
      <c r="Q28" s="262" t="s">
        <v>143</v>
      </c>
      <c r="R28" s="277" t="s">
        <v>197</v>
      </c>
      <c r="S28" s="259" t="s">
        <v>152</v>
      </c>
      <c r="T28" s="259" t="s">
        <v>152</v>
      </c>
      <c r="U28" s="259"/>
      <c r="V28" s="259" t="s">
        <v>146</v>
      </c>
      <c r="W28" s="259">
        <v>1</v>
      </c>
      <c r="X28" s="259"/>
      <c r="Y28" s="259">
        <f>Tabla_query__2[[#This Row],[Número
Semanas]]*5*8</f>
        <v>0</v>
      </c>
      <c r="Z28" s="387" t="e">
        <f>Tabla_query__2[[#This Row],[TOTAL]]/Tabla_query__2[[#This Row],[Número de Horas]]/2</f>
        <v>#DIV/0!</v>
      </c>
      <c r="AA28" s="259"/>
      <c r="AB28" s="259"/>
      <c r="AC28" s="259"/>
      <c r="AD28" s="403">
        <f>Tabla_query__2[[#This Row],[Número
Semanas]]*Tabla_query__2[[#This Row],[Número
Personas]]*Tabla_query__2[[#This Row],[Costo
Mano Obra/semana]]</f>
        <v>0</v>
      </c>
      <c r="AE28" s="259"/>
      <c r="AF28" s="259"/>
      <c r="AG28" s="259"/>
      <c r="AH28" s="404">
        <v>45298</v>
      </c>
      <c r="AI28" s="404">
        <v>45312</v>
      </c>
      <c r="AJ28" s="451">
        <f>Tabla_query__2[[#This Row],[FinDes]]-Tabla_query__2[[#This Row],[InicioDes]]</f>
        <v>14</v>
      </c>
      <c r="AK28" s="404">
        <v>45312</v>
      </c>
      <c r="AL28" s="404">
        <v>45319</v>
      </c>
      <c r="AM28" s="405">
        <f>Tabla_query__2[[#This Row],[FinPil]]-Tabla_query__2[[#This Row],[InicioPil]]</f>
        <v>7</v>
      </c>
      <c r="AN28" s="404">
        <v>45343</v>
      </c>
      <c r="AO28" s="404">
        <v>45350</v>
      </c>
      <c r="AP28" s="384">
        <f>Tabla_query__2[[#This Row],[InicioDes]]</f>
        <v>45298</v>
      </c>
      <c r="AQ28" s="384">
        <f>Tabla_query__2[[#This Row],[FinDes2]]</f>
        <v>45350</v>
      </c>
      <c r="AR28" s="462">
        <f>Tabla_query__2[[#This Row],[Número
Semanas]]/4</f>
        <v>0</v>
      </c>
      <c r="AS28" s="405">
        <f>Tabla_query__2[[#This Row],[FinDes2]]-Tabla_query__2[[#This Row],[InicioDes2]]</f>
        <v>7</v>
      </c>
      <c r="AT28" s="259"/>
      <c r="AU28" s="329"/>
      <c r="AV28" s="407"/>
    </row>
    <row r="29" spans="1:48" ht="20.25" customHeight="1">
      <c r="A29" s="318" t="s">
        <v>130</v>
      </c>
      <c r="B29" s="262" t="s">
        <v>131</v>
      </c>
      <c r="C29" s="262" t="s">
        <v>162</v>
      </c>
      <c r="D29" s="605" t="s">
        <v>258</v>
      </c>
      <c r="E29" s="277" t="s">
        <v>164</v>
      </c>
      <c r="F29" s="259" t="s">
        <v>259</v>
      </c>
      <c r="G29" s="259" t="s">
        <v>136</v>
      </c>
      <c r="H29" s="259" t="s">
        <v>204</v>
      </c>
      <c r="I29" s="262" t="s">
        <v>260</v>
      </c>
      <c r="J29" s="262" t="s">
        <v>4</v>
      </c>
      <c r="K29" s="5" t="s">
        <v>261</v>
      </c>
      <c r="L29" s="277" t="s">
        <v>262</v>
      </c>
      <c r="M29" s="266" t="s">
        <v>206</v>
      </c>
      <c r="N29" s="262" t="s">
        <v>26</v>
      </c>
      <c r="O29" t="s">
        <v>562</v>
      </c>
      <c r="P29" s="262" t="s">
        <v>25</v>
      </c>
      <c r="Q29" s="262" t="s">
        <v>143</v>
      </c>
      <c r="R29" s="262" t="s">
        <v>144</v>
      </c>
      <c r="S29" s="261">
        <v>0</v>
      </c>
      <c r="T29" s="547" t="s">
        <v>221</v>
      </c>
      <c r="U29" s="261"/>
      <c r="V29" s="261" t="s">
        <v>146</v>
      </c>
      <c r="W29" s="261"/>
      <c r="X29" s="261">
        <v>6</v>
      </c>
      <c r="Y29" s="261">
        <f>Tabla_query__2[[#This Row],[Número
Semanas]]*5*8</f>
        <v>240</v>
      </c>
      <c r="Z29" s="268">
        <f>Tabla_query__2[[#This Row],[TOTAL]]/Tabla_query__2[[#This Row],[Número de Horas]]/2</f>
        <v>8.2083333333333339</v>
      </c>
      <c r="AA29" s="261">
        <v>1</v>
      </c>
      <c r="AB29" s="261">
        <v>550</v>
      </c>
      <c r="AC29" s="261"/>
      <c r="AD29" s="268">
        <f>Tabla_query__2[[#This Row],[Número
Semanas]]*Tabla_query__2[[#This Row],[Número
Personas]]*Tabla_query__2[[#This Row],[Costo
Mano Obra/semana]] + 640</f>
        <v>3940</v>
      </c>
      <c r="AE29" s="261"/>
      <c r="AF29" s="261"/>
      <c r="AG29" s="547" t="s">
        <v>154</v>
      </c>
      <c r="AH29" s="463">
        <v>45362</v>
      </c>
      <c r="AI29" s="463">
        <v>45362</v>
      </c>
      <c r="AJ29" s="462">
        <f>Tabla_query__2[[#This Row],[FinDes]]-Tabla_query__2[[#This Row],[InicioDes]]</f>
        <v>0</v>
      </c>
      <c r="AK29" s="463">
        <v>45362</v>
      </c>
      <c r="AL29" s="463">
        <v>45369</v>
      </c>
      <c r="AM29" s="462">
        <f t="shared" ref="AM29:AM41" si="1">AL29+ ((AK29*7))</f>
        <v>362903</v>
      </c>
      <c r="AN29" s="463">
        <v>45369</v>
      </c>
      <c r="AO29" s="463">
        <v>45376</v>
      </c>
      <c r="AP29" s="281">
        <v>45444</v>
      </c>
      <c r="AQ29" s="281">
        <f>Tabla_query__2[[#This Row],[Inicio Real]]+(Tabla_query__2[[#This Row],[Número
Semanas]]*7)</f>
        <v>45486</v>
      </c>
      <c r="AR29" s="462">
        <f>Tabla_query__2[[#This Row],[Número
Semanas]]/4</f>
        <v>1.5</v>
      </c>
      <c r="AS29" s="587">
        <f>Tabla_query__2[[#This Row],[FinDes2]]-Tabla_query__2[[#This Row],[InicioDes2]]</f>
        <v>7</v>
      </c>
      <c r="AT29" s="261" t="s">
        <v>263</v>
      </c>
      <c r="AV29" s="436" t="s">
        <v>148</v>
      </c>
    </row>
    <row r="30" spans="1:48" ht="20.25" customHeight="1">
      <c r="A30" s="318" t="s">
        <v>130</v>
      </c>
      <c r="B30" s="262" t="s">
        <v>131</v>
      </c>
      <c r="C30" s="262" t="s">
        <v>162</v>
      </c>
      <c r="D30" s="604" t="s">
        <v>264</v>
      </c>
      <c r="E30" s="262" t="s">
        <v>164</v>
      </c>
      <c r="F30" s="259" t="s">
        <v>265</v>
      </c>
      <c r="G30" s="259" t="s">
        <v>146</v>
      </c>
      <c r="H30" s="259" t="s">
        <v>204</v>
      </c>
      <c r="I30" s="262" t="s">
        <v>266</v>
      </c>
      <c r="J30" s="262" t="s">
        <v>4</v>
      </c>
      <c r="K30" s="262"/>
      <c r="L30" s="262"/>
      <c r="M30" s="266" t="s">
        <v>206</v>
      </c>
      <c r="N30" s="262" t="s">
        <v>26</v>
      </c>
      <c r="O30" t="s">
        <v>562</v>
      </c>
      <c r="P30" s="262" t="s">
        <v>25</v>
      </c>
      <c r="Q30" s="262" t="s">
        <v>143</v>
      </c>
      <c r="R30" s="262" t="s">
        <v>144</v>
      </c>
      <c r="S30" s="261">
        <v>3</v>
      </c>
      <c r="T30" s="547" t="s">
        <v>221</v>
      </c>
      <c r="U30" s="261" t="s">
        <v>267</v>
      </c>
      <c r="V30" s="261" t="s">
        <v>146</v>
      </c>
      <c r="W30" s="261"/>
      <c r="X30" s="261">
        <v>10</v>
      </c>
      <c r="Y30" s="261">
        <f>Tabla_query__2[[#This Row],[Número
Semanas]]*5*8</f>
        <v>400</v>
      </c>
      <c r="Z30" s="268">
        <f>Tabla_query__2[[#This Row],[TOTAL]]/Tabla_query__2[[#This Row],[Número de Horas]]/2</f>
        <v>7.6749999999999998</v>
      </c>
      <c r="AA30" s="261">
        <v>1</v>
      </c>
      <c r="AB30" s="261">
        <v>550</v>
      </c>
      <c r="AC30" s="261"/>
      <c r="AD30" s="268">
        <f>Tabla_query__2[[#This Row],[Número
Semanas]]*Tabla_query__2[[#This Row],[Número
Personas]]*Tabla_query__2[[#This Row],[Costo
Mano Obra/semana]] + 640</f>
        <v>6140</v>
      </c>
      <c r="AE30" s="261"/>
      <c r="AF30" s="261"/>
      <c r="AG30" s="547" t="s">
        <v>159</v>
      </c>
      <c r="AH30" s="463">
        <v>45495</v>
      </c>
      <c r="AI30" s="456">
        <v>45551</v>
      </c>
      <c r="AJ30" s="462">
        <f>Tabla_query__2[[#This Row],[FinDes]]-Tabla_query__2[[#This Row],[InicioDes]]</f>
        <v>56</v>
      </c>
      <c r="AK30" s="456">
        <v>45551</v>
      </c>
      <c r="AL30" s="456">
        <v>45558</v>
      </c>
      <c r="AM30" s="462">
        <f t="shared" si="1"/>
        <v>364415</v>
      </c>
      <c r="AN30" s="456">
        <v>45558</v>
      </c>
      <c r="AO30" s="456">
        <v>45565</v>
      </c>
      <c r="AP30" s="320">
        <v>45474</v>
      </c>
      <c r="AQ30" s="281">
        <f>Tabla_query__2[[#This Row],[Inicio Real]]+(Tabla_query__2[[#This Row],[Número
Semanas]]*7)</f>
        <v>45544</v>
      </c>
      <c r="AR30" s="462">
        <f>Tabla_query__2[[#This Row],[Número
Semanas]]/4</f>
        <v>2.5</v>
      </c>
      <c r="AS30" s="576">
        <f>Tabla_query__2[[#This Row],[FinDes2]]-Tabla_query__2[[#This Row],[InicioDes2]]</f>
        <v>7</v>
      </c>
      <c r="AT30" s="261" t="s">
        <v>268</v>
      </c>
      <c r="AV30" s="436" t="s">
        <v>148</v>
      </c>
    </row>
    <row r="31" spans="1:48" ht="20.25" customHeight="1">
      <c r="A31" s="318" t="s">
        <v>130</v>
      </c>
      <c r="B31" s="262" t="s">
        <v>131</v>
      </c>
      <c r="C31" s="262" t="s">
        <v>162</v>
      </c>
      <c r="D31" s="605" t="s">
        <v>269</v>
      </c>
      <c r="E31" s="262" t="s">
        <v>164</v>
      </c>
      <c r="F31" s="262" t="s">
        <v>269</v>
      </c>
      <c r="G31" s="382" t="s">
        <v>146</v>
      </c>
      <c r="H31" s="259" t="s">
        <v>204</v>
      </c>
      <c r="I31" s="262" t="s">
        <v>266</v>
      </c>
      <c r="J31" s="262" t="s">
        <v>4</v>
      </c>
      <c r="K31" s="262"/>
      <c r="L31" s="262"/>
      <c r="M31" s="266" t="s">
        <v>206</v>
      </c>
      <c r="N31" s="262" t="s">
        <v>26</v>
      </c>
      <c r="O31" t="s">
        <v>562</v>
      </c>
      <c r="P31" s="262" t="s">
        <v>25</v>
      </c>
      <c r="Q31" s="262" t="s">
        <v>143</v>
      </c>
      <c r="R31" s="262" t="s">
        <v>144</v>
      </c>
      <c r="S31" s="261">
        <v>5</v>
      </c>
      <c r="T31" s="547" t="s">
        <v>221</v>
      </c>
      <c r="U31" s="261" t="s">
        <v>270</v>
      </c>
      <c r="V31" s="261" t="s">
        <v>136</v>
      </c>
      <c r="W31" s="261"/>
      <c r="X31" s="261">
        <v>12</v>
      </c>
      <c r="Y31" s="261">
        <f>Tabla_query__2[[#This Row],[Número
Semanas]]*5*8</f>
        <v>480</v>
      </c>
      <c r="Z31" s="268">
        <f>Tabla_query__2[[#This Row],[TOTAL]]/Tabla_query__2[[#This Row],[Número de Horas]]/2</f>
        <v>7.541666666666667</v>
      </c>
      <c r="AA31" s="261">
        <v>1</v>
      </c>
      <c r="AB31" s="261">
        <v>550</v>
      </c>
      <c r="AC31" s="261"/>
      <c r="AD31" s="268">
        <f>Tabla_query__2[[#This Row],[Número
Semanas]]*Tabla_query__2[[#This Row],[Número
Personas]]*Tabla_query__2[[#This Row],[Costo
Mano Obra/semana]] + 640</f>
        <v>7240</v>
      </c>
      <c r="AE31" s="261"/>
      <c r="AF31" s="261"/>
      <c r="AG31" s="547" t="s">
        <v>159</v>
      </c>
      <c r="AH31" s="463">
        <v>45572</v>
      </c>
      <c r="AI31" s="463">
        <v>45621</v>
      </c>
      <c r="AJ31" s="463">
        <f>Tabla_query__2[[#This Row],[FinDes]]-Tabla_query__2[[#This Row],[InicioDes]]</f>
        <v>49</v>
      </c>
      <c r="AK31" s="463">
        <v>45621</v>
      </c>
      <c r="AL31" s="463">
        <v>45635</v>
      </c>
      <c r="AM31" s="463">
        <f t="shared" si="1"/>
        <v>364982</v>
      </c>
      <c r="AN31" s="463">
        <v>45635</v>
      </c>
      <c r="AO31" s="463">
        <v>45497</v>
      </c>
      <c r="AP31" s="463">
        <v>45474</v>
      </c>
      <c r="AQ31" s="463">
        <f>Tabla_query__2[[#This Row],[Inicio Real]]+(Tabla_query__2[[#This Row],[Número
Semanas]]*7)</f>
        <v>45558</v>
      </c>
      <c r="AR31" s="463">
        <f>Tabla_query__2[[#This Row],[Número
Semanas]]/4</f>
        <v>3</v>
      </c>
      <c r="AS31" s="588">
        <f>Tabla_query__2[[#This Row],[InicioDes2]]-Tabla_query__2[[#This Row],[FinDes2]]</f>
        <v>138</v>
      </c>
      <c r="AT31" s="463"/>
      <c r="AV31" s="436" t="s">
        <v>148</v>
      </c>
    </row>
    <row r="32" spans="1:48" ht="23.25">
      <c r="A32" s="318" t="s">
        <v>130</v>
      </c>
      <c r="B32" s="262" t="s">
        <v>131</v>
      </c>
      <c r="C32" s="262" t="s">
        <v>132</v>
      </c>
      <c r="D32" s="605" t="s">
        <v>271</v>
      </c>
      <c r="E32" s="262" t="s">
        <v>134</v>
      </c>
      <c r="F32" s="259" t="s">
        <v>272</v>
      </c>
      <c r="G32" s="259" t="s">
        <v>146</v>
      </c>
      <c r="H32" s="259" t="s">
        <v>204</v>
      </c>
      <c r="I32" s="262" t="s">
        <v>260</v>
      </c>
      <c r="J32" s="262" t="s">
        <v>4</v>
      </c>
      <c r="K32" s="262"/>
      <c r="L32" s="262"/>
      <c r="M32" s="266" t="s">
        <v>206</v>
      </c>
      <c r="N32" s="262" t="s">
        <v>26</v>
      </c>
      <c r="O32" t="s">
        <v>562</v>
      </c>
      <c r="P32" s="262" t="s">
        <v>25</v>
      </c>
      <c r="Q32" s="262" t="s">
        <v>143</v>
      </c>
      <c r="R32" s="262" t="s">
        <v>144</v>
      </c>
      <c r="S32" s="261">
        <v>1</v>
      </c>
      <c r="T32" s="547" t="s">
        <v>145</v>
      </c>
      <c r="U32" s="259" t="s">
        <v>273</v>
      </c>
      <c r="V32" s="261" t="s">
        <v>136</v>
      </c>
      <c r="W32" s="261"/>
      <c r="X32" s="261">
        <v>3</v>
      </c>
      <c r="Y32" s="261">
        <f>Tabla_query__2[[#This Row],[Número
Semanas]]*5*8</f>
        <v>120</v>
      </c>
      <c r="Z32" s="268">
        <f>Tabla_query__2[[#This Row],[TOTAL]]/Tabla_query__2[[#This Row],[Número de Horas]]/2</f>
        <v>6.875</v>
      </c>
      <c r="AA32" s="261">
        <v>1</v>
      </c>
      <c r="AB32" s="261">
        <v>550</v>
      </c>
      <c r="AC32" s="261"/>
      <c r="AD32" s="268">
        <f>Tabla_query__2[[#This Row],[Número
Semanas]]*Tabla_query__2[[#This Row],[Número
Personas]]*Tabla_query__2[[#This Row],[Costo
Mano Obra/semana]]</f>
        <v>1650</v>
      </c>
      <c r="AE32" s="261"/>
      <c r="AF32" s="261"/>
      <c r="AG32" s="547" t="s">
        <v>191</v>
      </c>
      <c r="AH32" s="281">
        <v>45376</v>
      </c>
      <c r="AI32" s="281">
        <v>45376</v>
      </c>
      <c r="AJ32" s="462">
        <f>Tabla_query__2[[#This Row],[FinDes]]-Tabla_query__2[[#This Row],[InicioDes]]</f>
        <v>0</v>
      </c>
      <c r="AK32" s="281">
        <v>45376</v>
      </c>
      <c r="AL32" s="281">
        <v>45383</v>
      </c>
      <c r="AM32" s="462">
        <f t="shared" si="1"/>
        <v>363015</v>
      </c>
      <c r="AN32" s="281">
        <v>45383</v>
      </c>
      <c r="AO32" s="281">
        <v>45390</v>
      </c>
      <c r="AP32" s="510">
        <v>45413</v>
      </c>
      <c r="AQ32" s="281">
        <f>Tabla_query__2[[#This Row],[Inicio Real]]+(Tabla_query__2[[#This Row],[Número
Semanas]]*7)</f>
        <v>45434</v>
      </c>
      <c r="AR32" s="462">
        <f>Tabla_query__2[[#This Row],[Número
Semanas]]/4</f>
        <v>0.75</v>
      </c>
      <c r="AS32" s="587">
        <f>Tabla_query__2[[#This Row],[FinDes2]]-Tabla_query__2[[#This Row],[InicioDes2]]</f>
        <v>7</v>
      </c>
      <c r="AT32" s="261" t="s">
        <v>274</v>
      </c>
    </row>
    <row r="33" spans="1:51" ht="59.25" customHeight="1">
      <c r="A33" s="318" t="s">
        <v>130</v>
      </c>
      <c r="B33" s="262" t="s">
        <v>131</v>
      </c>
      <c r="C33" s="262" t="s">
        <v>175</v>
      </c>
      <c r="D33" s="605" t="s">
        <v>275</v>
      </c>
      <c r="E33" s="277" t="s">
        <v>164</v>
      </c>
      <c r="F33" s="264" t="s">
        <v>276</v>
      </c>
      <c r="G33" s="259" t="s">
        <v>136</v>
      </c>
      <c r="H33" s="259" t="s">
        <v>204</v>
      </c>
      <c r="I33" s="262"/>
      <c r="J33" s="262" t="s">
        <v>4</v>
      </c>
      <c r="K33" s="262"/>
      <c r="L33" s="262"/>
      <c r="M33" s="266" t="s">
        <v>206</v>
      </c>
      <c r="N33" s="262" t="s">
        <v>26</v>
      </c>
      <c r="O33" t="s">
        <v>562</v>
      </c>
      <c r="P33" s="262" t="s">
        <v>277</v>
      </c>
      <c r="Q33" s="262" t="s">
        <v>143</v>
      </c>
      <c r="R33" s="262" t="s">
        <v>179</v>
      </c>
      <c r="S33" s="261"/>
      <c r="T33" s="603" t="s">
        <v>145</v>
      </c>
      <c r="U33" s="261"/>
      <c r="V33" s="261" t="s">
        <v>210</v>
      </c>
      <c r="W33" s="261">
        <v>1</v>
      </c>
      <c r="X33" s="261">
        <v>4</v>
      </c>
      <c r="Y33" s="261">
        <f>Tabla_query__2[[#This Row],[Número
Semanas]]*5*8</f>
        <v>160</v>
      </c>
      <c r="Z33" s="268">
        <f>Tabla_query__2[[#This Row],[TOTAL]]/Tabla_query__2[[#This Row],[Número de Horas]]/2</f>
        <v>8.875</v>
      </c>
      <c r="AA33" s="261">
        <v>1</v>
      </c>
      <c r="AB33" s="261">
        <v>550</v>
      </c>
      <c r="AC33" s="261"/>
      <c r="AD33" s="387">
        <f>Tabla_query__2[[#This Row],[Número
Semanas]]*Tabla_query__2[[#This Row],[Número
Personas]]*Tabla_query__2[[#This Row],[Costo
Mano Obra/semana]] + 640</f>
        <v>2840</v>
      </c>
      <c r="AE33" s="261"/>
      <c r="AF33" s="261"/>
      <c r="AG33" s="547" t="s">
        <v>211</v>
      </c>
      <c r="AH33" s="380">
        <v>45372</v>
      </c>
      <c r="AI33" s="380"/>
      <c r="AJ33" s="469" t="e">
        <f>#REF!</f>
        <v>#REF!</v>
      </c>
      <c r="AK33" s="380"/>
      <c r="AL33" s="380"/>
      <c r="AM33" s="469">
        <f t="shared" si="1"/>
        <v>0</v>
      </c>
      <c r="AN33" s="380"/>
      <c r="AO33" s="281">
        <v>45394</v>
      </c>
      <c r="AP33" s="281">
        <v>45372</v>
      </c>
      <c r="AQ33" s="281">
        <v>45425</v>
      </c>
      <c r="AR33" s="462">
        <f>Tabla_query__2[[#This Row],[Número
Semanas]]/4</f>
        <v>1</v>
      </c>
      <c r="AS33" s="587">
        <f>Tabla_query__2[[#This Row],[FinDes2]]-Tabla_query__2[[#This Row],[InicioDes2]]</f>
        <v>45394</v>
      </c>
      <c r="AT33" s="261" t="s">
        <v>278</v>
      </c>
      <c r="AV33" s="444"/>
    </row>
    <row r="34" spans="1:51" ht="50.25" customHeight="1">
      <c r="A34" s="318" t="s">
        <v>130</v>
      </c>
      <c r="B34" s="262" t="s">
        <v>131</v>
      </c>
      <c r="C34" s="262" t="s">
        <v>279</v>
      </c>
      <c r="D34" s="262" t="s">
        <v>280</v>
      </c>
      <c r="E34" s="262" t="s">
        <v>164</v>
      </c>
      <c r="F34" s="259" t="s">
        <v>281</v>
      </c>
      <c r="G34" s="259" t="s">
        <v>136</v>
      </c>
      <c r="H34" s="259" t="s">
        <v>204</v>
      </c>
      <c r="I34" s="262" t="s">
        <v>260</v>
      </c>
      <c r="J34" s="262" t="s">
        <v>53</v>
      </c>
      <c r="K34" s="262"/>
      <c r="L34" s="262"/>
      <c r="M34" s="273" t="s">
        <v>206</v>
      </c>
      <c r="N34" s="272" t="s">
        <v>282</v>
      </c>
      <c r="O34" t="s">
        <v>283</v>
      </c>
      <c r="P34" s="262" t="s">
        <v>284</v>
      </c>
      <c r="Q34" s="262" t="s">
        <v>143</v>
      </c>
      <c r="R34" s="262" t="s">
        <v>179</v>
      </c>
      <c r="S34" s="274"/>
      <c r="T34" s="584" t="s">
        <v>145</v>
      </c>
      <c r="U34" s="261"/>
      <c r="V34" s="261" t="s">
        <v>146</v>
      </c>
      <c r="W34" s="261"/>
      <c r="X34" s="261">
        <v>2</v>
      </c>
      <c r="Y34" s="261">
        <f>Tabla_query__2[[#This Row],[Número
Semanas]]*5*8</f>
        <v>80</v>
      </c>
      <c r="Z34" s="268">
        <f>Tabla_query__2[[#This Row],[TOTAL]]/Tabla_query__2[[#This Row],[Número de Horas]]/2</f>
        <v>6.875</v>
      </c>
      <c r="AA34" s="261">
        <v>1</v>
      </c>
      <c r="AB34" s="261">
        <v>550</v>
      </c>
      <c r="AC34" s="261"/>
      <c r="AD34" s="268">
        <f>Tabla_query__2[[#This Row],[Número
Semanas]]*Tabla_query__2[[#This Row],[Número
Personas]]*Tabla_query__2[[#This Row],[Costo
Mano Obra/semana]]</f>
        <v>1100</v>
      </c>
      <c r="AE34" s="261"/>
      <c r="AF34" s="261"/>
      <c r="AG34" s="261" t="s">
        <v>154</v>
      </c>
      <c r="AH34" s="463">
        <v>45296</v>
      </c>
      <c r="AI34" s="463">
        <v>45345</v>
      </c>
      <c r="AJ34" s="462">
        <f>Tabla_query__2[[#This Row],[FinDes]]-Tabla_query__2[[#This Row],[InicioDes]]</f>
        <v>49</v>
      </c>
      <c r="AK34" s="463">
        <v>45345</v>
      </c>
      <c r="AL34" s="463">
        <v>45352</v>
      </c>
      <c r="AM34" s="462">
        <f t="shared" si="1"/>
        <v>362767</v>
      </c>
      <c r="AN34" s="463">
        <v>45352</v>
      </c>
      <c r="AO34" s="463">
        <v>45359</v>
      </c>
      <c r="AP34" s="281">
        <v>45444</v>
      </c>
      <c r="AQ34" s="281">
        <f>Tabla_query__2[[#This Row],[Inicio Real]]+(Tabla_query__2[[#This Row],[Número
Semanas]]*7)</f>
        <v>45458</v>
      </c>
      <c r="AR34" s="462">
        <f>Tabla_query__2[[#This Row],[Número
Semanas]]/4</f>
        <v>0.5</v>
      </c>
      <c r="AS34" s="587">
        <f>Tabla_query__2[[#This Row],[FinDes2]]-Tabla_query__2[[#This Row],[InicioDes2]]</f>
        <v>7</v>
      </c>
      <c r="AT34" s="261" t="s">
        <v>284</v>
      </c>
    </row>
    <row r="35" spans="1:51" ht="28.5" customHeight="1">
      <c r="A35" s="318" t="s">
        <v>130</v>
      </c>
      <c r="B35" s="262" t="s">
        <v>131</v>
      </c>
      <c r="C35" s="262" t="s">
        <v>279</v>
      </c>
      <c r="D35" s="262" t="s">
        <v>285</v>
      </c>
      <c r="E35" s="262" t="s">
        <v>164</v>
      </c>
      <c r="F35" s="259" t="s">
        <v>286</v>
      </c>
      <c r="G35" s="259" t="s">
        <v>210</v>
      </c>
      <c r="H35" s="259" t="s">
        <v>137</v>
      </c>
      <c r="I35" s="262" t="s">
        <v>260</v>
      </c>
      <c r="J35" s="262" t="s">
        <v>53</v>
      </c>
      <c r="K35" s="262"/>
      <c r="L35" s="262"/>
      <c r="M35" s="266" t="s">
        <v>206</v>
      </c>
      <c r="N35" s="490" t="s">
        <v>282</v>
      </c>
      <c r="O35" t="s">
        <v>283</v>
      </c>
      <c r="P35" s="262" t="s">
        <v>284</v>
      </c>
      <c r="Q35" s="262" t="s">
        <v>143</v>
      </c>
      <c r="R35" s="262" t="s">
        <v>197</v>
      </c>
      <c r="S35" s="261"/>
      <c r="T35" s="584" t="s">
        <v>145</v>
      </c>
      <c r="U35" s="261" t="s">
        <v>287</v>
      </c>
      <c r="V35" s="261" t="s">
        <v>146</v>
      </c>
      <c r="W35" s="261">
        <v>1</v>
      </c>
      <c r="X35" s="261">
        <v>3</v>
      </c>
      <c r="Y35" s="261">
        <f>Tabla_query__2[[#This Row],[Número
Semanas]]*5*8</f>
        <v>120</v>
      </c>
      <c r="Z35" s="268">
        <f>Tabla_query__2[[#This Row],[TOTAL]]/Tabla_query__2[[#This Row],[Número de Horas]]/2</f>
        <v>9.5416666666666661</v>
      </c>
      <c r="AA35" s="261">
        <v>1</v>
      </c>
      <c r="AB35" s="261">
        <v>550</v>
      </c>
      <c r="AC35" s="261"/>
      <c r="AD35" s="387">
        <f>(Tabla_query__2[[#This Row],[Número
Semanas]]*Tabla_query__2[[#This Row],[Número
Personas]]*Tabla_query__2[[#This Row],[Costo
Mano Obra/semana]]+640)*Tabla_query__2[[#This Row],[Factor País]]</f>
        <v>2290</v>
      </c>
      <c r="AE35" s="261"/>
      <c r="AF35" s="261"/>
      <c r="AG35" s="547" t="s">
        <v>154</v>
      </c>
      <c r="AH35" s="464">
        <v>45334</v>
      </c>
      <c r="AI35" s="464">
        <v>45348</v>
      </c>
      <c r="AJ35" s="462">
        <f>Tabla_query__2[[#This Row],[FinDes]]-Tabla_query__2[[#This Row],[InicioDes]]</f>
        <v>14</v>
      </c>
      <c r="AK35" s="464">
        <v>45348</v>
      </c>
      <c r="AL35" s="464">
        <v>45355</v>
      </c>
      <c r="AM35" s="462">
        <f t="shared" si="1"/>
        <v>362791</v>
      </c>
      <c r="AN35" s="464">
        <v>45355</v>
      </c>
      <c r="AO35" s="464">
        <v>45362</v>
      </c>
      <c r="AP35" s="281">
        <v>45444</v>
      </c>
      <c r="AQ35" s="281">
        <f>Tabla_query__2[[#This Row],[Inicio Real]]+(Tabla_query__2[[#This Row],[Número
Semanas]]*7)</f>
        <v>45465</v>
      </c>
      <c r="AR35" s="462">
        <f>Tabla_query__2[[#This Row],[Número
Semanas]]/4</f>
        <v>0.75</v>
      </c>
      <c r="AS35" s="587">
        <f>Tabla_query__2[[#This Row],[FinDes2]]-Tabla_query__2[[#This Row],[InicioDes2]]</f>
        <v>7</v>
      </c>
      <c r="AT35" s="261" t="s">
        <v>284</v>
      </c>
      <c r="AW35" s="329" t="s">
        <v>288</v>
      </c>
      <c r="AX35" t="s">
        <v>289</v>
      </c>
    </row>
    <row r="36" spans="1:51" ht="27.75" customHeight="1">
      <c r="A36" s="318">
        <v>2024</v>
      </c>
      <c r="B36" s="262" t="s">
        <v>131</v>
      </c>
      <c r="C36" s="262"/>
      <c r="D36" s="262" t="s">
        <v>290</v>
      </c>
      <c r="E36" s="266"/>
      <c r="F36" s="259"/>
      <c r="G36" s="259"/>
      <c r="H36" s="259" t="s">
        <v>204</v>
      </c>
      <c r="I36" s="262"/>
      <c r="J36" s="262" t="s">
        <v>291</v>
      </c>
      <c r="K36" s="262"/>
      <c r="L36" s="262"/>
      <c r="M36" s="262" t="s">
        <v>206</v>
      </c>
      <c r="N36" s="262" t="s">
        <v>292</v>
      </c>
      <c r="O36" t="s">
        <v>283</v>
      </c>
      <c r="P36" s="262" t="s">
        <v>61</v>
      </c>
      <c r="Q36" s="262" t="s">
        <v>143</v>
      </c>
      <c r="R36" s="262" t="s">
        <v>144</v>
      </c>
      <c r="S36" s="261"/>
      <c r="T36" s="261"/>
      <c r="U36" s="261"/>
      <c r="V36" s="261"/>
      <c r="W36" s="261"/>
      <c r="X36" s="547">
        <v>7</v>
      </c>
      <c r="Y36" s="547">
        <f>Tabla_query__2[[#This Row],[Número
Semanas]]*5*8</f>
        <v>280</v>
      </c>
      <c r="Z36" s="598">
        <f>Tabla_query__2[[#This Row],[TOTAL]]/Tabla_query__2[[#This Row],[Número de Horas]]/2</f>
        <v>13.75</v>
      </c>
      <c r="AA36" s="261">
        <v>2</v>
      </c>
      <c r="AB36" s="261">
        <f>2200/4</f>
        <v>550</v>
      </c>
      <c r="AC36" s="261"/>
      <c r="AD36" s="268">
        <f>(7*550)+(6*550)+550</f>
        <v>7700</v>
      </c>
      <c r="AE36" s="261"/>
      <c r="AF36" s="267"/>
      <c r="AG36" s="599" t="s">
        <v>191</v>
      </c>
      <c r="AH36" s="467"/>
      <c r="AI36" s="468"/>
      <c r="AJ36" s="469" t="e">
        <f>#REF!</f>
        <v>#REF!</v>
      </c>
      <c r="AK36" s="467"/>
      <c r="AL36" s="468"/>
      <c r="AM36" s="469">
        <f t="shared" si="1"/>
        <v>0</v>
      </c>
      <c r="AN36" s="467"/>
      <c r="AO36" s="468"/>
      <c r="AP36" s="384">
        <v>45425</v>
      </c>
      <c r="AQ36" s="384"/>
      <c r="AR36" s="511">
        <f>Tabla_query__2[[#This Row],[Número
Semanas]]/4</f>
        <v>1.75</v>
      </c>
      <c r="AS36" s="269">
        <f>Tabla_query__2[[#This Row],[FinDes2]]-Tabla_query__2[[#This Row],[InicioDes2]]</f>
        <v>0</v>
      </c>
      <c r="AT36" s="261"/>
      <c r="AW36" s="329" t="s">
        <v>293</v>
      </c>
      <c r="AX36" s="329" t="s">
        <v>294</v>
      </c>
    </row>
    <row r="37" spans="1:51" ht="36" customHeight="1">
      <c r="A37" s="318" t="s">
        <v>130</v>
      </c>
      <c r="B37" s="262" t="s">
        <v>218</v>
      </c>
      <c r="C37" s="262"/>
      <c r="D37" s="262" t="s">
        <v>295</v>
      </c>
      <c r="E37" s="262"/>
      <c r="F37" s="259"/>
      <c r="G37" s="259"/>
      <c r="H37" s="259" t="s">
        <v>204</v>
      </c>
      <c r="I37" s="262" t="s">
        <v>296</v>
      </c>
      <c r="J37" s="262" t="s">
        <v>4</v>
      </c>
      <c r="K37" s="262"/>
      <c r="L37" s="262"/>
      <c r="M37" s="262" t="s">
        <v>206</v>
      </c>
      <c r="N37" s="262" t="s">
        <v>33</v>
      </c>
      <c r="O37" t="s">
        <v>297</v>
      </c>
      <c r="P37" s="262" t="s">
        <v>32</v>
      </c>
      <c r="Q37" s="262" t="s">
        <v>298</v>
      </c>
      <c r="R37" s="262" t="s">
        <v>144</v>
      </c>
      <c r="S37" s="261"/>
      <c r="T37" s="261" t="s">
        <v>145</v>
      </c>
      <c r="U37" s="261"/>
      <c r="V37" s="261" t="s">
        <v>210</v>
      </c>
      <c r="W37" s="261"/>
      <c r="X37" s="261">
        <v>2</v>
      </c>
      <c r="Y37" s="261">
        <f>Tabla_query__2[[#This Row],[Número
Semanas]]*5*8</f>
        <v>80</v>
      </c>
      <c r="Z37" s="268">
        <f>Tabla_query__2[[#This Row],[TOTAL]]/Tabla_query__2[[#This Row],[Número de Horas]]/2</f>
        <v>14</v>
      </c>
      <c r="AA37" s="261">
        <v>2</v>
      </c>
      <c r="AB37" s="261">
        <v>400</v>
      </c>
      <c r="AC37" s="261"/>
      <c r="AD37" s="268">
        <f>Tabla_query__2[[#This Row],[Número
Semanas]]*Tabla_query__2[[#This Row],[Número
Personas]]*Tabla_query__2[[#This Row],[Costo
Mano Obra/semana]] + 640</f>
        <v>2240</v>
      </c>
      <c r="AE37" s="261"/>
      <c r="AF37" s="261"/>
      <c r="AG37" s="547"/>
      <c r="AH37" s="267">
        <v>45439</v>
      </c>
      <c r="AI37" s="267">
        <v>45815</v>
      </c>
      <c r="AJ37" s="282" t="e">
        <f>#REF!</f>
        <v>#REF!</v>
      </c>
      <c r="AK37" s="267">
        <v>45461</v>
      </c>
      <c r="AL37" s="267">
        <v>45468</v>
      </c>
      <c r="AM37" s="282">
        <f t="shared" si="1"/>
        <v>363695</v>
      </c>
      <c r="AN37" s="261"/>
      <c r="AO37" s="267">
        <v>45421</v>
      </c>
      <c r="AP37" s="384">
        <f>Tabla_query__2[[#This Row],[InicioDes]]</f>
        <v>45439</v>
      </c>
      <c r="AQ37" s="384">
        <f>Tabla_query__2[[#This Row],[FinDes2]]</f>
        <v>45421</v>
      </c>
      <c r="AR37" s="462">
        <f>Tabla_query__2[[#This Row],[Número
Semanas]]/4</f>
        <v>0.5</v>
      </c>
      <c r="AS37" s="269">
        <f>Tabla_query__2[[#This Row],[FinDes2]]-Tabla_query__2[[#This Row],[InicioDes2]]</f>
        <v>45421</v>
      </c>
      <c r="AT37" s="261"/>
      <c r="AW37" s="329" t="s">
        <v>299</v>
      </c>
      <c r="AX37" t="s">
        <v>300</v>
      </c>
    </row>
    <row r="38" spans="1:51" ht="20.25" customHeight="1">
      <c r="A38" s="318" t="s">
        <v>130</v>
      </c>
      <c r="B38" s="262" t="s">
        <v>131</v>
      </c>
      <c r="C38" s="262" t="s">
        <v>301</v>
      </c>
      <c r="D38" s="330" t="s">
        <v>302</v>
      </c>
      <c r="E38" s="493" t="s">
        <v>303</v>
      </c>
      <c r="F38" s="259" t="s">
        <v>304</v>
      </c>
      <c r="G38" s="259" t="s">
        <v>146</v>
      </c>
      <c r="H38" s="259" t="s">
        <v>204</v>
      </c>
      <c r="I38" s="262" t="s">
        <v>266</v>
      </c>
      <c r="J38" s="262" t="s">
        <v>4</v>
      </c>
      <c r="K38" s="262"/>
      <c r="L38" s="262"/>
      <c r="M38" s="262" t="s">
        <v>206</v>
      </c>
      <c r="N38" s="262" t="s">
        <v>47</v>
      </c>
      <c r="O38" t="s">
        <v>305</v>
      </c>
      <c r="P38" s="262" t="s">
        <v>45</v>
      </c>
      <c r="Q38" s="262" t="s">
        <v>143</v>
      </c>
      <c r="R38" s="262" t="s">
        <v>144</v>
      </c>
      <c r="S38" s="261"/>
      <c r="T38" s="584" t="s">
        <v>221</v>
      </c>
      <c r="U38" s="261"/>
      <c r="V38" s="261" t="s">
        <v>210</v>
      </c>
      <c r="W38" s="261"/>
      <c r="X38" s="261">
        <v>3</v>
      </c>
      <c r="Y38" s="261">
        <f>Tabla_query__2[[#This Row],[Número
Semanas]]*5*8</f>
        <v>120</v>
      </c>
      <c r="Z38" s="268">
        <f>Tabla_query__2[[#This Row],[TOTAL]]/Tabla_query__2[[#This Row],[Número de Horas]]/2</f>
        <v>13.75</v>
      </c>
      <c r="AA38" s="261">
        <v>2</v>
      </c>
      <c r="AB38" s="261">
        <v>550</v>
      </c>
      <c r="AC38" s="261"/>
      <c r="AD38" s="388">
        <f>Tabla_query__2[[#This Row],[Número
Semanas]]*Tabla_query__2[[#This Row],[Número
Personas]]*Tabla_query__2[[#This Row],[Costo
Mano Obra/semana]]</f>
        <v>3300</v>
      </c>
      <c r="AE38" s="261"/>
      <c r="AF38" s="261"/>
      <c r="AG38" s="547" t="s">
        <v>154</v>
      </c>
      <c r="AH38" s="281">
        <v>45355</v>
      </c>
      <c r="AI38" s="281">
        <v>45362</v>
      </c>
      <c r="AJ38" s="462">
        <f>Tabla_query__2[[#This Row],[FinDes]]-Tabla_query__2[[#This Row],[InicioDes]]</f>
        <v>7</v>
      </c>
      <c r="AK38" s="456">
        <v>45362</v>
      </c>
      <c r="AL38" s="456">
        <v>45369</v>
      </c>
      <c r="AM38" s="462">
        <f t="shared" si="1"/>
        <v>362903</v>
      </c>
      <c r="AN38" s="281">
        <v>45369</v>
      </c>
      <c r="AO38" s="281">
        <v>45376</v>
      </c>
      <c r="AP38" s="281">
        <v>45460</v>
      </c>
      <c r="AQ38" s="281">
        <f>Tabla_query__2[[#This Row],[Inicio Real]]+(Tabla_query__2[[#This Row],[Número
Semanas]]*7)</f>
        <v>45481</v>
      </c>
      <c r="AR38" s="462">
        <f>Tabla_query__2[[#This Row],[Número
Semanas]]/4</f>
        <v>0.75</v>
      </c>
      <c r="AS38" s="587">
        <f>Tabla_query__2[[#This Row],[FinDes2]]-Tabla_query__2[[#This Row],[InicioDes2]]</f>
        <v>7</v>
      </c>
      <c r="AT38" s="261"/>
      <c r="AW38" t="s">
        <v>306</v>
      </c>
      <c r="AX38" t="s">
        <v>300</v>
      </c>
      <c r="AY38" t="s">
        <v>307</v>
      </c>
    </row>
    <row r="39" spans="1:51" ht="66" customHeight="1">
      <c r="A39" s="318" t="s">
        <v>130</v>
      </c>
      <c r="B39" s="262" t="s">
        <v>131</v>
      </c>
      <c r="C39" s="262" t="s">
        <v>308</v>
      </c>
      <c r="D39" s="266" t="s">
        <v>309</v>
      </c>
      <c r="E39" s="493" t="s">
        <v>310</v>
      </c>
      <c r="F39" s="264" t="s">
        <v>311</v>
      </c>
      <c r="G39" s="264" t="s">
        <v>136</v>
      </c>
      <c r="H39" s="259" t="s">
        <v>204</v>
      </c>
      <c r="I39" s="262" t="s">
        <v>260</v>
      </c>
      <c r="J39" s="262" t="s">
        <v>4</v>
      </c>
      <c r="K39" s="277" t="s">
        <v>312</v>
      </c>
      <c r="L39" t="s">
        <v>313</v>
      </c>
      <c r="M39" s="266" t="s">
        <v>206</v>
      </c>
      <c r="N39" s="262" t="s">
        <v>47</v>
      </c>
      <c r="O39" t="s">
        <v>305</v>
      </c>
      <c r="P39" s="262" t="s">
        <v>45</v>
      </c>
      <c r="Q39" s="262" t="s">
        <v>143</v>
      </c>
      <c r="R39" s="497" t="s">
        <v>144</v>
      </c>
      <c r="S39" s="261" t="e">
        <f>VLOOKUP(Tabla_query__2[[#This Row],[Requerimiento]],'A1 TD'!A18:D50,4,FALSE)</f>
        <v>#N/A</v>
      </c>
      <c r="T39" s="584" t="s">
        <v>145</v>
      </c>
      <c r="U39" s="261" t="s">
        <v>314</v>
      </c>
      <c r="V39" s="261" t="s">
        <v>146</v>
      </c>
      <c r="W39" s="261"/>
      <c r="X39" s="261">
        <v>10</v>
      </c>
      <c r="Y39" s="261">
        <f>Tabla_query__2[[#This Row],[Número
Semanas]]*5*8</f>
        <v>400</v>
      </c>
      <c r="Z39" s="268">
        <f>Tabla_query__2[[#This Row],[TOTAL]]/Tabla_query__2[[#This Row],[Número de Horas]]/2</f>
        <v>14.55</v>
      </c>
      <c r="AA39" s="261">
        <v>2</v>
      </c>
      <c r="AB39" s="261">
        <v>550</v>
      </c>
      <c r="AC39" s="261"/>
      <c r="AD39" s="268">
        <f>Tabla_query__2[[#This Row],[Número
Semanas]]*Tabla_query__2[[#This Row],[Número
Personas]]*Tabla_query__2[[#This Row],[Costo
Mano Obra/semana]] + 640</f>
        <v>11640</v>
      </c>
      <c r="AE39" s="261"/>
      <c r="AF39" s="261"/>
      <c r="AG39" s="547" t="s">
        <v>191</v>
      </c>
      <c r="AH39" s="463">
        <v>45348</v>
      </c>
      <c r="AI39" s="463">
        <v>45362</v>
      </c>
      <c r="AJ39" s="463">
        <f>Tabla_query__2[[#This Row],[FinDes]]-Tabla_query__2[[#This Row],[InicioDes]]</f>
        <v>14</v>
      </c>
      <c r="AK39" s="463">
        <v>45362</v>
      </c>
      <c r="AL39" s="463">
        <v>45369</v>
      </c>
      <c r="AM39" s="463">
        <f t="shared" si="1"/>
        <v>362903</v>
      </c>
      <c r="AN39" s="463">
        <v>45369</v>
      </c>
      <c r="AO39" s="463">
        <v>45376</v>
      </c>
      <c r="AP39" s="281">
        <v>45420</v>
      </c>
      <c r="AQ39" s="281">
        <f>Tabla_query__2[[#This Row],[Inicio Real]]+(Tabla_query__2[[#This Row],[Número
Semanas]]*7)</f>
        <v>45490</v>
      </c>
      <c r="AR39" s="462">
        <f>Tabla_query__2[[#This Row],[Número
Semanas]]/4</f>
        <v>2.5</v>
      </c>
      <c r="AS39" s="587">
        <f>Tabla_query__2[[#This Row],[FinDes2]]-Tabla_query__2[[#This Row],[InicioDes2]]</f>
        <v>7</v>
      </c>
      <c r="AT39" s="261" t="s">
        <v>315</v>
      </c>
      <c r="AV39" s="434" t="s">
        <v>148</v>
      </c>
      <c r="AW39" t="s">
        <v>316</v>
      </c>
      <c r="AX39" t="s">
        <v>300</v>
      </c>
    </row>
    <row r="40" spans="1:51" ht="20.25" customHeight="1">
      <c r="A40" s="318" t="s">
        <v>130</v>
      </c>
      <c r="B40" s="262" t="s">
        <v>131</v>
      </c>
      <c r="C40" s="262" t="s">
        <v>317</v>
      </c>
      <c r="D40" s="266" t="s">
        <v>318</v>
      </c>
      <c r="E40" s="277" t="s">
        <v>164</v>
      </c>
      <c r="F40" s="264" t="s">
        <v>319</v>
      </c>
      <c r="G40" s="264" t="s">
        <v>210</v>
      </c>
      <c r="H40" s="264" t="s">
        <v>204</v>
      </c>
      <c r="I40" s="262" t="s">
        <v>260</v>
      </c>
      <c r="J40" s="262" t="s">
        <v>4</v>
      </c>
      <c r="K40" s="262"/>
      <c r="L40" s="262"/>
      <c r="M40" s="266" t="s">
        <v>206</v>
      </c>
      <c r="N40" s="262" t="s">
        <v>47</v>
      </c>
      <c r="O40" t="s">
        <v>305</v>
      </c>
      <c r="P40" s="262" t="s">
        <v>45</v>
      </c>
      <c r="Q40" s="262" t="s">
        <v>143</v>
      </c>
      <c r="R40" s="262" t="s">
        <v>144</v>
      </c>
      <c r="S40" s="261" t="s">
        <v>320</v>
      </c>
      <c r="T40" s="591" t="s">
        <v>320</v>
      </c>
      <c r="U40" s="261" t="s">
        <v>321</v>
      </c>
      <c r="V40" s="261" t="s">
        <v>136</v>
      </c>
      <c r="W40" s="261"/>
      <c r="X40" s="261">
        <v>10</v>
      </c>
      <c r="Y40" s="261">
        <f>Tabla_query__2[[#This Row],[Número
Semanas]]*5*8</f>
        <v>400</v>
      </c>
      <c r="Z40" s="268">
        <f>Tabla_query__2[[#This Row],[TOTAL]]/Tabla_query__2[[#This Row],[Número de Horas]]/2</f>
        <v>14.55</v>
      </c>
      <c r="AA40" s="261">
        <v>2</v>
      </c>
      <c r="AB40" s="261">
        <v>550</v>
      </c>
      <c r="AC40" s="261"/>
      <c r="AD40" s="268">
        <f>Tabla_query__2[[#This Row],[Número
Semanas]]*Tabla_query__2[[#This Row],[Número
Personas]]*Tabla_query__2[[#This Row],[Costo
Mano Obra/semana]] + 640</f>
        <v>11640</v>
      </c>
      <c r="AE40" s="261"/>
      <c r="AF40" s="261"/>
      <c r="AG40" s="547" t="s">
        <v>322</v>
      </c>
      <c r="AH40" s="463">
        <v>45572</v>
      </c>
      <c r="AI40" s="456">
        <v>45614</v>
      </c>
      <c r="AJ40" s="462">
        <f>Tabla_query__2[[#This Row],[FinDes]]-Tabla_query__2[[#This Row],[InicioDes]]</f>
        <v>42</v>
      </c>
      <c r="AK40" s="456">
        <v>45614</v>
      </c>
      <c r="AL40" s="456">
        <v>45628</v>
      </c>
      <c r="AM40" s="462">
        <f t="shared" si="1"/>
        <v>364926</v>
      </c>
      <c r="AN40" s="456">
        <v>45628</v>
      </c>
      <c r="AO40" s="456">
        <v>45642</v>
      </c>
      <c r="AP40" s="456">
        <v>45566</v>
      </c>
      <c r="AQ40" s="281">
        <f>Tabla_query__2[[#This Row],[Inicio Real]]+(Tabla_query__2[[#This Row],[Número
Semanas]]*7)</f>
        <v>45636</v>
      </c>
      <c r="AR40" s="462">
        <f>Tabla_query__2[[#This Row],[Número
Semanas]]/4</f>
        <v>2.5</v>
      </c>
      <c r="AS40" s="269">
        <f>Tabla_query__2[[#This Row],[FinDes2]]-Tabla_query__2[[#This Row],[InicioDes2]]</f>
        <v>14</v>
      </c>
      <c r="AT40" s="261" t="s">
        <v>315</v>
      </c>
      <c r="AV40" s="434" t="s">
        <v>148</v>
      </c>
    </row>
    <row r="41" spans="1:51" ht="28.5" customHeight="1">
      <c r="A41" s="318" t="s">
        <v>130</v>
      </c>
      <c r="B41" s="262" t="s">
        <v>131</v>
      </c>
      <c r="C41" s="262" t="s">
        <v>317</v>
      </c>
      <c r="D41" s="266" t="s">
        <v>323</v>
      </c>
      <c r="E41" s="277" t="s">
        <v>164</v>
      </c>
      <c r="F41" s="259" t="s">
        <v>324</v>
      </c>
      <c r="G41" s="259" t="s">
        <v>146</v>
      </c>
      <c r="H41" s="259" t="s">
        <v>204</v>
      </c>
      <c r="I41" s="262" t="s">
        <v>260</v>
      </c>
      <c r="J41" s="262" t="s">
        <v>4</v>
      </c>
      <c r="K41" s="262"/>
      <c r="L41" s="262"/>
      <c r="M41" s="266" t="s">
        <v>206</v>
      </c>
      <c r="N41" s="262" t="s">
        <v>47</v>
      </c>
      <c r="O41" t="s">
        <v>305</v>
      </c>
      <c r="P41" s="262" t="s">
        <v>45</v>
      </c>
      <c r="Q41" s="262" t="s">
        <v>143</v>
      </c>
      <c r="R41" s="262" t="s">
        <v>144</v>
      </c>
      <c r="S41" s="261" t="s">
        <v>152</v>
      </c>
      <c r="T41" s="585" t="s">
        <v>145</v>
      </c>
      <c r="U41" s="261" t="s">
        <v>325</v>
      </c>
      <c r="V41" s="261" t="s">
        <v>146</v>
      </c>
      <c r="W41" s="261"/>
      <c r="X41" s="261">
        <v>5</v>
      </c>
      <c r="Y41" s="261">
        <f>Tabla_query__2[[#This Row],[Número
Semanas]]*5*8</f>
        <v>200</v>
      </c>
      <c r="Z41" s="268">
        <f>Tabla_query__2[[#This Row],[TOTAL]]/Tabla_query__2[[#This Row],[Número de Horas]]/2</f>
        <v>8.4749999999999996</v>
      </c>
      <c r="AA41" s="261">
        <v>1</v>
      </c>
      <c r="AB41" s="261">
        <v>550</v>
      </c>
      <c r="AC41" s="261"/>
      <c r="AD41" s="268">
        <f>Tabla_query__2[[#This Row],[Número
Semanas]]*Tabla_query__2[[#This Row],[Número
Personas]]*Tabla_query__2[[#This Row],[Costo
Mano Obra/semana]] + 640</f>
        <v>3390</v>
      </c>
      <c r="AE41" s="261"/>
      <c r="AF41" s="261"/>
      <c r="AG41" s="547" t="s">
        <v>159</v>
      </c>
      <c r="AH41" s="281">
        <v>45425</v>
      </c>
      <c r="AI41" s="281">
        <v>45446</v>
      </c>
      <c r="AJ41" s="462">
        <f>Tabla_query__2[[#This Row],[FinDes]]-Tabla_query__2[[#This Row],[InicioDes]]</f>
        <v>21</v>
      </c>
      <c r="AK41" s="281">
        <v>45446</v>
      </c>
      <c r="AL41" s="281">
        <v>45453</v>
      </c>
      <c r="AM41" s="462">
        <f t="shared" si="1"/>
        <v>363575</v>
      </c>
      <c r="AN41" s="281">
        <v>45453</v>
      </c>
      <c r="AO41" s="281">
        <v>45460</v>
      </c>
      <c r="AP41" s="281">
        <v>45474</v>
      </c>
      <c r="AQ41" s="281">
        <f>Tabla_query__2[[#This Row],[Inicio Real]]+(Tabla_query__2[[#This Row],[Número
Semanas]]*7)</f>
        <v>45509</v>
      </c>
      <c r="AR41" s="462">
        <f>Tabla_query__2[[#This Row],[Número
Semanas]]/4</f>
        <v>1.25</v>
      </c>
      <c r="AS41" s="587">
        <f>Tabla_query__2[[#This Row],[FinDes2]]-Tabla_query__2[[#This Row],[InicioDes2]]</f>
        <v>7</v>
      </c>
      <c r="AT41" s="261" t="s">
        <v>315</v>
      </c>
      <c r="AV41" s="434" t="s">
        <v>148</v>
      </c>
    </row>
    <row r="42" spans="1:51" ht="20.25" customHeight="1">
      <c r="A42" s="318" t="s">
        <v>130</v>
      </c>
      <c r="B42" s="262" t="s">
        <v>131</v>
      </c>
      <c r="C42" s="262" t="s">
        <v>326</v>
      </c>
      <c r="D42" s="262" t="s">
        <v>326</v>
      </c>
      <c r="E42" s="262" t="s">
        <v>310</v>
      </c>
      <c r="F42" s="259" t="s">
        <v>327</v>
      </c>
      <c r="G42" s="259" t="s">
        <v>136</v>
      </c>
      <c r="H42" s="259" t="s">
        <v>137</v>
      </c>
      <c r="I42" s="262" t="s">
        <v>260</v>
      </c>
      <c r="J42" s="262" t="s">
        <v>4</v>
      </c>
      <c r="K42" s="262"/>
      <c r="L42" s="262"/>
      <c r="M42" s="266" t="s">
        <v>206</v>
      </c>
      <c r="N42" s="262" t="s">
        <v>47</v>
      </c>
      <c r="O42" t="s">
        <v>305</v>
      </c>
      <c r="P42" s="262" t="s">
        <v>45</v>
      </c>
      <c r="Q42" s="262" t="s">
        <v>143</v>
      </c>
      <c r="R42" s="262" t="s">
        <v>144</v>
      </c>
      <c r="S42" s="261" t="s">
        <v>152</v>
      </c>
      <c r="T42" s="261" t="s">
        <v>221</v>
      </c>
      <c r="X42" s="261">
        <v>2</v>
      </c>
      <c r="Y42" s="261">
        <f>Tabla_query__2[[#This Row],[Número
Semanas]]*5*8</f>
        <v>80</v>
      </c>
      <c r="Z42" s="268">
        <f>Tabla_query__2[[#This Row],[TOTAL]]/Tabla_query__2[[#This Row],[Número de Horas]]/2</f>
        <v>7.875</v>
      </c>
      <c r="AA42" s="261">
        <v>1</v>
      </c>
      <c r="AB42" s="261">
        <v>550</v>
      </c>
      <c r="AC42" s="261"/>
      <c r="AD42" s="268">
        <f>Tabla_query__2[[#This Row],[Número
Semanas]]*Tabla_query__2[[#This Row],[Número
Personas]]*Tabla_query__2[[#This Row],[Costo
Mano Obra/semana]] + 160</f>
        <v>1260</v>
      </c>
      <c r="AE42" s="261"/>
      <c r="AF42" s="463">
        <v>45425</v>
      </c>
      <c r="AG42" s="430" t="s">
        <v>154</v>
      </c>
      <c r="AH42" s="463">
        <v>45453</v>
      </c>
      <c r="AI42" s="463">
        <v>45474</v>
      </c>
      <c r="AJ42" s="281">
        <v>45516</v>
      </c>
      <c r="AK42" s="462">
        <v>1.5</v>
      </c>
      <c r="AL42" s="269">
        <v>7</v>
      </c>
      <c r="AM42" s="282" t="e">
        <f>#REF!+ ((#REF!*7))</f>
        <v>#REF!</v>
      </c>
      <c r="AN42" s="463">
        <v>45453</v>
      </c>
      <c r="AO42" s="463">
        <v>45460</v>
      </c>
      <c r="AP42" s="463">
        <v>45460</v>
      </c>
      <c r="AQ42" s="281">
        <f>Tabla_query__2[[#This Row],[Inicio Real]]+(Tabla_query__2[[#This Row],[Número
Semanas]]*7)</f>
        <v>45474</v>
      </c>
      <c r="AR42" s="511">
        <f>Tabla_query__2[[#This Row],[Número
Semanas]]/4</f>
        <v>0.5</v>
      </c>
      <c r="AS42" s="269">
        <f>Tabla_query__2[[#This Row],[FinDes2]]-Tabla_query__2[[#This Row],[InicioDes2]]</f>
        <v>7</v>
      </c>
      <c r="AT42" s="261"/>
      <c r="AU42" s="293"/>
    </row>
    <row r="43" spans="1:51" ht="20.25" customHeight="1">
      <c r="A43" s="318" t="s">
        <v>130</v>
      </c>
      <c r="B43" s="262" t="s">
        <v>131</v>
      </c>
      <c r="C43" s="262" t="s">
        <v>310</v>
      </c>
      <c r="D43" s="262" t="s">
        <v>326</v>
      </c>
      <c r="E43" s="262" t="s">
        <v>310</v>
      </c>
      <c r="F43" s="259" t="s">
        <v>327</v>
      </c>
      <c r="G43" s="259" t="s">
        <v>136</v>
      </c>
      <c r="H43" s="259" t="s">
        <v>137</v>
      </c>
      <c r="I43" s="262" t="s">
        <v>260</v>
      </c>
      <c r="J43" s="262" t="s">
        <v>4</v>
      </c>
      <c r="K43" s="262"/>
      <c r="L43" s="262"/>
      <c r="M43" s="266" t="s">
        <v>328</v>
      </c>
      <c r="N43" s="262" t="s">
        <v>47</v>
      </c>
      <c r="O43" t="s">
        <v>305</v>
      </c>
      <c r="P43" s="262" t="s">
        <v>45</v>
      </c>
      <c r="Q43" s="262" t="s">
        <v>143</v>
      </c>
      <c r="R43" s="262" t="s">
        <v>144</v>
      </c>
      <c r="S43" s="261" t="s">
        <v>152</v>
      </c>
      <c r="T43" s="261" t="s">
        <v>221</v>
      </c>
      <c r="X43" s="261">
        <v>1</v>
      </c>
      <c r="Y43" s="261">
        <f>Tabla_query__2[[#This Row],[Número
Semanas]]*5*8</f>
        <v>40</v>
      </c>
      <c r="Z43" s="268">
        <f>Tabla_query__2[[#This Row],[TOTAL]]/Tabla_query__2[[#This Row],[Número de Horas]]/2</f>
        <v>8.375</v>
      </c>
      <c r="AA43" s="261">
        <v>1</v>
      </c>
      <c r="AB43" s="261">
        <v>550</v>
      </c>
      <c r="AC43" s="261"/>
      <c r="AD43" s="268">
        <f>Tabla_query__2[[#This Row],[Número
Semanas]]*Tabla_query__2[[#This Row],[Número
Personas]]*Tabla_query__2[[#This Row],[Costo
Mano Obra/semana]] + 120</f>
        <v>670</v>
      </c>
      <c r="AE43" s="261"/>
      <c r="AF43" s="463">
        <v>45425</v>
      </c>
      <c r="AG43" s="430" t="s">
        <v>159</v>
      </c>
      <c r="AH43" s="463">
        <v>45453</v>
      </c>
      <c r="AI43" s="463">
        <v>45474</v>
      </c>
      <c r="AJ43" s="281">
        <v>45516</v>
      </c>
      <c r="AK43" s="462">
        <v>1.5</v>
      </c>
      <c r="AL43" s="269">
        <v>7</v>
      </c>
      <c r="AM43" s="282" t="e">
        <f>#REF!+ ((#REF!*7))</f>
        <v>#REF!</v>
      </c>
      <c r="AN43" s="463">
        <v>45453</v>
      </c>
      <c r="AO43" s="463">
        <v>45460</v>
      </c>
      <c r="AP43" s="463">
        <v>45474</v>
      </c>
      <c r="AQ43" s="281">
        <f>Tabla_query__2[[#This Row],[Inicio Real]]+(Tabla_query__2[[#This Row],[Número
Semanas]]*7)</f>
        <v>45481</v>
      </c>
      <c r="AR43" s="511">
        <f>Tabla_query__2[[#This Row],[Número
Semanas]]/4</f>
        <v>0.25</v>
      </c>
      <c r="AS43" s="269">
        <f>Tabla_query__2[[#This Row],[FinDes2]]-Tabla_query__2[[#This Row],[InicioDes2]]</f>
        <v>7</v>
      </c>
      <c r="AT43" s="261"/>
      <c r="AU43" s="293"/>
    </row>
    <row r="44" spans="1:51" ht="20.25" customHeight="1">
      <c r="A44" s="318" t="s">
        <v>130</v>
      </c>
      <c r="B44" s="262" t="s">
        <v>131</v>
      </c>
      <c r="C44" s="262" t="s">
        <v>310</v>
      </c>
      <c r="D44" s="262" t="s">
        <v>326</v>
      </c>
      <c r="E44" s="262" t="s">
        <v>310</v>
      </c>
      <c r="F44" s="259" t="s">
        <v>327</v>
      </c>
      <c r="G44" s="259" t="s">
        <v>136</v>
      </c>
      <c r="H44" s="259" t="s">
        <v>137</v>
      </c>
      <c r="I44" s="262" t="s">
        <v>260</v>
      </c>
      <c r="J44" s="262" t="s">
        <v>4</v>
      </c>
      <c r="K44" s="262"/>
      <c r="L44" s="262"/>
      <c r="M44" s="266" t="s">
        <v>329</v>
      </c>
      <c r="N44" s="262" t="s">
        <v>47</v>
      </c>
      <c r="O44" t="s">
        <v>305</v>
      </c>
      <c r="P44" s="262" t="s">
        <v>45</v>
      </c>
      <c r="Q44" s="262" t="s">
        <v>143</v>
      </c>
      <c r="R44" s="262" t="s">
        <v>144</v>
      </c>
      <c r="S44" s="261" t="s">
        <v>152</v>
      </c>
      <c r="T44" s="591" t="s">
        <v>221</v>
      </c>
      <c r="X44" s="261">
        <v>1</v>
      </c>
      <c r="Y44" s="261">
        <f>Tabla_query__2[[#This Row],[Número
Semanas]]*5*8</f>
        <v>40</v>
      </c>
      <c r="Z44" s="268">
        <f>Tabla_query__2[[#This Row],[TOTAL]]/Tabla_query__2[[#This Row],[Número de Horas]]/2</f>
        <v>8.375</v>
      </c>
      <c r="AA44" s="261">
        <v>1</v>
      </c>
      <c r="AB44" s="261">
        <v>550</v>
      </c>
      <c r="AC44" s="261"/>
      <c r="AD44" s="268">
        <f>Tabla_query__2[[#This Row],[Número
Semanas]]*Tabla_query__2[[#This Row],[Número
Personas]]*Tabla_query__2[[#This Row],[Costo
Mano Obra/semana]] + 120</f>
        <v>670</v>
      </c>
      <c r="AE44" s="261"/>
      <c r="AF44" s="463">
        <v>45425</v>
      </c>
      <c r="AG44" s="430" t="s">
        <v>159</v>
      </c>
      <c r="AH44" s="463">
        <v>45453</v>
      </c>
      <c r="AI44" s="463">
        <v>45474</v>
      </c>
      <c r="AJ44" s="281">
        <v>45516</v>
      </c>
      <c r="AK44" s="462">
        <v>1.5</v>
      </c>
      <c r="AL44" s="269">
        <v>7</v>
      </c>
      <c r="AM44" s="282" t="e">
        <f>#REF!+ ((#REF!*7))</f>
        <v>#REF!</v>
      </c>
      <c r="AN44" s="463">
        <v>45453</v>
      </c>
      <c r="AO44" s="463">
        <v>45460</v>
      </c>
      <c r="AP44" s="463">
        <v>45482</v>
      </c>
      <c r="AQ44" s="281">
        <f>Tabla_query__2[[#This Row],[Inicio Real]]+(Tabla_query__2[[#This Row],[Número
Semanas]]*7)</f>
        <v>45489</v>
      </c>
      <c r="AR44" s="511">
        <f>Tabla_query__2[[#This Row],[Número
Semanas]]/4</f>
        <v>0.25</v>
      </c>
      <c r="AS44" s="269">
        <f>Tabla_query__2[[#This Row],[FinDes2]]-Tabla_query__2[[#This Row],[InicioDes2]]</f>
        <v>7</v>
      </c>
      <c r="AT44" s="261"/>
      <c r="AU44" s="293"/>
    </row>
    <row r="45" spans="1:51" ht="28.5" customHeight="1">
      <c r="A45" s="318" t="s">
        <v>130</v>
      </c>
      <c r="B45" s="262" t="s">
        <v>131</v>
      </c>
      <c r="C45" s="262"/>
      <c r="D45" s="262" t="s">
        <v>326</v>
      </c>
      <c r="E45" s="262" t="s">
        <v>310</v>
      </c>
      <c r="F45" s="259" t="s">
        <v>327</v>
      </c>
      <c r="G45" s="259" t="s">
        <v>136</v>
      </c>
      <c r="H45" s="259" t="s">
        <v>137</v>
      </c>
      <c r="I45" s="262" t="s">
        <v>260</v>
      </c>
      <c r="J45" s="262" t="s">
        <v>4</v>
      </c>
      <c r="K45" s="262"/>
      <c r="L45" s="262"/>
      <c r="M45" s="266" t="s">
        <v>330</v>
      </c>
      <c r="N45" s="262" t="s">
        <v>47</v>
      </c>
      <c r="O45" t="s">
        <v>305</v>
      </c>
      <c r="P45" s="262" t="s">
        <v>45</v>
      </c>
      <c r="Q45" s="262" t="s">
        <v>143</v>
      </c>
      <c r="R45" s="262" t="s">
        <v>144</v>
      </c>
      <c r="S45" s="261" t="s">
        <v>152</v>
      </c>
      <c r="T45" s="591" t="s">
        <v>221</v>
      </c>
      <c r="X45" s="261">
        <v>1</v>
      </c>
      <c r="Y45" s="261">
        <f>Tabla_query__2[[#This Row],[Número
Semanas]]*5*8</f>
        <v>40</v>
      </c>
      <c r="Z45" s="268">
        <f>Tabla_query__2[[#This Row],[TOTAL]]/Tabla_query__2[[#This Row],[Número de Horas]]/2</f>
        <v>8.375</v>
      </c>
      <c r="AA45" s="261">
        <v>1</v>
      </c>
      <c r="AB45" s="261">
        <v>550</v>
      </c>
      <c r="AC45" s="261"/>
      <c r="AD45" s="268">
        <f>Tabla_query__2[[#This Row],[Número
Semanas]]*Tabla_query__2[[#This Row],[Número
Personas]]*Tabla_query__2[[#This Row],[Costo
Mano Obra/semana]] + 120</f>
        <v>670</v>
      </c>
      <c r="AE45" s="261"/>
      <c r="AF45" s="463">
        <v>45425</v>
      </c>
      <c r="AG45" s="430" t="s">
        <v>159</v>
      </c>
      <c r="AH45" s="463">
        <v>45453</v>
      </c>
      <c r="AI45" s="463">
        <v>45474</v>
      </c>
      <c r="AJ45" s="281">
        <v>45516</v>
      </c>
      <c r="AK45" s="462">
        <v>1.5</v>
      </c>
      <c r="AL45" s="269">
        <v>7</v>
      </c>
      <c r="AM45" s="282" t="e">
        <f>#REF!+ ((#REF!*7))</f>
        <v>#REF!</v>
      </c>
      <c r="AN45" s="463">
        <v>45453</v>
      </c>
      <c r="AO45" s="463">
        <v>45460</v>
      </c>
      <c r="AP45" s="463">
        <v>45490</v>
      </c>
      <c r="AQ45" s="281">
        <f>Tabla_query__2[[#This Row],[Inicio Real]]+(Tabla_query__2[[#This Row],[Número
Semanas]]*7)</f>
        <v>45497</v>
      </c>
      <c r="AR45" s="511">
        <f>Tabla_query__2[[#This Row],[Número
Semanas]]/4</f>
        <v>0.25</v>
      </c>
      <c r="AS45" s="269">
        <f>Tabla_query__2[[#This Row],[FinDes2]]-Tabla_query__2[[#This Row],[InicioDes2]]</f>
        <v>7</v>
      </c>
      <c r="AT45" s="261"/>
      <c r="AU45" s="293"/>
      <c r="AW45" s="1">
        <v>45425</v>
      </c>
      <c r="AX45" t="s">
        <v>331</v>
      </c>
    </row>
    <row r="46" spans="1:51" ht="79.5" customHeight="1">
      <c r="A46" s="318" t="s">
        <v>130</v>
      </c>
      <c r="B46" s="262" t="s">
        <v>131</v>
      </c>
      <c r="C46" s="262" t="s">
        <v>301</v>
      </c>
      <c r="D46" s="262" t="s">
        <v>326</v>
      </c>
      <c r="E46" s="262" t="s">
        <v>310</v>
      </c>
      <c r="F46" s="259" t="s">
        <v>327</v>
      </c>
      <c r="G46" s="259" t="s">
        <v>136</v>
      </c>
      <c r="H46" s="259" t="s">
        <v>137</v>
      </c>
      <c r="I46" s="262" t="s">
        <v>260</v>
      </c>
      <c r="J46" s="262" t="s">
        <v>4</v>
      </c>
      <c r="K46" s="262"/>
      <c r="L46" s="262"/>
      <c r="M46" s="266" t="s">
        <v>140</v>
      </c>
      <c r="N46" s="262" t="s">
        <v>47</v>
      </c>
      <c r="O46" t="s">
        <v>305</v>
      </c>
      <c r="P46" s="262" t="s">
        <v>45</v>
      </c>
      <c r="Q46" s="262" t="s">
        <v>143</v>
      </c>
      <c r="R46" s="262" t="s">
        <v>144</v>
      </c>
      <c r="S46" s="261" t="s">
        <v>152</v>
      </c>
      <c r="T46" s="591" t="s">
        <v>221</v>
      </c>
      <c r="U46" s="261" t="s">
        <v>332</v>
      </c>
      <c r="V46" s="261" t="s">
        <v>146</v>
      </c>
      <c r="W46" s="261"/>
      <c r="X46" s="261">
        <v>1</v>
      </c>
      <c r="Y46" s="261">
        <f>Tabla_query__2[[#This Row],[Número
Semanas]]*5*8</f>
        <v>40</v>
      </c>
      <c r="Z46" s="268">
        <f>Tabla_query__2[[#This Row],[TOTAL]]/Tabla_query__2[[#This Row],[Número de Horas]]/2</f>
        <v>8.375</v>
      </c>
      <c r="AA46" s="261">
        <v>1</v>
      </c>
      <c r="AB46" s="261">
        <v>550</v>
      </c>
      <c r="AC46" s="261"/>
      <c r="AD46" s="268">
        <f>Tabla_query__2[[#This Row],[Número
Semanas]]*Tabla_query__2[[#This Row],[Número
Personas]]*Tabla_query__2[[#This Row],[Costo
Mano Obra/semana]] + 120</f>
        <v>670</v>
      </c>
      <c r="AE46" s="261"/>
      <c r="AF46" s="261"/>
      <c r="AG46" s="430" t="s">
        <v>159</v>
      </c>
      <c r="AH46" s="463">
        <v>45425</v>
      </c>
      <c r="AI46" s="463">
        <v>45439</v>
      </c>
      <c r="AJ46" s="462">
        <f>Tabla_query__2[[#This Row],[FinDes]]-Tabla_query__2[[#This Row],[InicioDes]]</f>
        <v>14</v>
      </c>
      <c r="AK46" s="463">
        <v>45439</v>
      </c>
      <c r="AL46" s="463">
        <v>45453</v>
      </c>
      <c r="AM46" s="462">
        <f t="shared" ref="AM46:AM77" si="2">AL46+ ((AK46*7))</f>
        <v>363526</v>
      </c>
      <c r="AN46" s="463">
        <v>45453</v>
      </c>
      <c r="AO46" s="463">
        <v>45460</v>
      </c>
      <c r="AP46" s="463">
        <v>45497</v>
      </c>
      <c r="AQ46" s="281">
        <f>Tabla_query__2[[#This Row],[Inicio Real]]+(Tabla_query__2[[#This Row],[Número
Semanas]]*7)</f>
        <v>45504</v>
      </c>
      <c r="AR46" s="462">
        <f>Tabla_query__2[[#This Row],[Número
Semanas]]/4</f>
        <v>0.25</v>
      </c>
      <c r="AS46" s="269">
        <f>Tabla_query__2[[#This Row],[FinDes2]]-Tabla_query__2[[#This Row],[InicioDes2]]</f>
        <v>7</v>
      </c>
      <c r="AT46" s="261" t="s">
        <v>315</v>
      </c>
      <c r="AV46" s="436" t="s">
        <v>148</v>
      </c>
    </row>
    <row r="47" spans="1:51" ht="43.5" customHeight="1">
      <c r="A47" s="318" t="s">
        <v>130</v>
      </c>
      <c r="B47" s="262" t="s">
        <v>131</v>
      </c>
      <c r="C47" s="262" t="s">
        <v>333</v>
      </c>
      <c r="D47" s="277" t="s">
        <v>334</v>
      </c>
      <c r="E47" s="262" t="s">
        <v>164</v>
      </c>
      <c r="F47" s="264" t="s">
        <v>335</v>
      </c>
      <c r="G47" s="264" t="s">
        <v>136</v>
      </c>
      <c r="H47" s="264" t="s">
        <v>204</v>
      </c>
      <c r="I47" s="262" t="s">
        <v>260</v>
      </c>
      <c r="J47" s="262" t="s">
        <v>4</v>
      </c>
      <c r="K47" s="262"/>
      <c r="L47" s="262"/>
      <c r="M47" s="266" t="s">
        <v>330</v>
      </c>
      <c r="N47" s="262" t="s">
        <v>47</v>
      </c>
      <c r="O47" t="s">
        <v>305</v>
      </c>
      <c r="P47" s="262" t="s">
        <v>45</v>
      </c>
      <c r="Q47" s="262" t="s">
        <v>143</v>
      </c>
      <c r="R47" s="262" t="s">
        <v>179</v>
      </c>
      <c r="S47" s="261" t="e">
        <f>VLOOKUP(Tabla_query__2[[#This Row],[Requerimiento]],'A1 TD'!A14:D46,4,FALSE)</f>
        <v>#N/A</v>
      </c>
      <c r="T47" s="584" t="s">
        <v>145</v>
      </c>
      <c r="U47" s="261" t="s">
        <v>336</v>
      </c>
      <c r="V47" s="261" t="s">
        <v>146</v>
      </c>
      <c r="W47" s="261"/>
      <c r="X47" s="261">
        <v>6</v>
      </c>
      <c r="Y47" s="261">
        <f>Tabla_query__2[[#This Row],[Número
Semanas]]*5*8</f>
        <v>240</v>
      </c>
      <c r="Z47" s="268">
        <f>Tabla_query__2[[#This Row],[TOTAL]]/Tabla_query__2[[#This Row],[Número de Horas]]/2</f>
        <v>8.2083333333333339</v>
      </c>
      <c r="AA47" s="261">
        <v>1</v>
      </c>
      <c r="AB47" s="261">
        <v>550</v>
      </c>
      <c r="AC47" s="261"/>
      <c r="AD47" s="268">
        <f>Tabla_query__2[[#This Row],[Número
Semanas]]*Tabla_query__2[[#This Row],[Número
Personas]]*Tabla_query__2[[#This Row],[Costo
Mano Obra/semana]] + 640</f>
        <v>3940</v>
      </c>
      <c r="AE47" s="261"/>
      <c r="AF47" s="261"/>
      <c r="AG47" s="547" t="s">
        <v>211</v>
      </c>
      <c r="AH47" s="464">
        <v>45355</v>
      </c>
      <c r="AI47" s="464">
        <v>45383</v>
      </c>
      <c r="AJ47" s="462">
        <f>Tabla_query__2[[#This Row],[FinDes]]-Tabla_query__2[[#This Row],[InicioDes]]</f>
        <v>28</v>
      </c>
      <c r="AK47" s="464">
        <v>45383</v>
      </c>
      <c r="AL47" s="464">
        <v>45397</v>
      </c>
      <c r="AM47" s="462">
        <f t="shared" si="2"/>
        <v>363078</v>
      </c>
      <c r="AN47" s="464">
        <v>45397</v>
      </c>
      <c r="AO47" s="464">
        <v>45411</v>
      </c>
      <c r="AP47" s="281">
        <v>45390</v>
      </c>
      <c r="AQ47" s="281">
        <f>Tabla_query__2[[#This Row],[Inicio Real]]+(Tabla_query__2[[#This Row],[Número
Semanas]]*7)</f>
        <v>45432</v>
      </c>
      <c r="AR47" s="462">
        <f>Tabla_query__2[[#This Row],[Número
Semanas]]/4</f>
        <v>1.5</v>
      </c>
      <c r="AS47" s="587">
        <f>Tabla_query__2[[#This Row],[FinDes2]]-Tabla_query__2[[#This Row],[InicioDes2]]</f>
        <v>14</v>
      </c>
      <c r="AT47" s="261" t="s">
        <v>315</v>
      </c>
      <c r="AV47" s="444" t="s">
        <v>148</v>
      </c>
    </row>
    <row r="48" spans="1:51" ht="20.25" customHeight="1">
      <c r="A48" s="318" t="s">
        <v>130</v>
      </c>
      <c r="B48" s="262" t="s">
        <v>131</v>
      </c>
      <c r="C48" s="262" t="s">
        <v>192</v>
      </c>
      <c r="D48" s="262" t="s">
        <v>337</v>
      </c>
      <c r="E48" s="262" t="s">
        <v>164</v>
      </c>
      <c r="F48" s="264" t="s">
        <v>338</v>
      </c>
      <c r="G48" s="264" t="s">
        <v>136</v>
      </c>
      <c r="H48" s="265" t="s">
        <v>137</v>
      </c>
      <c r="I48" s="262" t="s">
        <v>260</v>
      </c>
      <c r="J48" s="262" t="s">
        <v>4</v>
      </c>
      <c r="K48" s="262"/>
      <c r="L48" s="262"/>
      <c r="M48" s="266" t="s">
        <v>329</v>
      </c>
      <c r="N48" s="262" t="s">
        <v>47</v>
      </c>
      <c r="O48" t="s">
        <v>305</v>
      </c>
      <c r="P48" s="262" t="s">
        <v>45</v>
      </c>
      <c r="Q48" s="262" t="s">
        <v>143</v>
      </c>
      <c r="R48" s="262" t="s">
        <v>179</v>
      </c>
      <c r="S48" s="261" t="e">
        <f>VLOOKUP(Tabla_query__2[[#This Row],[Requerimiento]],'A1 TD'!A12:D44,4,FALSE)</f>
        <v>#N/A</v>
      </c>
      <c r="T48" s="584" t="s">
        <v>145</v>
      </c>
      <c r="U48" s="261" t="s">
        <v>339</v>
      </c>
      <c r="V48" s="261" t="s">
        <v>136</v>
      </c>
      <c r="W48" s="261">
        <v>1</v>
      </c>
      <c r="X48" s="261">
        <v>8</v>
      </c>
      <c r="Y48" s="261">
        <f>Tabla_query__2[[#This Row],[Número
Semanas]]*5*8</f>
        <v>320</v>
      </c>
      <c r="Z48" s="268">
        <f>Tabla_query__2[[#This Row],[TOTAL]]/Tabla_query__2[[#This Row],[Número de Horas]]/2</f>
        <v>7.875</v>
      </c>
      <c r="AA48" s="261">
        <v>1</v>
      </c>
      <c r="AB48" s="261">
        <v>550</v>
      </c>
      <c r="AC48" s="261"/>
      <c r="AD48" s="387">
        <f>(Tabla_query__2[[#This Row],[Número
Semanas]]*Tabla_query__2[[#This Row],[Número
Personas]]*Tabla_query__2[[#This Row],[Costo
Mano Obra/semana]]+640)*Tabla_query__2[[#This Row],[Factor País]]</f>
        <v>5040</v>
      </c>
      <c r="AE48" s="261"/>
      <c r="AF48" s="261"/>
      <c r="AG48" s="547" t="s">
        <v>211</v>
      </c>
      <c r="AH48" s="464">
        <v>45341</v>
      </c>
      <c r="AI48" s="464">
        <v>45355</v>
      </c>
      <c r="AJ48" s="462">
        <f>Tabla_query__2[[#This Row],[FinDes]]-Tabla_query__2[[#This Row],[InicioDes]]</f>
        <v>14</v>
      </c>
      <c r="AK48" s="464">
        <v>45355</v>
      </c>
      <c r="AL48" s="464">
        <v>45362</v>
      </c>
      <c r="AM48" s="462">
        <f t="shared" si="2"/>
        <v>362847</v>
      </c>
      <c r="AN48" s="464">
        <v>45362</v>
      </c>
      <c r="AO48" s="464">
        <v>45369</v>
      </c>
      <c r="AP48" s="510">
        <v>45383</v>
      </c>
      <c r="AQ48" s="281">
        <f>Tabla_query__2[[#This Row],[Inicio Real]]+(Tabla_query__2[[#This Row],[Número
Semanas]]*7)</f>
        <v>45439</v>
      </c>
      <c r="AR48" s="462">
        <f>Tabla_query__2[[#This Row],[Número
Semanas]]/4</f>
        <v>2</v>
      </c>
      <c r="AS48" s="587">
        <f>Tabla_query__2[[#This Row],[FinDes2]]-Tabla_query__2[[#This Row],[InicioDes2]]</f>
        <v>7</v>
      </c>
      <c r="AT48" s="261" t="s">
        <v>155</v>
      </c>
      <c r="AV48" s="440" t="s">
        <v>148</v>
      </c>
    </row>
    <row r="49" spans="1:50" ht="50.25" customHeight="1">
      <c r="A49" s="318" t="s">
        <v>130</v>
      </c>
      <c r="B49" s="262" t="s">
        <v>131</v>
      </c>
      <c r="C49" s="262" t="s">
        <v>192</v>
      </c>
      <c r="D49" s="262" t="s">
        <v>337</v>
      </c>
      <c r="E49" s="262" t="s">
        <v>164</v>
      </c>
      <c r="F49" s="264" t="s">
        <v>338</v>
      </c>
      <c r="G49" s="264" t="s">
        <v>136</v>
      </c>
      <c r="H49" s="265" t="s">
        <v>137</v>
      </c>
      <c r="I49" s="262" t="s">
        <v>260</v>
      </c>
      <c r="J49" s="262" t="s">
        <v>4</v>
      </c>
      <c r="K49" s="262"/>
      <c r="L49" s="262"/>
      <c r="M49" s="266" t="s">
        <v>328</v>
      </c>
      <c r="N49" s="262" t="s">
        <v>47</v>
      </c>
      <c r="O49" t="s">
        <v>305</v>
      </c>
      <c r="P49" s="262" t="s">
        <v>45</v>
      </c>
      <c r="Q49" s="262" t="s">
        <v>143</v>
      </c>
      <c r="R49" s="497" t="s">
        <v>179</v>
      </c>
      <c r="S49" s="261" t="e">
        <f>VLOOKUP(Tabla_query__2[[#This Row],[Requerimiento]],'A1 TD'!A9:D41,4,FALSE)</f>
        <v>#N/A</v>
      </c>
      <c r="T49" s="584" t="s">
        <v>145</v>
      </c>
      <c r="U49" s="261" t="s">
        <v>339</v>
      </c>
      <c r="V49" s="261" t="s">
        <v>136</v>
      </c>
      <c r="W49" s="261">
        <v>1</v>
      </c>
      <c r="X49" s="261">
        <v>8</v>
      </c>
      <c r="Y49" s="261">
        <f>Tabla_query__2[[#This Row],[Número
Semanas]]*5*8</f>
        <v>320</v>
      </c>
      <c r="Z49" s="268">
        <f>Tabla_query__2[[#This Row],[TOTAL]]/Tabla_query__2[[#This Row],[Número de Horas]]/2</f>
        <v>7.875</v>
      </c>
      <c r="AA49" s="261">
        <v>1</v>
      </c>
      <c r="AB49" s="261">
        <v>550</v>
      </c>
      <c r="AC49" s="261"/>
      <c r="AD49" s="387">
        <f>(Tabla_query__2[[#This Row],[Número
Semanas]]*Tabla_query__2[[#This Row],[Número
Personas]]*Tabla_query__2[[#This Row],[Costo
Mano Obra/semana]]+640)*Tabla_query__2[[#This Row],[Factor País]]</f>
        <v>5040</v>
      </c>
      <c r="AE49" s="261"/>
      <c r="AF49" s="261"/>
      <c r="AG49" s="547" t="s">
        <v>211</v>
      </c>
      <c r="AH49" s="537">
        <v>45334</v>
      </c>
      <c r="AI49" s="527">
        <v>45341</v>
      </c>
      <c r="AJ49" s="462">
        <f>Tabla_query__2[[#This Row],[FinDes]]-Tabla_query__2[[#This Row],[InicioDes]]</f>
        <v>7</v>
      </c>
      <c r="AK49" s="465">
        <v>45341</v>
      </c>
      <c r="AL49" s="465">
        <v>45355</v>
      </c>
      <c r="AM49" s="462">
        <f t="shared" si="2"/>
        <v>362742</v>
      </c>
      <c r="AN49" s="465">
        <v>45355</v>
      </c>
      <c r="AO49" s="465">
        <v>45369</v>
      </c>
      <c r="AP49" s="281">
        <v>45352</v>
      </c>
      <c r="AQ49" s="281">
        <f>Tabla_query__2[[#This Row],[Inicio Real]]+(Tabla_query__2[[#This Row],[Número
Semanas]]*7)</f>
        <v>45408</v>
      </c>
      <c r="AR49" s="462">
        <f>Tabla_query__2[[#This Row],[Número
Semanas]]/4</f>
        <v>2</v>
      </c>
      <c r="AS49" s="587">
        <f>Tabla_query__2[[#This Row],[FinDes2]]-Tabla_query__2[[#This Row],[InicioDes2]]</f>
        <v>14</v>
      </c>
      <c r="AT49" s="261" t="s">
        <v>155</v>
      </c>
      <c r="AV49" s="435" t="s">
        <v>148</v>
      </c>
    </row>
    <row r="50" spans="1:50" ht="50.25" customHeight="1">
      <c r="A50" s="318" t="s">
        <v>130</v>
      </c>
      <c r="B50" s="262" t="s">
        <v>131</v>
      </c>
      <c r="C50" s="262" t="s">
        <v>192</v>
      </c>
      <c r="D50" s="262" t="s">
        <v>337</v>
      </c>
      <c r="E50" s="262" t="s">
        <v>164</v>
      </c>
      <c r="F50" s="264" t="s">
        <v>338</v>
      </c>
      <c r="G50" s="264" t="s">
        <v>136</v>
      </c>
      <c r="H50" s="265" t="s">
        <v>137</v>
      </c>
      <c r="I50" s="262" t="s">
        <v>260</v>
      </c>
      <c r="J50" s="262" t="s">
        <v>4</v>
      </c>
      <c r="K50" s="262"/>
      <c r="L50" s="262"/>
      <c r="M50" s="266" t="s">
        <v>330</v>
      </c>
      <c r="N50" s="262" t="s">
        <v>47</v>
      </c>
      <c r="O50" t="s">
        <v>305</v>
      </c>
      <c r="P50" s="262" t="s">
        <v>45</v>
      </c>
      <c r="Q50" s="262" t="s">
        <v>143</v>
      </c>
      <c r="R50" s="497" t="s">
        <v>179</v>
      </c>
      <c r="S50" s="261" t="e">
        <f>VLOOKUP(Tabla_query__2[[#This Row],[Requerimiento]],'A1 TD'!A10:D42,4,FALSE)</f>
        <v>#N/A</v>
      </c>
      <c r="T50" s="584" t="s">
        <v>145</v>
      </c>
      <c r="U50" s="261" t="s">
        <v>339</v>
      </c>
      <c r="V50" s="261" t="s">
        <v>136</v>
      </c>
      <c r="W50" s="261">
        <v>1</v>
      </c>
      <c r="X50" s="261">
        <v>8</v>
      </c>
      <c r="Y50" s="261">
        <f>Tabla_query__2[[#This Row],[Número
Semanas]]*5*8</f>
        <v>320</v>
      </c>
      <c r="Z50" s="268">
        <f>Tabla_query__2[[#This Row],[TOTAL]]/Tabla_query__2[[#This Row],[Número de Horas]]/2</f>
        <v>7.875</v>
      </c>
      <c r="AA50" s="261">
        <v>1</v>
      </c>
      <c r="AB50" s="261">
        <v>550</v>
      </c>
      <c r="AC50" s="261"/>
      <c r="AD50" s="387">
        <f>(Tabla_query__2[[#This Row],[Número
Semanas]]*Tabla_query__2[[#This Row],[Número
Personas]]*Tabla_query__2[[#This Row],[Costo
Mano Obra/semana]]+640)*Tabla_query__2[[#This Row],[Factor País]]</f>
        <v>5040</v>
      </c>
      <c r="AE50" s="261"/>
      <c r="AF50" s="261"/>
      <c r="AG50" s="547" t="s">
        <v>211</v>
      </c>
      <c r="AH50" s="537">
        <v>45355</v>
      </c>
      <c r="AI50" s="527">
        <v>45369</v>
      </c>
      <c r="AJ50" s="462">
        <f>Tabla_query__2[[#This Row],[FinDes]]-Tabla_query__2[[#This Row],[InicioDes]]</f>
        <v>14</v>
      </c>
      <c r="AK50" s="465">
        <v>45369</v>
      </c>
      <c r="AL50" s="465">
        <v>45376</v>
      </c>
      <c r="AM50" s="462">
        <f t="shared" si="2"/>
        <v>362959</v>
      </c>
      <c r="AN50" s="465">
        <v>45376</v>
      </c>
      <c r="AO50" s="465">
        <v>45383</v>
      </c>
      <c r="AP50" s="281">
        <v>45371</v>
      </c>
      <c r="AQ50" s="281">
        <f>Tabla_query__2[[#This Row],[Inicio Real]]+(Tabla_query__2[[#This Row],[Número
Semanas]]*7)</f>
        <v>45427</v>
      </c>
      <c r="AR50" s="462">
        <f>Tabla_query__2[[#This Row],[Número
Semanas]]/4</f>
        <v>2</v>
      </c>
      <c r="AS50" s="587">
        <f>Tabla_query__2[[#This Row],[FinDes2]]-Tabla_query__2[[#This Row],[InicioDes2]]</f>
        <v>7</v>
      </c>
      <c r="AT50" s="261" t="s">
        <v>155</v>
      </c>
      <c r="AV50" s="437" t="s">
        <v>148</v>
      </c>
      <c r="AW50" s="560" t="s">
        <v>340</v>
      </c>
      <c r="AX50" t="s">
        <v>341</v>
      </c>
    </row>
    <row r="51" spans="1:50" ht="104.65">
      <c r="A51" s="318" t="s">
        <v>130</v>
      </c>
      <c r="B51" s="262" t="s">
        <v>131</v>
      </c>
      <c r="C51" s="262" t="s">
        <v>192</v>
      </c>
      <c r="D51" s="262" t="s">
        <v>337</v>
      </c>
      <c r="E51" s="262" t="s">
        <v>164</v>
      </c>
      <c r="F51" s="264" t="s">
        <v>338</v>
      </c>
      <c r="G51" s="264" t="s">
        <v>136</v>
      </c>
      <c r="H51" s="265" t="s">
        <v>137</v>
      </c>
      <c r="I51" s="262" t="s">
        <v>260</v>
      </c>
      <c r="J51" s="262" t="s">
        <v>4</v>
      </c>
      <c r="K51" s="262"/>
      <c r="L51" s="262"/>
      <c r="M51" s="266" t="s">
        <v>140</v>
      </c>
      <c r="N51" s="262" t="s">
        <v>47</v>
      </c>
      <c r="O51" t="s">
        <v>305</v>
      </c>
      <c r="P51" s="262" t="s">
        <v>45</v>
      </c>
      <c r="Q51" s="262" t="s">
        <v>143</v>
      </c>
      <c r="R51" s="497" t="s">
        <v>144</v>
      </c>
      <c r="S51" s="261" t="e">
        <f>VLOOKUP(Tabla_query__2[[#This Row],[Requerimiento]],'A1 TD'!A11:D43,4,FALSE)</f>
        <v>#N/A</v>
      </c>
      <c r="T51" s="589" t="s">
        <v>145</v>
      </c>
      <c r="U51" s="261" t="s">
        <v>339</v>
      </c>
      <c r="V51" s="261" t="s">
        <v>136</v>
      </c>
      <c r="W51" s="261">
        <v>1</v>
      </c>
      <c r="X51" s="261">
        <v>8</v>
      </c>
      <c r="Y51" s="261">
        <f>Tabla_query__2[[#This Row],[Número
Semanas]]*5*8</f>
        <v>320</v>
      </c>
      <c r="Z51" s="268">
        <f>Tabla_query__2[[#This Row],[TOTAL]]/Tabla_query__2[[#This Row],[Número de Horas]]/2</f>
        <v>7.875</v>
      </c>
      <c r="AA51" s="261">
        <v>1</v>
      </c>
      <c r="AB51" s="261">
        <v>550</v>
      </c>
      <c r="AC51" s="261"/>
      <c r="AD51" s="387">
        <f>(Tabla_query__2[[#This Row],[Número
Semanas]]*Tabla_query__2[[#This Row],[Número
Personas]]*Tabla_query__2[[#This Row],[Costo
Mano Obra/semana]]+640)*Tabla_query__2[[#This Row],[Factor País]]</f>
        <v>5040</v>
      </c>
      <c r="AE51" s="261"/>
      <c r="AF51" s="261"/>
      <c r="AG51" s="547" t="s">
        <v>191</v>
      </c>
      <c r="AH51" s="537">
        <v>45369</v>
      </c>
      <c r="AI51" s="527">
        <v>45383</v>
      </c>
      <c r="AJ51" s="462">
        <f>Tabla_query__2[[#This Row],[FinDes]]-Tabla_query__2[[#This Row],[InicioDes]]</f>
        <v>14</v>
      </c>
      <c r="AK51" s="465">
        <v>45383</v>
      </c>
      <c r="AL51" s="465">
        <v>45390</v>
      </c>
      <c r="AM51" s="462">
        <f t="shared" si="2"/>
        <v>363071</v>
      </c>
      <c r="AN51" s="465">
        <v>45390</v>
      </c>
      <c r="AO51" s="465">
        <v>45397</v>
      </c>
      <c r="AP51" s="281">
        <v>45383</v>
      </c>
      <c r="AQ51" s="281">
        <f>Tabla_query__2[[#This Row],[Inicio Real]]+(Tabla_query__2[[#This Row],[Número
Semanas]]*7)</f>
        <v>45439</v>
      </c>
      <c r="AR51" s="462">
        <f>Tabla_query__2[[#This Row],[Número
Semanas]]/4</f>
        <v>2</v>
      </c>
      <c r="AS51" s="587">
        <f>Tabla_query__2[[#This Row],[FinDes2]]-Tabla_query__2[[#This Row],[InicioDes2]]</f>
        <v>7</v>
      </c>
      <c r="AT51" s="261" t="s">
        <v>155</v>
      </c>
      <c r="AV51" s="445" t="s">
        <v>148</v>
      </c>
      <c r="AW51" s="5"/>
    </row>
    <row r="52" spans="1:50" ht="42.75">
      <c r="A52" s="318" t="s">
        <v>130</v>
      </c>
      <c r="B52" s="262" t="s">
        <v>131</v>
      </c>
      <c r="C52" s="262" t="s">
        <v>175</v>
      </c>
      <c r="D52" s="277" t="s">
        <v>342</v>
      </c>
      <c r="E52" s="262" t="s">
        <v>164</v>
      </c>
      <c r="F52" s="264" t="s">
        <v>343</v>
      </c>
      <c r="G52" s="264" t="s">
        <v>136</v>
      </c>
      <c r="H52" s="259" t="s">
        <v>204</v>
      </c>
      <c r="I52" s="262" t="s">
        <v>260</v>
      </c>
      <c r="J52" s="262" t="s">
        <v>4</v>
      </c>
      <c r="K52" s="262"/>
      <c r="L52" s="262"/>
      <c r="M52" s="266" t="s">
        <v>206</v>
      </c>
      <c r="N52" s="262" t="s">
        <v>47</v>
      </c>
      <c r="O52" t="s">
        <v>305</v>
      </c>
      <c r="P52" s="262" t="s">
        <v>45</v>
      </c>
      <c r="Q52" s="262" t="s">
        <v>143</v>
      </c>
      <c r="R52" s="262" t="s">
        <v>179</v>
      </c>
      <c r="S52" s="261" t="e">
        <f>VLOOKUP(Tabla_query__2[[#This Row],[Requerimiento]],'A1 TD'!A3:D35,4,FALSE)</f>
        <v>#N/A</v>
      </c>
      <c r="T52" s="589" t="s">
        <v>145</v>
      </c>
      <c r="U52" s="261" t="s">
        <v>344</v>
      </c>
      <c r="V52" s="261" t="s">
        <v>136</v>
      </c>
      <c r="W52" s="261">
        <v>1</v>
      </c>
      <c r="X52" s="261">
        <v>10</v>
      </c>
      <c r="Y52" s="261">
        <f>Tabla_query__2[[#This Row],[Número
Semanas]]*5*8</f>
        <v>400</v>
      </c>
      <c r="Z52" s="268">
        <f>Tabla_query__2[[#This Row],[TOTAL]]/Tabla_query__2[[#This Row],[Número de Horas]]/2</f>
        <v>7.6749999999999998</v>
      </c>
      <c r="AA52" s="261">
        <v>1</v>
      </c>
      <c r="AB52" s="261">
        <v>550</v>
      </c>
      <c r="AC52" s="261"/>
      <c r="AD52" s="387">
        <f>(Tabla_query__2[[#This Row],[Número
Semanas]]*Tabla_query__2[[#This Row],[Número
Personas]]*Tabla_query__2[[#This Row],[Costo
Mano Obra/semana]]+640)*Tabla_query__2[[#This Row],[Factor País]]</f>
        <v>6140</v>
      </c>
      <c r="AE52" s="261"/>
      <c r="AF52" s="276"/>
      <c r="AG52" s="547" t="s">
        <v>211</v>
      </c>
      <c r="AH52" s="458">
        <v>45362</v>
      </c>
      <c r="AI52" s="458">
        <v>45418</v>
      </c>
      <c r="AJ52" s="462">
        <f>Tabla_query__2[[#This Row],[FinDes]]-Tabla_query__2[[#This Row],[InicioDes]]</f>
        <v>56</v>
      </c>
      <c r="AK52" s="458">
        <v>45418</v>
      </c>
      <c r="AL52" s="458">
        <v>45432</v>
      </c>
      <c r="AM52" s="462">
        <f t="shared" si="2"/>
        <v>363358</v>
      </c>
      <c r="AN52" s="458">
        <v>45432</v>
      </c>
      <c r="AO52" s="458">
        <v>45446</v>
      </c>
      <c r="AP52" s="281">
        <v>45383</v>
      </c>
      <c r="AQ52" s="281">
        <f>Tabla_query__2[[#This Row],[Inicio Real]]+((Tabla_query__2[[#This Row],[Número
Semanas]]*7))+10</f>
        <v>45463</v>
      </c>
      <c r="AR52" s="462">
        <f>Tabla_query__2[[#This Row],[Número
Semanas]]/4</f>
        <v>2.5</v>
      </c>
      <c r="AS52" s="576">
        <f>Tabla_query__2[[#This Row],[FinDes2]]-Tabla_query__2[[#This Row],[InicioDes2]]</f>
        <v>14</v>
      </c>
      <c r="AT52" s="261" t="s">
        <v>155</v>
      </c>
      <c r="AV52" s="434" t="s">
        <v>148</v>
      </c>
      <c r="AW52" s="407" t="s">
        <v>345</v>
      </c>
      <c r="AX52" s="329" t="s">
        <v>346</v>
      </c>
    </row>
    <row r="53" spans="1:50">
      <c r="A53" s="318" t="s">
        <v>130</v>
      </c>
      <c r="B53" s="262" t="s">
        <v>131</v>
      </c>
      <c r="C53" s="262" t="s">
        <v>301</v>
      </c>
      <c r="D53" s="262" t="s">
        <v>347</v>
      </c>
      <c r="E53" s="262" t="s">
        <v>348</v>
      </c>
      <c r="F53" s="262" t="s">
        <v>349</v>
      </c>
      <c r="G53" s="262" t="s">
        <v>210</v>
      </c>
      <c r="H53" s="262" t="s">
        <v>204</v>
      </c>
      <c r="I53" s="262" t="s">
        <v>260</v>
      </c>
      <c r="J53" s="262" t="s">
        <v>4</v>
      </c>
      <c r="K53" s="262"/>
      <c r="L53" s="262"/>
      <c r="M53" s="266" t="s">
        <v>206</v>
      </c>
      <c r="N53" s="262" t="s">
        <v>47</v>
      </c>
      <c r="O53" t="s">
        <v>305</v>
      </c>
      <c r="P53" s="262" t="s">
        <v>45</v>
      </c>
      <c r="Q53" s="262" t="s">
        <v>143</v>
      </c>
      <c r="R53" s="262" t="s">
        <v>144</v>
      </c>
      <c r="S53" s="261" t="e">
        <f>VLOOKUP(Tabla_query__2[[#This Row],[Requerimiento]],'A1 TD'!A19:D51,4,FALSE)</f>
        <v>#N/A</v>
      </c>
      <c r="T53" s="591" t="s">
        <v>221</v>
      </c>
      <c r="U53" s="261" t="s">
        <v>350</v>
      </c>
      <c r="V53" s="261" t="s">
        <v>210</v>
      </c>
      <c r="W53" s="261"/>
      <c r="X53" s="261">
        <v>2</v>
      </c>
      <c r="Y53" s="261">
        <f>Tabla_query__2[[#This Row],[Número
Semanas]]*5*8</f>
        <v>80</v>
      </c>
      <c r="Z53" s="268">
        <f>Tabla_query__2[[#This Row],[TOTAL]]/Tabla_query__2[[#This Row],[Número de Horas]]/2</f>
        <v>6.875</v>
      </c>
      <c r="AA53" s="261">
        <v>1</v>
      </c>
      <c r="AB53" s="261">
        <v>550</v>
      </c>
      <c r="AC53" s="261"/>
      <c r="AD53" s="268">
        <f>Tabla_query__2[[#This Row],[Número
Semanas]]*Tabla_query__2[[#This Row],[Número
Personas]]*Tabla_query__2[[#This Row],[Costo
Mano Obra/semana]]</f>
        <v>1100</v>
      </c>
      <c r="AE53" s="261"/>
      <c r="AF53" s="261"/>
      <c r="AG53" s="430" t="s">
        <v>147</v>
      </c>
      <c r="AH53" s="541">
        <v>45523</v>
      </c>
      <c r="AI53" s="541">
        <v>45523</v>
      </c>
      <c r="AJ53" s="541">
        <f>Tabla_query__2[[#This Row],[FinDes]]-Tabla_query__2[[#This Row],[InicioDes]]</f>
        <v>0</v>
      </c>
      <c r="AK53" s="541">
        <v>45523</v>
      </c>
      <c r="AL53" s="541">
        <v>45530</v>
      </c>
      <c r="AM53" s="541">
        <f t="shared" si="2"/>
        <v>364191</v>
      </c>
      <c r="AN53" s="541">
        <v>45530</v>
      </c>
      <c r="AO53" s="541">
        <v>45537</v>
      </c>
      <c r="AP53" s="541">
        <v>45505</v>
      </c>
      <c r="AQ53" s="541">
        <f>Tabla_query__2[[#This Row],[Inicio Real]]+(Tabla_query__2[[#This Row],[Número
Semanas]]*7)</f>
        <v>45519</v>
      </c>
      <c r="AR53" s="541">
        <f>Tabla_query__2[[#This Row],[Número
Semanas]]/4</f>
        <v>0.5</v>
      </c>
      <c r="AS53" s="541">
        <f>Tabla_query__2[[#This Row],[FinDes2]]-Tabla_query__2[[#This Row],[InicioDes2]]</f>
        <v>7</v>
      </c>
      <c r="AT53" s="541" t="s">
        <v>315</v>
      </c>
      <c r="AV53" s="434" t="s">
        <v>148</v>
      </c>
    </row>
    <row r="54" spans="1:50" ht="81.400000000000006">
      <c r="A54" s="318" t="s">
        <v>130</v>
      </c>
      <c r="B54" s="262" t="s">
        <v>131</v>
      </c>
      <c r="C54" s="262" t="s">
        <v>175</v>
      </c>
      <c r="D54" s="262" t="s">
        <v>351</v>
      </c>
      <c r="E54" s="262" t="s">
        <v>164</v>
      </c>
      <c r="F54" s="259" t="s">
        <v>352</v>
      </c>
      <c r="G54" s="259" t="s">
        <v>146</v>
      </c>
      <c r="H54" s="259" t="s">
        <v>204</v>
      </c>
      <c r="I54" s="262" t="s">
        <v>260</v>
      </c>
      <c r="J54" s="262" t="s">
        <v>4</v>
      </c>
      <c r="K54" s="262"/>
      <c r="L54" s="262"/>
      <c r="M54" s="266" t="s">
        <v>206</v>
      </c>
      <c r="N54" s="262" t="s">
        <v>47</v>
      </c>
      <c r="O54" t="s">
        <v>305</v>
      </c>
      <c r="P54" s="262" t="s">
        <v>45</v>
      </c>
      <c r="Q54" s="262" t="s">
        <v>143</v>
      </c>
      <c r="R54" s="262" t="s">
        <v>144</v>
      </c>
      <c r="S54" s="261" t="e">
        <f>VLOOKUP(Tabla_query__2[[#This Row],[Requerimiento]],'A1 TD'!A17:D49,4,FALSE)</f>
        <v>#N/A</v>
      </c>
      <c r="T54" s="591" t="s">
        <v>221</v>
      </c>
      <c r="U54" s="261" t="s">
        <v>353</v>
      </c>
      <c r="V54" s="261" t="s">
        <v>146</v>
      </c>
      <c r="W54" s="261">
        <v>1</v>
      </c>
      <c r="X54" s="261">
        <v>6</v>
      </c>
      <c r="Y54" s="261">
        <f>Tabla_query__2[[#This Row],[Número
Semanas]]*5*8</f>
        <v>240</v>
      </c>
      <c r="Z54" s="268">
        <f>Tabla_query__2[[#This Row],[TOTAL]]/Tabla_query__2[[#This Row],[Número de Horas]]/2</f>
        <v>8.2083333333333339</v>
      </c>
      <c r="AA54" s="261">
        <v>1</v>
      </c>
      <c r="AB54" s="261">
        <v>550</v>
      </c>
      <c r="AC54" s="261"/>
      <c r="AD54" s="387">
        <f>(Tabla_query__2[[#This Row],[Número
Semanas]]*Tabla_query__2[[#This Row],[Número
Personas]]*Tabla_query__2[[#This Row],[Costo
Mano Obra/semana]]+640)*Tabla_query__2[[#This Row],[Factor País]]</f>
        <v>3940</v>
      </c>
      <c r="AE54" s="261"/>
      <c r="AF54" s="261"/>
      <c r="AG54" s="430" t="s">
        <v>159</v>
      </c>
      <c r="AH54" s="465">
        <v>45495</v>
      </c>
      <c r="AI54" s="283">
        <v>45523</v>
      </c>
      <c r="AJ54" s="462">
        <f>Tabla_query__2[[#This Row],[FinDes]]-Tabla_query__2[[#This Row],[InicioDes]]</f>
        <v>28</v>
      </c>
      <c r="AK54" s="283">
        <v>45523</v>
      </c>
      <c r="AL54" s="283">
        <v>45530</v>
      </c>
      <c r="AM54" s="462">
        <f t="shared" si="2"/>
        <v>364191</v>
      </c>
      <c r="AN54" s="283">
        <v>45530</v>
      </c>
      <c r="AO54" s="283">
        <v>45537</v>
      </c>
      <c r="AP54" s="320">
        <v>45474</v>
      </c>
      <c r="AQ54" s="281">
        <f>Tabla_query__2[[#This Row],[Inicio Real]]+(Tabla_query__2[[#This Row],[Número
Semanas]]*7)</f>
        <v>45516</v>
      </c>
      <c r="AR54" s="462">
        <f>Tabla_query__2[[#This Row],[Número
Semanas]]/4</f>
        <v>1.5</v>
      </c>
      <c r="AS54" s="269">
        <f>Tabla_query__2[[#This Row],[FinDes2]]-Tabla_query__2[[#This Row],[InicioDes2]]</f>
        <v>7</v>
      </c>
      <c r="AT54" s="261" t="s">
        <v>155</v>
      </c>
      <c r="AV54" s="435" t="s">
        <v>148</v>
      </c>
    </row>
    <row r="55" spans="1:50" ht="81.400000000000006">
      <c r="A55" s="318" t="s">
        <v>130</v>
      </c>
      <c r="B55" s="262" t="s">
        <v>131</v>
      </c>
      <c r="C55" s="262" t="s">
        <v>175</v>
      </c>
      <c r="D55" s="262" t="s">
        <v>351</v>
      </c>
      <c r="E55" s="262" t="s">
        <v>164</v>
      </c>
      <c r="F55" s="259" t="s">
        <v>352</v>
      </c>
      <c r="G55" s="259" t="s">
        <v>146</v>
      </c>
      <c r="H55" s="265" t="s">
        <v>137</v>
      </c>
      <c r="I55" s="262" t="s">
        <v>260</v>
      </c>
      <c r="J55" s="262" t="s">
        <v>4</v>
      </c>
      <c r="K55" s="262"/>
      <c r="L55" s="262"/>
      <c r="M55" s="266" t="s">
        <v>330</v>
      </c>
      <c r="N55" s="262" t="s">
        <v>47</v>
      </c>
      <c r="O55" t="s">
        <v>305</v>
      </c>
      <c r="P55" s="262" t="s">
        <v>45</v>
      </c>
      <c r="Q55" s="262" t="s">
        <v>143</v>
      </c>
      <c r="R55" s="262" t="s">
        <v>144</v>
      </c>
      <c r="S55" s="261" t="e">
        <f>VLOOKUP(Tabla_query__2[[#This Row],[Requerimiento]],'A1 TD'!A15:D47,4,FALSE)</f>
        <v>#N/A</v>
      </c>
      <c r="T55" s="591" t="s">
        <v>320</v>
      </c>
      <c r="U55" s="261" t="s">
        <v>353</v>
      </c>
      <c r="V55" s="261" t="s">
        <v>146</v>
      </c>
      <c r="W55" s="261">
        <v>1</v>
      </c>
      <c r="X55" s="261">
        <v>3</v>
      </c>
      <c r="Y55" s="261">
        <f>Tabla_query__2[[#This Row],[Número
Semanas]]*5*8</f>
        <v>120</v>
      </c>
      <c r="Z55" s="268">
        <f>Tabla_query__2[[#This Row],[TOTAL]]/Tabla_query__2[[#This Row],[Número de Horas]]/2</f>
        <v>9.5416666666666661</v>
      </c>
      <c r="AA55" s="261">
        <v>1</v>
      </c>
      <c r="AB55" s="261">
        <v>550</v>
      </c>
      <c r="AC55" s="261"/>
      <c r="AD55" s="387">
        <f>(Tabla_query__2[[#This Row],[Número
Semanas]]*Tabla_query__2[[#This Row],[Número
Personas]]*Tabla_query__2[[#This Row],[Costo
Mano Obra/semana]]+640)*Tabla_query__2[[#This Row],[Factor País]]</f>
        <v>2290</v>
      </c>
      <c r="AE55" s="261"/>
      <c r="AF55" s="261"/>
      <c r="AG55" s="547" t="s">
        <v>322</v>
      </c>
      <c r="AH55" s="465">
        <v>45537</v>
      </c>
      <c r="AI55" s="541">
        <v>45544</v>
      </c>
      <c r="AJ55" s="463">
        <f>Tabla_query__2[[#This Row],[FinDes]]-Tabla_query__2[[#This Row],[InicioDes]]</f>
        <v>7</v>
      </c>
      <c r="AK55" s="541">
        <v>45544</v>
      </c>
      <c r="AL55" s="541">
        <v>45551</v>
      </c>
      <c r="AM55" s="463">
        <f t="shared" si="2"/>
        <v>364359</v>
      </c>
      <c r="AN55" s="541">
        <v>45551</v>
      </c>
      <c r="AO55" s="541">
        <v>45558</v>
      </c>
      <c r="AP55" s="463">
        <v>45566</v>
      </c>
      <c r="AQ55" s="463">
        <f>Tabla_query__2[[#This Row],[Inicio Real]]+(Tabla_query__2[[#This Row],[Número
Semanas]]*7)</f>
        <v>45587</v>
      </c>
      <c r="AR55" s="463">
        <f>Tabla_query__2[[#This Row],[Número
Semanas]]/4</f>
        <v>0.75</v>
      </c>
      <c r="AS55" s="463">
        <f>Tabla_query__2[[#This Row],[FinDes2]]-Tabla_query__2[[#This Row],[InicioDes2]]</f>
        <v>7</v>
      </c>
      <c r="AT55" s="463" t="s">
        <v>155</v>
      </c>
      <c r="AU55" s="463"/>
      <c r="AV55" s="463" t="s">
        <v>148</v>
      </c>
    </row>
    <row r="56" spans="1:50" ht="25.5" customHeight="1">
      <c r="A56" s="318" t="s">
        <v>130</v>
      </c>
      <c r="B56" s="262" t="s">
        <v>131</v>
      </c>
      <c r="C56" s="262" t="s">
        <v>175</v>
      </c>
      <c r="D56" s="277" t="s">
        <v>351</v>
      </c>
      <c r="E56" s="262" t="s">
        <v>164</v>
      </c>
      <c r="F56" s="259" t="s">
        <v>352</v>
      </c>
      <c r="G56" s="259" t="s">
        <v>146</v>
      </c>
      <c r="H56" s="265" t="s">
        <v>137</v>
      </c>
      <c r="I56" s="262" t="s">
        <v>260</v>
      </c>
      <c r="J56" s="262" t="s">
        <v>4</v>
      </c>
      <c r="K56" s="262"/>
      <c r="L56" s="262"/>
      <c r="M56" s="266" t="s">
        <v>140</v>
      </c>
      <c r="N56" s="262" t="s">
        <v>47</v>
      </c>
      <c r="O56" t="s">
        <v>305</v>
      </c>
      <c r="P56" s="262" t="s">
        <v>45</v>
      </c>
      <c r="Q56" s="262" t="s">
        <v>143</v>
      </c>
      <c r="R56" s="262" t="s">
        <v>144</v>
      </c>
      <c r="S56" s="261" t="e">
        <f>VLOOKUP(Tabla_query__2[[#This Row],[Requerimiento]],'A1 TD'!A13:D45,4,FALSE)</f>
        <v>#N/A</v>
      </c>
      <c r="T56" s="591" t="s">
        <v>320</v>
      </c>
      <c r="U56" s="261" t="s">
        <v>353</v>
      </c>
      <c r="V56" s="261" t="s">
        <v>146</v>
      </c>
      <c r="W56" s="261">
        <v>1</v>
      </c>
      <c r="X56" s="261">
        <v>3</v>
      </c>
      <c r="Y56" s="261">
        <f>Tabla_query__2[[#This Row],[Número
Semanas]]*5*8</f>
        <v>120</v>
      </c>
      <c r="Z56" s="268">
        <f>Tabla_query__2[[#This Row],[TOTAL]]/Tabla_query__2[[#This Row],[Número de Horas]]/2</f>
        <v>9.5416666666666661</v>
      </c>
      <c r="AA56" s="261">
        <v>1</v>
      </c>
      <c r="AB56" s="261">
        <v>550</v>
      </c>
      <c r="AC56" s="261"/>
      <c r="AD56" s="387">
        <f>(Tabla_query__2[[#This Row],[Número
Semanas]]*Tabla_query__2[[#This Row],[Número
Personas]]*Tabla_query__2[[#This Row],[Costo
Mano Obra/semana]]+640)*Tabla_query__2[[#This Row],[Factor País]]</f>
        <v>2290</v>
      </c>
      <c r="AE56" s="261"/>
      <c r="AF56" s="261"/>
      <c r="AG56" s="547" t="s">
        <v>322</v>
      </c>
      <c r="AH56" s="464">
        <v>45502</v>
      </c>
      <c r="AI56" s="320">
        <v>45509</v>
      </c>
      <c r="AJ56" s="462">
        <f>Tabla_query__2[[#This Row],[FinDes]]-Tabla_query__2[[#This Row],[InicioDes]]</f>
        <v>7</v>
      </c>
      <c r="AK56" s="320">
        <v>45509</v>
      </c>
      <c r="AL56" s="320">
        <v>45516</v>
      </c>
      <c r="AM56" s="462">
        <f t="shared" si="2"/>
        <v>364079</v>
      </c>
      <c r="AN56" s="320">
        <v>45516</v>
      </c>
      <c r="AO56" s="320">
        <v>45523</v>
      </c>
      <c r="AP56" s="320">
        <v>45566</v>
      </c>
      <c r="AQ56" s="281">
        <f>Tabla_query__2[[#This Row],[Inicio Real]]+(Tabla_query__2[[#This Row],[Número
Semanas]]*7)</f>
        <v>45587</v>
      </c>
      <c r="AR56" s="462">
        <f>Tabla_query__2[[#This Row],[Número
Semanas]]/4</f>
        <v>0.75</v>
      </c>
      <c r="AS56" s="269">
        <f>Tabla_query__2[[#This Row],[FinDes2]]-Tabla_query__2[[#This Row],[InicioDes2]]</f>
        <v>7</v>
      </c>
      <c r="AT56" s="261" t="s">
        <v>155</v>
      </c>
      <c r="AV56" s="445" t="s">
        <v>148</v>
      </c>
    </row>
    <row r="57" spans="1:50" ht="20.25" customHeight="1">
      <c r="A57" s="318" t="s">
        <v>130</v>
      </c>
      <c r="B57" s="262" t="s">
        <v>131</v>
      </c>
      <c r="C57" s="262" t="s">
        <v>175</v>
      </c>
      <c r="D57" s="262" t="s">
        <v>351</v>
      </c>
      <c r="E57" s="262" t="s">
        <v>164</v>
      </c>
      <c r="F57" s="259" t="s">
        <v>352</v>
      </c>
      <c r="G57" s="259" t="s">
        <v>146</v>
      </c>
      <c r="H57" s="265" t="s">
        <v>137</v>
      </c>
      <c r="I57" s="262" t="s">
        <v>260</v>
      </c>
      <c r="J57" s="262" t="s">
        <v>4</v>
      </c>
      <c r="K57" s="262"/>
      <c r="L57" s="262"/>
      <c r="M57" s="266" t="s">
        <v>328</v>
      </c>
      <c r="N57" s="262" t="s">
        <v>47</v>
      </c>
      <c r="O57" t="s">
        <v>305</v>
      </c>
      <c r="P57" s="262" t="s">
        <v>45</v>
      </c>
      <c r="Q57" s="262" t="s">
        <v>143</v>
      </c>
      <c r="R57" s="262" t="s">
        <v>144</v>
      </c>
      <c r="S57" s="261" t="e">
        <f>VLOOKUP(Tabla_query__2[[#This Row],[Requerimiento]],'A1 TD'!A16:D48,4,FALSE)</f>
        <v>#N/A</v>
      </c>
      <c r="T57" s="591" t="s">
        <v>320</v>
      </c>
      <c r="U57" s="261" t="s">
        <v>353</v>
      </c>
      <c r="V57" s="261" t="s">
        <v>146</v>
      </c>
      <c r="W57" s="261">
        <v>1</v>
      </c>
      <c r="X57" s="261">
        <v>3</v>
      </c>
      <c r="Y57" s="261">
        <f>Tabla_query__2[[#This Row],[Número
Semanas]]*5*8</f>
        <v>120</v>
      </c>
      <c r="Z57" s="268">
        <f>Tabla_query__2[[#This Row],[TOTAL]]/Tabla_query__2[[#This Row],[Número de Horas]]/2</f>
        <v>9.5416666666666661</v>
      </c>
      <c r="AA57" s="261">
        <v>1</v>
      </c>
      <c r="AB57" s="261">
        <v>550</v>
      </c>
      <c r="AC57" s="261"/>
      <c r="AD57" s="387">
        <f>(Tabla_query__2[[#This Row],[Número
Semanas]]*Tabla_query__2[[#This Row],[Número
Personas]]*Tabla_query__2[[#This Row],[Costo
Mano Obra/semana]]+640)*Tabla_query__2[[#This Row],[Factor País]]</f>
        <v>2290</v>
      </c>
      <c r="AE57" s="261"/>
      <c r="AF57" s="261"/>
      <c r="AG57" s="547" t="s">
        <v>322</v>
      </c>
      <c r="AH57" s="464">
        <v>45537</v>
      </c>
      <c r="AI57" s="463">
        <v>45544</v>
      </c>
      <c r="AJ57" s="463">
        <f>Tabla_query__2[[#This Row],[FinDes]]-Tabla_query__2[[#This Row],[InicioDes]]</f>
        <v>7</v>
      </c>
      <c r="AK57" s="463">
        <v>45544</v>
      </c>
      <c r="AL57" s="463">
        <v>45551</v>
      </c>
      <c r="AM57" s="463">
        <f t="shared" si="2"/>
        <v>364359</v>
      </c>
      <c r="AN57" s="463">
        <v>45551</v>
      </c>
      <c r="AO57" s="463">
        <v>45558</v>
      </c>
      <c r="AP57" s="463">
        <v>45566</v>
      </c>
      <c r="AQ57" s="463">
        <f>Tabla_query__2[[#This Row],[Inicio Real]]+(Tabla_query__2[[#This Row],[Número
Semanas]]*7)</f>
        <v>45587</v>
      </c>
      <c r="AR57" s="463">
        <f>Tabla_query__2[[#This Row],[Número
Semanas]]/4</f>
        <v>0.75</v>
      </c>
      <c r="AS57" s="463">
        <f>Tabla_query__2[[#This Row],[FinDes2]]-Tabla_query__2[[#This Row],[InicioDes2]]</f>
        <v>7</v>
      </c>
      <c r="AT57" s="463" t="s">
        <v>155</v>
      </c>
      <c r="AV57" s="438" t="s">
        <v>148</v>
      </c>
    </row>
    <row r="58" spans="1:50" ht="60" customHeight="1">
      <c r="A58" s="318" t="s">
        <v>130</v>
      </c>
      <c r="B58" s="262" t="s">
        <v>131</v>
      </c>
      <c r="C58" s="262" t="s">
        <v>175</v>
      </c>
      <c r="D58" s="262" t="s">
        <v>351</v>
      </c>
      <c r="E58" s="262" t="s">
        <v>164</v>
      </c>
      <c r="F58" s="259" t="s">
        <v>352</v>
      </c>
      <c r="G58" s="259" t="s">
        <v>146</v>
      </c>
      <c r="H58" s="265" t="s">
        <v>137</v>
      </c>
      <c r="I58" s="262" t="s">
        <v>260</v>
      </c>
      <c r="J58" s="262" t="s">
        <v>4</v>
      </c>
      <c r="K58" s="262"/>
      <c r="L58" s="262"/>
      <c r="M58" s="266" t="s">
        <v>329</v>
      </c>
      <c r="N58" s="262" t="s">
        <v>47</v>
      </c>
      <c r="O58" t="s">
        <v>305</v>
      </c>
      <c r="P58" s="262" t="s">
        <v>45</v>
      </c>
      <c r="Q58" s="262" t="s">
        <v>143</v>
      </c>
      <c r="R58" s="262" t="s">
        <v>144</v>
      </c>
      <c r="S58" s="261" t="e">
        <f>VLOOKUP(Tabla_query__2[[#This Row],[Requerimiento]],'A1 TD'!A14:D46,4,FALSE)</f>
        <v>#N/A</v>
      </c>
      <c r="T58" s="591" t="s">
        <v>320</v>
      </c>
      <c r="U58" s="261" t="s">
        <v>353</v>
      </c>
      <c r="V58" s="261" t="s">
        <v>146</v>
      </c>
      <c r="W58" s="261">
        <v>1</v>
      </c>
      <c r="X58" s="261">
        <v>5</v>
      </c>
      <c r="Y58" s="261">
        <f>Tabla_query__2[[#This Row],[Número
Semanas]]*5*8</f>
        <v>200</v>
      </c>
      <c r="Z58" s="268">
        <f>Tabla_query__2[[#This Row],[TOTAL]]/Tabla_query__2[[#This Row],[Número de Horas]]/2</f>
        <v>8.4749999999999996</v>
      </c>
      <c r="AA58" s="261">
        <v>1</v>
      </c>
      <c r="AB58" s="261">
        <v>550</v>
      </c>
      <c r="AC58" s="261"/>
      <c r="AD58" s="387">
        <f>(Tabla_query__2[[#This Row],[Número
Semanas]]*Tabla_query__2[[#This Row],[Número
Personas]]*Tabla_query__2[[#This Row],[Costo
Mano Obra/semana]]+640)*Tabla_query__2[[#This Row],[Factor País]]</f>
        <v>3390</v>
      </c>
      <c r="AE58" s="261"/>
      <c r="AF58" s="261"/>
      <c r="AG58" s="547" t="s">
        <v>354</v>
      </c>
      <c r="AH58" s="464">
        <v>45537</v>
      </c>
      <c r="AI58" s="320">
        <v>45544</v>
      </c>
      <c r="AJ58" s="462">
        <f>Tabla_query__2[[#This Row],[FinDes]]-Tabla_query__2[[#This Row],[InicioDes]]</f>
        <v>7</v>
      </c>
      <c r="AK58" s="320">
        <v>45544</v>
      </c>
      <c r="AL58" s="320">
        <v>45551</v>
      </c>
      <c r="AM58" s="462">
        <f t="shared" si="2"/>
        <v>364359</v>
      </c>
      <c r="AN58" s="320">
        <v>45551</v>
      </c>
      <c r="AO58" s="320">
        <v>45572</v>
      </c>
      <c r="AP58" s="320">
        <v>45536</v>
      </c>
      <c r="AQ58" s="281">
        <f>Tabla_query__2[[#This Row],[Inicio Real]]+(Tabla_query__2[[#This Row],[Número
Semanas]]*7)</f>
        <v>45571</v>
      </c>
      <c r="AR58" s="462">
        <f>Tabla_query__2[[#This Row],[Número
Semanas]]/4</f>
        <v>1.25</v>
      </c>
      <c r="AS58" s="269">
        <f>Tabla_query__2[[#This Row],[FinDes2]]-Tabla_query__2[[#This Row],[InicioDes2]]</f>
        <v>21</v>
      </c>
      <c r="AT58" s="261" t="s">
        <v>155</v>
      </c>
      <c r="AV58" s="440" t="s">
        <v>148</v>
      </c>
    </row>
    <row r="59" spans="1:50" ht="33.75" customHeight="1">
      <c r="A59" s="318" t="s">
        <v>130</v>
      </c>
      <c r="B59" s="262" t="s">
        <v>131</v>
      </c>
      <c r="C59" s="262" t="s">
        <v>175</v>
      </c>
      <c r="D59" s="262" t="s">
        <v>355</v>
      </c>
      <c r="E59" s="262" t="s">
        <v>310</v>
      </c>
      <c r="F59" s="259" t="s">
        <v>356</v>
      </c>
      <c r="G59" s="259" t="s">
        <v>210</v>
      </c>
      <c r="H59" s="259" t="s">
        <v>204</v>
      </c>
      <c r="I59" s="262" t="s">
        <v>260</v>
      </c>
      <c r="J59" s="262" t="s">
        <v>4</v>
      </c>
      <c r="K59" s="262"/>
      <c r="L59" s="262"/>
      <c r="M59" s="266" t="s">
        <v>206</v>
      </c>
      <c r="N59" s="262" t="s">
        <v>47</v>
      </c>
      <c r="O59" t="s">
        <v>305</v>
      </c>
      <c r="P59" s="262" t="s">
        <v>45</v>
      </c>
      <c r="Q59" s="262" t="s">
        <v>143</v>
      </c>
      <c r="R59" s="262" t="s">
        <v>144</v>
      </c>
      <c r="S59" s="261" t="e">
        <f>VLOOKUP(Tabla_query__2[[#This Row],[Requerimiento]],'A1 TD'!A11:D43,4,FALSE)</f>
        <v>#N/A</v>
      </c>
      <c r="T59" s="591" t="s">
        <v>221</v>
      </c>
      <c r="U59" s="261" t="s">
        <v>357</v>
      </c>
      <c r="V59" s="261" t="s">
        <v>146</v>
      </c>
      <c r="W59" s="261">
        <v>1</v>
      </c>
      <c r="X59" s="261">
        <v>4</v>
      </c>
      <c r="Y59" s="261">
        <f>Tabla_query__2[[#This Row],[Número
Semanas]]*5*8</f>
        <v>160</v>
      </c>
      <c r="Z59" s="268">
        <f>Tabla_query__2[[#This Row],[TOTAL]]/Tabla_query__2[[#This Row],[Número de Horas]]/2</f>
        <v>8.875</v>
      </c>
      <c r="AA59" s="261">
        <v>1</v>
      </c>
      <c r="AB59" s="261">
        <v>550</v>
      </c>
      <c r="AC59" s="261"/>
      <c r="AD59" s="387">
        <f>(Tabla_query__2[[#This Row],[Número
Semanas]]*Tabla_query__2[[#This Row],[Número
Personas]]*Tabla_query__2[[#This Row],[Costo
Mano Obra/semana]]+640)*Tabla_query__2[[#This Row],[Factor País]]</f>
        <v>2840</v>
      </c>
      <c r="AE59" s="261"/>
      <c r="AF59" s="261"/>
      <c r="AG59" s="547" t="s">
        <v>147</v>
      </c>
      <c r="AH59" s="464">
        <v>45509</v>
      </c>
      <c r="AI59" s="465">
        <v>45530</v>
      </c>
      <c r="AJ59" s="465">
        <f>Tabla_query__2[[#This Row],[FinDes]]-Tabla_query__2[[#This Row],[InicioDes]]</f>
        <v>21</v>
      </c>
      <c r="AK59" s="465">
        <v>45530</v>
      </c>
      <c r="AL59" s="465">
        <v>45537</v>
      </c>
      <c r="AM59" s="465">
        <f t="shared" si="2"/>
        <v>364247</v>
      </c>
      <c r="AN59" s="465">
        <v>45537</v>
      </c>
      <c r="AO59" s="465">
        <v>45544</v>
      </c>
      <c r="AP59" s="465">
        <v>45505</v>
      </c>
      <c r="AQ59" s="465">
        <f>Tabla_query__2[[#This Row],[Inicio Real]]+(Tabla_query__2[[#This Row],[Número
Semanas]]*7)</f>
        <v>45533</v>
      </c>
      <c r="AR59" s="465">
        <f>Tabla_query__2[[#This Row],[Número
Semanas]]/4</f>
        <v>1</v>
      </c>
      <c r="AS59" s="465">
        <f>Tabla_query__2[[#This Row],[FinDes2]]-Tabla_query__2[[#This Row],[InicioDes2]]</f>
        <v>7</v>
      </c>
      <c r="AT59" s="465" t="s">
        <v>155</v>
      </c>
      <c r="AU59" s="704"/>
      <c r="AV59" s="705" t="s">
        <v>148</v>
      </c>
    </row>
    <row r="60" spans="1:50" ht="20.25" customHeight="1">
      <c r="A60" s="318" t="s">
        <v>130</v>
      </c>
      <c r="B60" s="262" t="s">
        <v>131</v>
      </c>
      <c r="C60" s="262" t="s">
        <v>175</v>
      </c>
      <c r="D60" s="277" t="s">
        <v>355</v>
      </c>
      <c r="E60" s="262" t="s">
        <v>310</v>
      </c>
      <c r="F60" s="259" t="s">
        <v>356</v>
      </c>
      <c r="G60" s="259" t="s">
        <v>210</v>
      </c>
      <c r="H60" s="265" t="s">
        <v>137</v>
      </c>
      <c r="I60" s="262" t="s">
        <v>260</v>
      </c>
      <c r="J60" s="262" t="s">
        <v>4</v>
      </c>
      <c r="K60" s="262"/>
      <c r="L60" s="262"/>
      <c r="M60" s="266" t="s">
        <v>330</v>
      </c>
      <c r="N60" s="262" t="s">
        <v>47</v>
      </c>
      <c r="O60" t="s">
        <v>305</v>
      </c>
      <c r="P60" s="262" t="s">
        <v>45</v>
      </c>
      <c r="Q60" s="262" t="s">
        <v>143</v>
      </c>
      <c r="R60" s="262" t="s">
        <v>144</v>
      </c>
      <c r="S60" s="261" t="e">
        <f>VLOOKUP(Tabla_query__2[[#This Row],[Requerimiento]],'A1 TD'!A13:D45,4,FALSE)</f>
        <v>#N/A</v>
      </c>
      <c r="T60" s="591" t="s">
        <v>221</v>
      </c>
      <c r="U60" s="261" t="s">
        <v>357</v>
      </c>
      <c r="V60" s="261" t="s">
        <v>146</v>
      </c>
      <c r="W60" s="261">
        <v>1</v>
      </c>
      <c r="X60" s="261">
        <v>4</v>
      </c>
      <c r="Y60" s="261">
        <f>Tabla_query__2[[#This Row],[Número
Semanas]]*5*8</f>
        <v>160</v>
      </c>
      <c r="Z60" s="268">
        <f>Tabla_query__2[[#This Row],[TOTAL]]/Tabla_query__2[[#This Row],[Número de Horas]]/2</f>
        <v>8.875</v>
      </c>
      <c r="AA60" s="261">
        <v>1</v>
      </c>
      <c r="AB60" s="261">
        <v>550</v>
      </c>
      <c r="AC60" s="261"/>
      <c r="AD60" s="387">
        <f>(Tabla_query__2[[#This Row],[Número
Semanas]]*Tabla_query__2[[#This Row],[Número
Personas]]*Tabla_query__2[[#This Row],[Costo
Mano Obra/semana]]+640)*Tabla_query__2[[#This Row],[Factor País]]</f>
        <v>2840</v>
      </c>
      <c r="AE60" s="261"/>
      <c r="AF60" s="261"/>
      <c r="AG60" s="547" t="s">
        <v>147</v>
      </c>
      <c r="AH60" s="464">
        <v>45530</v>
      </c>
      <c r="AI60" s="320">
        <v>45544</v>
      </c>
      <c r="AJ60" s="462">
        <f>Tabla_query__2[[#This Row],[FinDes]]-Tabla_query__2[[#This Row],[InicioDes]]</f>
        <v>14</v>
      </c>
      <c r="AK60" s="320">
        <v>45544</v>
      </c>
      <c r="AL60" s="320">
        <v>45551</v>
      </c>
      <c r="AM60" s="462">
        <f t="shared" si="2"/>
        <v>364359</v>
      </c>
      <c r="AN60" s="320">
        <v>45551</v>
      </c>
      <c r="AO60" s="320">
        <v>45558</v>
      </c>
      <c r="AP60" s="456">
        <v>45505</v>
      </c>
      <c r="AQ60" s="281">
        <f>Tabla_query__2[[#This Row],[Inicio Real]]+(Tabla_query__2[[#This Row],[Número
Semanas]]*7)</f>
        <v>45533</v>
      </c>
      <c r="AR60" s="462">
        <f>Tabla_query__2[[#This Row],[Número
Semanas]]/4</f>
        <v>1</v>
      </c>
      <c r="AS60" s="269">
        <f>Tabla_query__2[[#This Row],[FinDes2]]-Tabla_query__2[[#This Row],[InicioDes2]]</f>
        <v>7</v>
      </c>
      <c r="AT60" s="261" t="s">
        <v>155</v>
      </c>
      <c r="AV60" s="445" t="s">
        <v>148</v>
      </c>
    </row>
    <row r="61" spans="1:50" ht="20.25" customHeight="1">
      <c r="A61" s="318" t="s">
        <v>130</v>
      </c>
      <c r="B61" s="262" t="s">
        <v>131</v>
      </c>
      <c r="C61" s="262" t="s">
        <v>175</v>
      </c>
      <c r="D61" s="262" t="s">
        <v>355</v>
      </c>
      <c r="E61" s="262" t="s">
        <v>310</v>
      </c>
      <c r="F61" s="259" t="s">
        <v>356</v>
      </c>
      <c r="G61" s="259" t="s">
        <v>210</v>
      </c>
      <c r="H61" s="265" t="s">
        <v>137</v>
      </c>
      <c r="I61" s="262" t="s">
        <v>260</v>
      </c>
      <c r="J61" s="262" t="s">
        <v>4</v>
      </c>
      <c r="K61" s="262"/>
      <c r="L61" s="262"/>
      <c r="M61" s="266" t="s">
        <v>140</v>
      </c>
      <c r="N61" s="262" t="s">
        <v>47</v>
      </c>
      <c r="O61" t="s">
        <v>305</v>
      </c>
      <c r="P61" s="262" t="s">
        <v>45</v>
      </c>
      <c r="Q61" s="262" t="s">
        <v>143</v>
      </c>
      <c r="R61" s="262" t="s">
        <v>144</v>
      </c>
      <c r="S61" s="261" t="e">
        <f>VLOOKUP(Tabla_query__2[[#This Row],[Requerimiento]],'A1 TD'!A15:D47,4,FALSE)</f>
        <v>#N/A</v>
      </c>
      <c r="T61" s="591" t="s">
        <v>221</v>
      </c>
      <c r="U61" s="261" t="s">
        <v>357</v>
      </c>
      <c r="V61" s="261" t="s">
        <v>146</v>
      </c>
      <c r="W61" s="261">
        <v>1</v>
      </c>
      <c r="X61" s="261">
        <v>4</v>
      </c>
      <c r="Y61" s="261">
        <f>Tabla_query__2[[#This Row],[Número
Semanas]]*5*8</f>
        <v>160</v>
      </c>
      <c r="Z61" s="268">
        <f>Tabla_query__2[[#This Row],[TOTAL]]/Tabla_query__2[[#This Row],[Número de Horas]]/2</f>
        <v>8.875</v>
      </c>
      <c r="AA61" s="261">
        <v>1</v>
      </c>
      <c r="AB61" s="261">
        <v>550</v>
      </c>
      <c r="AC61" s="261"/>
      <c r="AD61" s="387">
        <f>(Tabla_query__2[[#This Row],[Número
Semanas]]*Tabla_query__2[[#This Row],[Número
Personas]]*Tabla_query__2[[#This Row],[Costo
Mano Obra/semana]]+640)*Tabla_query__2[[#This Row],[Factor País]]</f>
        <v>2840</v>
      </c>
      <c r="AE61" s="261"/>
      <c r="AF61" s="261"/>
      <c r="AG61" s="547" t="s">
        <v>147</v>
      </c>
      <c r="AH61" s="464">
        <v>45530</v>
      </c>
      <c r="AI61" s="465">
        <v>45544</v>
      </c>
      <c r="AJ61" s="465">
        <f>Tabla_query__2[[#This Row],[FinDes]]-Tabla_query__2[[#This Row],[InicioDes]]</f>
        <v>14</v>
      </c>
      <c r="AK61" s="465">
        <v>45544</v>
      </c>
      <c r="AL61" s="465">
        <v>45551</v>
      </c>
      <c r="AM61" s="465">
        <f t="shared" si="2"/>
        <v>364359</v>
      </c>
      <c r="AN61" s="465">
        <v>45551</v>
      </c>
      <c r="AO61" s="465">
        <v>45558</v>
      </c>
      <c r="AP61" s="465">
        <v>45505</v>
      </c>
      <c r="AQ61" s="458">
        <f>Tabla_query__2[[#This Row],[Inicio Real]]+(Tabla_query__2[[#This Row],[Número
Semanas]]*7)</f>
        <v>45533</v>
      </c>
      <c r="AR61" s="702">
        <f>Tabla_query__2[[#This Row],[Número
Semanas]]/4</f>
        <v>1</v>
      </c>
      <c r="AS61" s="534">
        <f>Tabla_query__2[[#This Row],[FinDes2]]-Tabla_query__2[[#This Row],[InicioDes2]]</f>
        <v>7</v>
      </c>
      <c r="AT61" s="321" t="s">
        <v>155</v>
      </c>
      <c r="AV61" s="445" t="s">
        <v>148</v>
      </c>
    </row>
    <row r="62" spans="1:50" ht="22.5" customHeight="1">
      <c r="A62" s="318" t="s">
        <v>130</v>
      </c>
      <c r="B62" s="262" t="s">
        <v>131</v>
      </c>
      <c r="C62" s="262" t="s">
        <v>175</v>
      </c>
      <c r="D62" s="262" t="s">
        <v>355</v>
      </c>
      <c r="E62" s="262" t="s">
        <v>310</v>
      </c>
      <c r="F62" s="259" t="s">
        <v>356</v>
      </c>
      <c r="G62" s="259" t="s">
        <v>210</v>
      </c>
      <c r="H62" s="265" t="s">
        <v>137</v>
      </c>
      <c r="I62" s="262" t="s">
        <v>260</v>
      </c>
      <c r="J62" s="262" t="s">
        <v>4</v>
      </c>
      <c r="K62" s="262"/>
      <c r="L62" s="262"/>
      <c r="M62" s="266" t="s">
        <v>328</v>
      </c>
      <c r="N62" s="262" t="s">
        <v>47</v>
      </c>
      <c r="O62" t="s">
        <v>305</v>
      </c>
      <c r="P62" s="262" t="s">
        <v>45</v>
      </c>
      <c r="Q62" s="262" t="s">
        <v>143</v>
      </c>
      <c r="R62" s="262" t="s">
        <v>144</v>
      </c>
      <c r="S62" s="261" t="e">
        <f>VLOOKUP(Tabla_query__2[[#This Row],[Requerimiento]],'A1 TD'!A12:D44,4,FALSE)</f>
        <v>#N/A</v>
      </c>
      <c r="T62" s="591" t="s">
        <v>221</v>
      </c>
      <c r="U62" s="261" t="s">
        <v>357</v>
      </c>
      <c r="V62" s="261" t="s">
        <v>146</v>
      </c>
      <c r="W62" s="261">
        <v>1</v>
      </c>
      <c r="X62" s="261">
        <v>4</v>
      </c>
      <c r="Y62" s="261">
        <f>Tabla_query__2[[#This Row],[Número
Semanas]]*5*8</f>
        <v>160</v>
      </c>
      <c r="Z62" s="268">
        <f>Tabla_query__2[[#This Row],[TOTAL]]/Tabla_query__2[[#This Row],[Número de Horas]]/2</f>
        <v>8.875</v>
      </c>
      <c r="AA62" s="261">
        <v>1</v>
      </c>
      <c r="AB62" s="261">
        <v>550</v>
      </c>
      <c r="AC62" s="261"/>
      <c r="AD62" s="387">
        <f>(Tabla_query__2[[#This Row],[Número
Semanas]]*Tabla_query__2[[#This Row],[Número
Personas]]*Tabla_query__2[[#This Row],[Costo
Mano Obra/semana]]+640)*Tabla_query__2[[#This Row],[Factor País]]</f>
        <v>2840</v>
      </c>
      <c r="AE62" s="261"/>
      <c r="AF62" s="261"/>
      <c r="AG62" s="547" t="s">
        <v>147</v>
      </c>
      <c r="AH62" s="464">
        <v>45530</v>
      </c>
      <c r="AI62" s="320">
        <v>45544</v>
      </c>
      <c r="AJ62" s="462">
        <f>Tabla_query__2[[#This Row],[FinDes]]-Tabla_query__2[[#This Row],[InicioDes]]</f>
        <v>14</v>
      </c>
      <c r="AK62" s="320">
        <v>45544</v>
      </c>
      <c r="AL62" s="320">
        <v>45551</v>
      </c>
      <c r="AM62" s="462">
        <f t="shared" si="2"/>
        <v>364359</v>
      </c>
      <c r="AN62" s="320">
        <v>45551</v>
      </c>
      <c r="AO62" s="320">
        <v>45558</v>
      </c>
      <c r="AP62" s="456">
        <v>45505</v>
      </c>
      <c r="AQ62" s="281">
        <f>Tabla_query__2[[#This Row],[Inicio Real]]+(Tabla_query__2[[#This Row],[Número
Semanas]]*7)</f>
        <v>45533</v>
      </c>
      <c r="AR62" s="462">
        <f>Tabla_query__2[[#This Row],[Número
Semanas]]/4</f>
        <v>1</v>
      </c>
      <c r="AS62" s="269">
        <f>Tabla_query__2[[#This Row],[FinDes2]]-Tabla_query__2[[#This Row],[InicioDes2]]</f>
        <v>7</v>
      </c>
      <c r="AT62" s="261" t="s">
        <v>155</v>
      </c>
      <c r="AV62" s="438" t="s">
        <v>148</v>
      </c>
    </row>
    <row r="63" spans="1:50" ht="139.5">
      <c r="A63" s="318" t="s">
        <v>130</v>
      </c>
      <c r="B63" s="262" t="s">
        <v>131</v>
      </c>
      <c r="C63" s="262" t="s">
        <v>175</v>
      </c>
      <c r="D63" s="262" t="s">
        <v>355</v>
      </c>
      <c r="E63" s="262" t="s">
        <v>310</v>
      </c>
      <c r="F63" s="259" t="s">
        <v>356</v>
      </c>
      <c r="G63" s="259" t="s">
        <v>210</v>
      </c>
      <c r="H63" s="265" t="s">
        <v>137</v>
      </c>
      <c r="I63" s="262" t="s">
        <v>260</v>
      </c>
      <c r="J63" s="262" t="s">
        <v>4</v>
      </c>
      <c r="K63" s="262"/>
      <c r="L63" s="262"/>
      <c r="M63" s="266" t="s">
        <v>329</v>
      </c>
      <c r="N63" s="262" t="s">
        <v>47</v>
      </c>
      <c r="O63" t="s">
        <v>305</v>
      </c>
      <c r="P63" s="262" t="s">
        <v>45</v>
      </c>
      <c r="Q63" s="262" t="s">
        <v>143</v>
      </c>
      <c r="R63" s="262" t="s">
        <v>144</v>
      </c>
      <c r="S63" s="261" t="e">
        <f>VLOOKUP(Tabla_query__2[[#This Row],[Requerimiento]],'A1 TD'!A14:D46,4,FALSE)</f>
        <v>#N/A</v>
      </c>
      <c r="T63" s="591" t="s">
        <v>221</v>
      </c>
      <c r="U63" s="261" t="s">
        <v>357</v>
      </c>
      <c r="V63" s="261" t="s">
        <v>146</v>
      </c>
      <c r="W63" s="261">
        <v>1</v>
      </c>
      <c r="X63" s="261">
        <v>6</v>
      </c>
      <c r="Y63" s="261">
        <f>Tabla_query__2[[#This Row],[Número
Semanas]]*5*8</f>
        <v>240</v>
      </c>
      <c r="Z63" s="268">
        <f>Tabla_query__2[[#This Row],[TOTAL]]/Tabla_query__2[[#This Row],[Número de Horas]]/2</f>
        <v>8.2083333333333339</v>
      </c>
      <c r="AA63" s="261">
        <v>1</v>
      </c>
      <c r="AB63" s="261">
        <v>550</v>
      </c>
      <c r="AC63" s="261"/>
      <c r="AD63" s="387">
        <f>(Tabla_query__2[[#This Row],[Número
Semanas]]*Tabla_query__2[[#This Row],[Número
Personas]]*Tabla_query__2[[#This Row],[Costo
Mano Obra/semana]]+640)*Tabla_query__2[[#This Row],[Factor País]]</f>
        <v>3940</v>
      </c>
      <c r="AE63" s="261"/>
      <c r="AF63" s="261"/>
      <c r="AG63" s="547" t="s">
        <v>147</v>
      </c>
      <c r="AH63" s="464">
        <v>45530</v>
      </c>
      <c r="AI63" s="464">
        <v>45544</v>
      </c>
      <c r="AJ63" s="464">
        <f>Tabla_query__2[[#This Row],[FinDes]]-Tabla_query__2[[#This Row],[InicioDes]]</f>
        <v>14</v>
      </c>
      <c r="AK63" s="464">
        <v>45544</v>
      </c>
      <c r="AL63" s="464">
        <v>45551</v>
      </c>
      <c r="AM63" s="464">
        <f t="shared" si="2"/>
        <v>364359</v>
      </c>
      <c r="AN63" s="464">
        <v>45551</v>
      </c>
      <c r="AO63" s="464">
        <v>45572</v>
      </c>
      <c r="AP63" s="464">
        <v>45505</v>
      </c>
      <c r="AQ63" s="281">
        <f>Tabla_query__2[[#This Row],[Inicio Real]]+(Tabla_query__2[[#This Row],[Número
Semanas]]*7)</f>
        <v>45547</v>
      </c>
      <c r="AR63" s="462">
        <f>Tabla_query__2[[#This Row],[Número
Semanas]]/4</f>
        <v>1.5</v>
      </c>
      <c r="AS63" s="269">
        <f>Tabla_query__2[[#This Row],[FinDes2]]-Tabla_query__2[[#This Row],[InicioDes2]]</f>
        <v>21</v>
      </c>
      <c r="AT63" s="261" t="s">
        <v>155</v>
      </c>
      <c r="AV63" s="440" t="s">
        <v>148</v>
      </c>
    </row>
    <row r="64" spans="1:50" ht="20.25" customHeight="1">
      <c r="A64" s="318" t="s">
        <v>130</v>
      </c>
      <c r="B64" s="262" t="s">
        <v>131</v>
      </c>
      <c r="C64" s="262" t="s">
        <v>175</v>
      </c>
      <c r="D64" s="262" t="s">
        <v>358</v>
      </c>
      <c r="E64" s="262" t="s">
        <v>164</v>
      </c>
      <c r="F64" s="264" t="s">
        <v>359</v>
      </c>
      <c r="G64" s="264" t="s">
        <v>136</v>
      </c>
      <c r="H64" s="259" t="s">
        <v>204</v>
      </c>
      <c r="I64" s="262" t="s">
        <v>260</v>
      </c>
      <c r="J64" s="262" t="s">
        <v>4</v>
      </c>
      <c r="K64" s="262"/>
      <c r="L64" s="262"/>
      <c r="M64" s="266" t="s">
        <v>206</v>
      </c>
      <c r="N64" s="262" t="s">
        <v>47</v>
      </c>
      <c r="O64" t="s">
        <v>305</v>
      </c>
      <c r="P64" s="262" t="s">
        <v>45</v>
      </c>
      <c r="Q64" s="262" t="s">
        <v>143</v>
      </c>
      <c r="R64" s="262" t="s">
        <v>179</v>
      </c>
      <c r="S64" s="261" t="e">
        <f>VLOOKUP(Tabla_query__2[[#This Row],[Requerimiento]],'A1 TD'!A2:D34,4,FALSE)</f>
        <v>#N/A</v>
      </c>
      <c r="T64" s="589" t="s">
        <v>145</v>
      </c>
      <c r="U64" s="261" t="s">
        <v>360</v>
      </c>
      <c r="V64" s="261" t="s">
        <v>146</v>
      </c>
      <c r="W64" s="261"/>
      <c r="X64" s="261">
        <v>6</v>
      </c>
      <c r="Y64" s="261">
        <f>Tabla_query__2[[#This Row],[Número
Semanas]]*5*8</f>
        <v>240</v>
      </c>
      <c r="Z64" s="268">
        <f>Tabla_query__2[[#This Row],[TOTAL]]/Tabla_query__2[[#This Row],[Número de Horas]]/2</f>
        <v>8.2083333333333339</v>
      </c>
      <c r="AA64" s="261">
        <v>1</v>
      </c>
      <c r="AB64" s="261">
        <v>550</v>
      </c>
      <c r="AC64" s="261"/>
      <c r="AD64" s="268">
        <f>Tabla_query__2[[#This Row],[Número
Semanas]]*Tabla_query__2[[#This Row],[Número
Personas]]*Tabla_query__2[[#This Row],[Costo
Mano Obra/semana]] + 640</f>
        <v>3940</v>
      </c>
      <c r="AE64" s="261"/>
      <c r="AF64" s="261"/>
      <c r="AG64" s="547" t="s">
        <v>211</v>
      </c>
      <c r="AH64" s="463">
        <v>45355</v>
      </c>
      <c r="AI64" s="463">
        <v>45369</v>
      </c>
      <c r="AJ64" s="462">
        <f>Tabla_query__2[[#This Row],[FinDes]]-Tabla_query__2[[#This Row],[InicioDes]]</f>
        <v>14</v>
      </c>
      <c r="AK64" s="463">
        <v>45369</v>
      </c>
      <c r="AL64" s="463">
        <v>45376</v>
      </c>
      <c r="AM64" s="462">
        <f t="shared" si="2"/>
        <v>362959</v>
      </c>
      <c r="AN64" s="463">
        <v>45376</v>
      </c>
      <c r="AO64" s="463">
        <v>45392</v>
      </c>
      <c r="AP64" s="281">
        <v>45383</v>
      </c>
      <c r="AQ64" s="281">
        <f>Tabla_query__2[[#This Row],[Inicio Real]]+(Tabla_query__2[[#This Row],[Número
Semanas]]*7)</f>
        <v>45425</v>
      </c>
      <c r="AR64" s="462">
        <f>Tabla_query__2[[#This Row],[Número
Semanas]]/4</f>
        <v>1.5</v>
      </c>
      <c r="AS64" s="587">
        <f>Tabla_query__2[[#This Row],[FinDes2]]-Tabla_query__2[[#This Row],[InicioDes2]]</f>
        <v>16</v>
      </c>
      <c r="AT64" s="261" t="s">
        <v>315</v>
      </c>
      <c r="AV64" t="s">
        <v>148</v>
      </c>
    </row>
    <row r="65" spans="1:50" ht="20.25" customHeight="1">
      <c r="A65" s="318" t="s">
        <v>130</v>
      </c>
      <c r="B65" s="262" t="s">
        <v>131</v>
      </c>
      <c r="C65" s="262" t="s">
        <v>361</v>
      </c>
      <c r="D65" s="262" t="s">
        <v>362</v>
      </c>
      <c r="E65" s="262" t="s">
        <v>310</v>
      </c>
      <c r="F65" s="259" t="s">
        <v>363</v>
      </c>
      <c r="G65" s="259" t="s">
        <v>136</v>
      </c>
      <c r="H65" s="259" t="s">
        <v>137</v>
      </c>
      <c r="I65" s="529" t="s">
        <v>260</v>
      </c>
      <c r="J65" s="262" t="s">
        <v>4</v>
      </c>
      <c r="K65" s="262"/>
      <c r="L65" s="262"/>
      <c r="M65" s="266" t="s">
        <v>206</v>
      </c>
      <c r="N65" s="262" t="s">
        <v>47</v>
      </c>
      <c r="O65" s="582" t="s">
        <v>305</v>
      </c>
      <c r="P65" s="262" t="s">
        <v>45</v>
      </c>
      <c r="Q65" s="262" t="s">
        <v>143</v>
      </c>
      <c r="R65" s="262" t="s">
        <v>197</v>
      </c>
      <c r="S65" s="261"/>
      <c r="T65" s="584" t="s">
        <v>145</v>
      </c>
      <c r="U65" s="261" t="s">
        <v>364</v>
      </c>
      <c r="V65" s="261" t="s">
        <v>136</v>
      </c>
      <c r="W65" s="261">
        <v>1</v>
      </c>
      <c r="X65" s="261">
        <v>4</v>
      </c>
      <c r="Y65" s="261">
        <f>Tabla_query__2[[#This Row],[Número
Semanas]]*5*8</f>
        <v>160</v>
      </c>
      <c r="Z65" s="268">
        <f>Tabla_query__2[[#This Row],[TOTAL]]/Tabla_query__2[[#This Row],[Número de Horas]]/2</f>
        <v>8.875</v>
      </c>
      <c r="AA65" s="261">
        <v>1</v>
      </c>
      <c r="AB65" s="261">
        <v>550</v>
      </c>
      <c r="AC65" s="261"/>
      <c r="AD65" s="387">
        <f>(Tabla_query__2[[#This Row],[Número
Semanas]]*Tabla_query__2[[#This Row],[Número
Personas]]*Tabla_query__2[[#This Row],[Costo
Mano Obra/semana]]+640)*Tabla_query__2[[#This Row],[Factor País]]</f>
        <v>2840</v>
      </c>
      <c r="AE65" s="261"/>
      <c r="AF65" s="261"/>
      <c r="AG65" s="547" t="s">
        <v>211</v>
      </c>
      <c r="AH65" s="464">
        <v>45341</v>
      </c>
      <c r="AI65" s="464">
        <v>45348</v>
      </c>
      <c r="AJ65" s="462">
        <f>Tabla_query__2[[#This Row],[FinDes]]-Tabla_query__2[[#This Row],[InicioDes]]</f>
        <v>7</v>
      </c>
      <c r="AK65" s="464">
        <v>45348</v>
      </c>
      <c r="AL65" s="464">
        <v>45355</v>
      </c>
      <c r="AM65" s="462">
        <f t="shared" si="2"/>
        <v>362791</v>
      </c>
      <c r="AN65" s="464">
        <v>45355</v>
      </c>
      <c r="AO65" s="464">
        <v>45362</v>
      </c>
      <c r="AP65" s="281">
        <v>45383</v>
      </c>
      <c r="AQ65" s="281">
        <f>Tabla_query__2[[#This Row],[Inicio Real]]+(Tabla_query__2[[#This Row],[Número
Semanas]]*7)</f>
        <v>45411</v>
      </c>
      <c r="AR65" s="462">
        <f>Tabla_query__2[[#This Row],[Número
Semanas]]/4</f>
        <v>1</v>
      </c>
      <c r="AS65" s="587">
        <f>Tabla_query__2[[#This Row],[FinDes2]]-Tabla_query__2[[#This Row],[InicioDes2]]</f>
        <v>7</v>
      </c>
      <c r="AT65" s="261" t="s">
        <v>155</v>
      </c>
      <c r="AV65" s="434" t="s">
        <v>148</v>
      </c>
    </row>
    <row r="66" spans="1:50" ht="20.25" customHeight="1">
      <c r="A66" s="318" t="s">
        <v>130</v>
      </c>
      <c r="B66" s="262" t="s">
        <v>131</v>
      </c>
      <c r="C66" s="262" t="s">
        <v>192</v>
      </c>
      <c r="D66" s="262" t="s">
        <v>337</v>
      </c>
      <c r="E66" s="262" t="s">
        <v>164</v>
      </c>
      <c r="F66" s="264" t="s">
        <v>338</v>
      </c>
      <c r="G66" s="264" t="s">
        <v>136</v>
      </c>
      <c r="H66" s="259" t="s">
        <v>204</v>
      </c>
      <c r="I66" s="262" t="s">
        <v>260</v>
      </c>
      <c r="J66" s="262" t="s">
        <v>4</v>
      </c>
      <c r="K66" s="262"/>
      <c r="L66" s="262"/>
      <c r="M66" s="266" t="s">
        <v>206</v>
      </c>
      <c r="N66" s="262" t="s">
        <v>47</v>
      </c>
      <c r="O66" s="582" t="s">
        <v>305</v>
      </c>
      <c r="P66" s="262" t="s">
        <v>45</v>
      </c>
      <c r="Q66" s="262" t="s">
        <v>143</v>
      </c>
      <c r="R66" s="262" t="s">
        <v>197</v>
      </c>
      <c r="S66" s="261" t="e">
        <f>VLOOKUP(Tabla_query__2[[#This Row],[Requerimiento]],'A1 TD'!A8:D40,4,FALSE)</f>
        <v>#N/A</v>
      </c>
      <c r="T66" s="261" t="s">
        <v>152</v>
      </c>
      <c r="U66" s="261" t="s">
        <v>339</v>
      </c>
      <c r="V66" s="261" t="s">
        <v>136</v>
      </c>
      <c r="W66" s="261">
        <v>1</v>
      </c>
      <c r="X66" s="261">
        <v>8</v>
      </c>
      <c r="Y66" s="261">
        <f>Tabla_query__2[[#This Row],[Número
Semanas]]*5*8</f>
        <v>320</v>
      </c>
      <c r="Z66" s="268">
        <f>Tabla_query__2[[#This Row],[TOTAL]]/Tabla_query__2[[#This Row],[Número de Horas]]/2</f>
        <v>7.875</v>
      </c>
      <c r="AA66" s="261">
        <v>1</v>
      </c>
      <c r="AB66" s="261">
        <v>550</v>
      </c>
      <c r="AC66" s="261"/>
      <c r="AD66" s="387">
        <f>(Tabla_query__2[[#This Row],[Número
Semanas]]*Tabla_query__2[[#This Row],[Número
Personas]]*Tabla_query__2[[#This Row],[Costo
Mano Obra/semana]]+640)*Tabla_query__2[[#This Row],[Factor País]]</f>
        <v>5040</v>
      </c>
      <c r="AE66" s="261"/>
      <c r="AF66" s="261"/>
      <c r="AG66" s="547" t="s">
        <v>365</v>
      </c>
      <c r="AH66" s="464">
        <v>45327</v>
      </c>
      <c r="AI66" s="464">
        <v>45334</v>
      </c>
      <c r="AJ66" s="462">
        <f>Tabla_query__2[[#This Row],[FinDes]]-Tabla_query__2[[#This Row],[InicioDes]]</f>
        <v>7</v>
      </c>
      <c r="AK66" s="464">
        <v>45334</v>
      </c>
      <c r="AL66" s="464">
        <v>45341</v>
      </c>
      <c r="AM66" s="462">
        <f t="shared" si="2"/>
        <v>362679</v>
      </c>
      <c r="AN66" s="464">
        <v>45341</v>
      </c>
      <c r="AO66" s="464">
        <v>45348</v>
      </c>
      <c r="AP66" s="464">
        <v>45327</v>
      </c>
      <c r="AQ66" s="464">
        <v>45348</v>
      </c>
      <c r="AR66" s="462">
        <f>Tabla_query__2[[#This Row],[Número
Semanas]]/4</f>
        <v>2</v>
      </c>
      <c r="AS66" s="269">
        <f>Tabla_query__2[[#This Row],[FinDes2]]-Tabla_query__2[[#This Row],[InicioDes2]]</f>
        <v>7</v>
      </c>
      <c r="AT66" s="261" t="s">
        <v>155</v>
      </c>
      <c r="AV66" s="435" t="s">
        <v>148</v>
      </c>
    </row>
    <row r="67" spans="1:50" ht="20.25" customHeight="1">
      <c r="A67" s="318" t="s">
        <v>130</v>
      </c>
      <c r="B67" s="262" t="s">
        <v>131</v>
      </c>
      <c r="C67" s="262" t="s">
        <v>361</v>
      </c>
      <c r="D67" s="262" t="s">
        <v>362</v>
      </c>
      <c r="E67" s="262" t="s">
        <v>310</v>
      </c>
      <c r="F67" s="259" t="s">
        <v>363</v>
      </c>
      <c r="G67" s="259" t="s">
        <v>136</v>
      </c>
      <c r="H67" s="259" t="s">
        <v>137</v>
      </c>
      <c r="I67" s="529" t="s">
        <v>260</v>
      </c>
      <c r="J67" s="262" t="s">
        <v>4</v>
      </c>
      <c r="K67" s="262"/>
      <c r="L67" s="262"/>
      <c r="M67" s="266" t="s">
        <v>328</v>
      </c>
      <c r="N67" s="262" t="s">
        <v>47</v>
      </c>
      <c r="O67" t="s">
        <v>305</v>
      </c>
      <c r="P67" s="262" t="s">
        <v>45</v>
      </c>
      <c r="Q67" s="262" t="s">
        <v>143</v>
      </c>
      <c r="R67" s="497" t="s">
        <v>179</v>
      </c>
      <c r="S67" s="261"/>
      <c r="T67" s="584" t="s">
        <v>145</v>
      </c>
      <c r="U67" s="261" t="s">
        <v>364</v>
      </c>
      <c r="V67" s="261" t="s">
        <v>136</v>
      </c>
      <c r="W67" s="261">
        <v>1</v>
      </c>
      <c r="X67" s="261">
        <v>4</v>
      </c>
      <c r="Y67" s="261">
        <f>Tabla_query__2[[#This Row],[Número
Semanas]]*5*8</f>
        <v>160</v>
      </c>
      <c r="Z67" s="268">
        <f>Tabla_query__2[[#This Row],[TOTAL]]/Tabla_query__2[[#This Row],[Número de Horas]]/2</f>
        <v>8.875</v>
      </c>
      <c r="AA67" s="261">
        <v>1</v>
      </c>
      <c r="AB67" s="261">
        <v>550</v>
      </c>
      <c r="AC67" s="261"/>
      <c r="AD67" s="387">
        <f>(Tabla_query__2[[#This Row],[Número
Semanas]]*Tabla_query__2[[#This Row],[Número
Personas]]*Tabla_query__2[[#This Row],[Costo
Mano Obra/semana]]+640)*Tabla_query__2[[#This Row],[Factor País]]</f>
        <v>2840</v>
      </c>
      <c r="AE67" s="261"/>
      <c r="AF67" s="261"/>
      <c r="AG67" s="547" t="s">
        <v>211</v>
      </c>
      <c r="AH67" s="464">
        <v>45362</v>
      </c>
      <c r="AI67" s="464">
        <v>45369</v>
      </c>
      <c r="AJ67" s="462">
        <f>Tabla_query__2[[#This Row],[FinDes]]-Tabla_query__2[[#This Row],[InicioDes]]</f>
        <v>7</v>
      </c>
      <c r="AK67" s="464">
        <v>45369</v>
      </c>
      <c r="AL67" s="464">
        <v>45376</v>
      </c>
      <c r="AM67" s="462">
        <f t="shared" si="2"/>
        <v>362959</v>
      </c>
      <c r="AN67" s="464">
        <v>45376</v>
      </c>
      <c r="AO67" s="464">
        <v>45383</v>
      </c>
      <c r="AP67" s="281">
        <v>45383</v>
      </c>
      <c r="AQ67" s="281">
        <f>Tabla_query__2[[#This Row],[Inicio Real]]+(Tabla_query__2[[#This Row],[Número
Semanas]]*7)</f>
        <v>45411</v>
      </c>
      <c r="AR67" s="462">
        <f>Tabla_query__2[[#This Row],[Número
Semanas]]/4</f>
        <v>1</v>
      </c>
      <c r="AS67" s="587">
        <f>Tabla_query__2[[#This Row],[FinDes2]]-Tabla_query__2[[#This Row],[InicioDes2]]</f>
        <v>7</v>
      </c>
      <c r="AT67" s="261" t="s">
        <v>155</v>
      </c>
      <c r="AV67" s="437" t="s">
        <v>148</v>
      </c>
    </row>
    <row r="68" spans="1:50" ht="20.25" customHeight="1">
      <c r="A68" s="318" t="s">
        <v>130</v>
      </c>
      <c r="B68" s="262" t="s">
        <v>131</v>
      </c>
      <c r="C68" s="262" t="s">
        <v>361</v>
      </c>
      <c r="D68" s="262" t="s">
        <v>362</v>
      </c>
      <c r="E68" s="262" t="s">
        <v>310</v>
      </c>
      <c r="F68" s="259" t="s">
        <v>363</v>
      </c>
      <c r="G68" s="259" t="s">
        <v>136</v>
      </c>
      <c r="H68" s="259" t="s">
        <v>137</v>
      </c>
      <c r="I68" s="529" t="s">
        <v>260</v>
      </c>
      <c r="J68" s="262" t="s">
        <v>4</v>
      </c>
      <c r="K68" s="262"/>
      <c r="L68" s="262"/>
      <c r="M68" s="266" t="s">
        <v>330</v>
      </c>
      <c r="N68" s="262" t="s">
        <v>47</v>
      </c>
      <c r="O68" t="s">
        <v>305</v>
      </c>
      <c r="P68" s="262" t="s">
        <v>45</v>
      </c>
      <c r="Q68" s="262" t="s">
        <v>143</v>
      </c>
      <c r="R68" s="497" t="s">
        <v>179</v>
      </c>
      <c r="S68" s="261"/>
      <c r="T68" s="584" t="s">
        <v>145</v>
      </c>
      <c r="U68" s="261"/>
      <c r="V68" s="261" t="s">
        <v>136</v>
      </c>
      <c r="W68" s="261">
        <v>1</v>
      </c>
      <c r="X68" s="261">
        <v>4</v>
      </c>
      <c r="Y68" s="261">
        <f>Tabla_query__2[[#This Row],[Número
Semanas]]*5*8</f>
        <v>160</v>
      </c>
      <c r="Z68" s="268">
        <f>Tabla_query__2[[#This Row],[TOTAL]]/Tabla_query__2[[#This Row],[Número de Horas]]/2</f>
        <v>8.875</v>
      </c>
      <c r="AA68" s="261">
        <v>1</v>
      </c>
      <c r="AB68" s="261">
        <v>550</v>
      </c>
      <c r="AC68" s="261"/>
      <c r="AD68" s="387">
        <f>Tabla_query__2[[#This Row],[Número
Semanas]]*Tabla_query__2[[#This Row],[Número
Personas]]*Tabla_query__2[[#This Row],[Costo
Mano Obra/semana]] + 640</f>
        <v>2840</v>
      </c>
      <c r="AE68" s="261"/>
      <c r="AF68" s="261"/>
      <c r="AG68" s="547" t="s">
        <v>211</v>
      </c>
      <c r="AH68" s="464">
        <v>45355</v>
      </c>
      <c r="AI68" s="464">
        <v>45369</v>
      </c>
      <c r="AJ68" s="462">
        <f>Tabla_query__2[[#This Row],[FinDes]]-Tabla_query__2[[#This Row],[InicioDes]]</f>
        <v>14</v>
      </c>
      <c r="AK68" s="464">
        <v>45369</v>
      </c>
      <c r="AL68" s="464">
        <v>45376</v>
      </c>
      <c r="AM68" s="462">
        <f t="shared" si="2"/>
        <v>362959</v>
      </c>
      <c r="AN68" s="464">
        <v>45376</v>
      </c>
      <c r="AO68" s="464">
        <v>45383</v>
      </c>
      <c r="AP68" s="281">
        <v>45383</v>
      </c>
      <c r="AQ68" s="281">
        <f>Tabla_query__2[[#This Row],[Inicio Real]]+(Tabla_query__2[[#This Row],[Número
Semanas]]*7)</f>
        <v>45411</v>
      </c>
      <c r="AR68" s="462">
        <f>Tabla_query__2[[#This Row],[Número
Semanas]]/4</f>
        <v>1</v>
      </c>
      <c r="AS68" s="587">
        <f>Tabla_query__2[[#This Row],[FinDes2]]-Tabla_query__2[[#This Row],[InicioDes2]]</f>
        <v>7</v>
      </c>
      <c r="AT68" s="261"/>
      <c r="AV68" s="437" t="s">
        <v>148</v>
      </c>
    </row>
    <row r="69" spans="1:50" ht="34.9">
      <c r="A69" s="318" t="s">
        <v>130</v>
      </c>
      <c r="B69" s="262" t="s">
        <v>131</v>
      </c>
      <c r="C69" s="262" t="s">
        <v>162</v>
      </c>
      <c r="D69" s="277" t="s">
        <v>366</v>
      </c>
      <c r="E69" s="262" t="s">
        <v>164</v>
      </c>
      <c r="F69" s="264" t="s">
        <v>367</v>
      </c>
      <c r="G69" s="264" t="s">
        <v>210</v>
      </c>
      <c r="H69" s="259" t="s">
        <v>204</v>
      </c>
      <c r="I69" s="262" t="s">
        <v>260</v>
      </c>
      <c r="J69" s="262" t="s">
        <v>4</v>
      </c>
      <c r="K69" s="262" t="s">
        <v>368</v>
      </c>
      <c r="L69" s="262"/>
      <c r="M69" s="266" t="s">
        <v>206</v>
      </c>
      <c r="N69" s="262" t="s">
        <v>47</v>
      </c>
      <c r="O69" t="s">
        <v>305</v>
      </c>
      <c r="P69" s="262" t="s">
        <v>45</v>
      </c>
      <c r="Q69" s="262" t="s">
        <v>143</v>
      </c>
      <c r="R69" s="497" t="s">
        <v>144</v>
      </c>
      <c r="S69" s="261" t="e">
        <f>VLOOKUP(Tabla_query__2[[#This Row],[Requerimiento]],'A1 TD'!A23:D55,4,FALSE)</f>
        <v>#N/A</v>
      </c>
      <c r="T69" s="584" t="s">
        <v>145</v>
      </c>
      <c r="U69" s="261" t="s">
        <v>369</v>
      </c>
      <c r="V69" s="261" t="s">
        <v>146</v>
      </c>
      <c r="W69" s="261">
        <v>1</v>
      </c>
      <c r="X69" s="261">
        <v>2</v>
      </c>
      <c r="Y69" s="261">
        <f>Tabla_query__2[[#This Row],[Número
Semanas]]*5*8</f>
        <v>80</v>
      </c>
      <c r="Z69" s="268">
        <f>Tabla_query__2[[#This Row],[TOTAL]]/Tabla_query__2[[#This Row],[Número de Horas]]/2</f>
        <v>7.625</v>
      </c>
      <c r="AA69" s="261">
        <v>1</v>
      </c>
      <c r="AB69" s="261">
        <v>550</v>
      </c>
      <c r="AC69" s="261"/>
      <c r="AD69" s="387">
        <f>(Tabla_query__2[[#This Row],[Número
Semanas]]*Tabla_query__2[[#This Row],[Número
Personas]]*Tabla_query__2[[#This Row],[Costo
Mano Obra/semana]]+120)*Tabla_query__2[[#This Row],[Factor País]]</f>
        <v>1220</v>
      </c>
      <c r="AE69" s="261"/>
      <c r="AF69" s="261"/>
      <c r="AG69" s="430" t="s">
        <v>191</v>
      </c>
      <c r="AH69" s="464">
        <v>45355</v>
      </c>
      <c r="AI69" s="320">
        <v>45383</v>
      </c>
      <c r="AJ69" s="462">
        <f>Tabla_query__2[[#This Row],[FinDes]]-Tabla_query__2[[#This Row],[InicioDes]]</f>
        <v>28</v>
      </c>
      <c r="AK69" s="320">
        <v>45383</v>
      </c>
      <c r="AL69" s="320">
        <v>45390</v>
      </c>
      <c r="AM69" s="462">
        <f t="shared" si="2"/>
        <v>363071</v>
      </c>
      <c r="AN69" s="320">
        <v>45390</v>
      </c>
      <c r="AO69" s="320">
        <v>45397</v>
      </c>
      <c r="AP69" s="320">
        <v>45413</v>
      </c>
      <c r="AQ69" s="281">
        <f>Tabla_query__2[[#This Row],[Inicio Real]]+(Tabla_query__2[[#This Row],[Número
Semanas]]*7)</f>
        <v>45427</v>
      </c>
      <c r="AR69" s="462">
        <f>Tabla_query__2[[#This Row],[Número
Semanas]]/4</f>
        <v>0.5</v>
      </c>
      <c r="AS69" s="587">
        <f>Tabla_query__2[[#This Row],[FinDes2]]-Tabla_query__2[[#This Row],[InicioDes2]]</f>
        <v>7</v>
      </c>
      <c r="AT69" s="261" t="s">
        <v>155</v>
      </c>
      <c r="AV69" s="436" t="s">
        <v>148</v>
      </c>
      <c r="AW69" s="559" t="s">
        <v>370</v>
      </c>
      <c r="AX69" t="s">
        <v>371</v>
      </c>
    </row>
    <row r="70" spans="1:50">
      <c r="A70" s="318" t="s">
        <v>130</v>
      </c>
      <c r="B70" s="262" t="s">
        <v>131</v>
      </c>
      <c r="C70" s="262" t="s">
        <v>192</v>
      </c>
      <c r="D70" s="262" t="s">
        <v>372</v>
      </c>
      <c r="E70" s="262" t="s">
        <v>164</v>
      </c>
      <c r="F70" s="264" t="s">
        <v>373</v>
      </c>
      <c r="G70" s="264" t="s">
        <v>210</v>
      </c>
      <c r="H70" s="259" t="s">
        <v>137</v>
      </c>
      <c r="I70" s="262" t="s">
        <v>260</v>
      </c>
      <c r="J70" s="262" t="s">
        <v>4</v>
      </c>
      <c r="K70" s="262"/>
      <c r="L70" s="262"/>
      <c r="M70" s="266" t="s">
        <v>206</v>
      </c>
      <c r="N70" s="262" t="s">
        <v>47</v>
      </c>
      <c r="O70" t="s">
        <v>305</v>
      </c>
      <c r="P70" s="262" t="s">
        <v>45</v>
      </c>
      <c r="Q70" s="262" t="s">
        <v>143</v>
      </c>
      <c r="R70" s="262" t="s">
        <v>144</v>
      </c>
      <c r="S70" s="280" t="s">
        <v>221</v>
      </c>
      <c r="T70" s="591" t="s">
        <v>221</v>
      </c>
      <c r="U70" s="261" t="s">
        <v>374</v>
      </c>
      <c r="V70" s="261" t="s">
        <v>146</v>
      </c>
      <c r="W70" s="261"/>
      <c r="X70" s="261">
        <v>2</v>
      </c>
      <c r="Y70" s="261">
        <f>Tabla_query__2[[#This Row],[Número
Semanas]]*5*8</f>
        <v>80</v>
      </c>
      <c r="Z70" s="268">
        <f>Tabla_query__2[[#This Row],[TOTAL]]/Tabla_query__2[[#This Row],[Número de Horas]]/2</f>
        <v>7.75</v>
      </c>
      <c r="AA70" s="261">
        <v>1</v>
      </c>
      <c r="AB70" s="261">
        <v>550</v>
      </c>
      <c r="AC70" s="261"/>
      <c r="AD70" s="268">
        <f>Tabla_query__2[[#This Row],[Número
Semanas]]*Tabla_query__2[[#This Row],[Número
Personas]]*Tabla_query__2[[#This Row],[Costo
Mano Obra/semana]]+140</f>
        <v>1240</v>
      </c>
      <c r="AE70" s="261"/>
      <c r="AF70" s="261"/>
      <c r="AG70" s="547" t="s">
        <v>354</v>
      </c>
      <c r="AH70" s="463">
        <v>45537</v>
      </c>
      <c r="AI70" s="456">
        <v>45551</v>
      </c>
      <c r="AJ70" s="462">
        <f>Tabla_query__2[[#This Row],[FinDes]]-Tabla_query__2[[#This Row],[InicioDes]]</f>
        <v>14</v>
      </c>
      <c r="AK70" s="456">
        <v>45551</v>
      </c>
      <c r="AL70" s="456">
        <v>45558</v>
      </c>
      <c r="AM70" s="462">
        <f t="shared" si="2"/>
        <v>364415</v>
      </c>
      <c r="AN70" s="456">
        <v>45558</v>
      </c>
      <c r="AO70" s="456">
        <v>45565</v>
      </c>
      <c r="AP70" s="531">
        <v>45536</v>
      </c>
      <c r="AQ70" s="281">
        <f>Tabla_query__2[[#This Row],[Inicio Real]]+(Tabla_query__2[[#This Row],[Número
Semanas]]*7)</f>
        <v>45550</v>
      </c>
      <c r="AR70" s="462">
        <f>Tabla_query__2[[#This Row],[Número
Semanas]]/4</f>
        <v>0.5</v>
      </c>
      <c r="AS70" s="269">
        <f>Tabla_query__2[[#This Row],[FinDes2]]-Tabla_query__2[[#This Row],[InicioDes2]]</f>
        <v>7</v>
      </c>
      <c r="AT70" s="261" t="s">
        <v>315</v>
      </c>
      <c r="AV70" s="434" t="s">
        <v>148</v>
      </c>
    </row>
    <row r="71" spans="1:50">
      <c r="A71" s="318" t="s">
        <v>130</v>
      </c>
      <c r="B71" s="262" t="s">
        <v>131</v>
      </c>
      <c r="C71" s="262" t="s">
        <v>192</v>
      </c>
      <c r="D71" s="262" t="s">
        <v>372</v>
      </c>
      <c r="E71" s="262" t="s">
        <v>164</v>
      </c>
      <c r="F71" s="264" t="s">
        <v>373</v>
      </c>
      <c r="G71" s="264" t="s">
        <v>210</v>
      </c>
      <c r="H71" s="259" t="s">
        <v>137</v>
      </c>
      <c r="I71" s="262" t="s">
        <v>260</v>
      </c>
      <c r="J71" s="262" t="s">
        <v>4</v>
      </c>
      <c r="K71" s="262"/>
      <c r="L71" s="262"/>
      <c r="M71" s="266" t="s">
        <v>328</v>
      </c>
      <c r="N71" s="262" t="s">
        <v>47</v>
      </c>
      <c r="O71" t="s">
        <v>305</v>
      </c>
      <c r="P71" s="262" t="s">
        <v>45</v>
      </c>
      <c r="Q71" s="262" t="s">
        <v>143</v>
      </c>
      <c r="R71" s="262" t="s">
        <v>144</v>
      </c>
      <c r="S71" s="280" t="s">
        <v>221</v>
      </c>
      <c r="T71" s="591" t="s">
        <v>221</v>
      </c>
      <c r="U71" s="261" t="s">
        <v>374</v>
      </c>
      <c r="V71" s="261" t="s">
        <v>146</v>
      </c>
      <c r="W71" s="261"/>
      <c r="X71" s="261">
        <v>2</v>
      </c>
      <c r="Y71" s="261">
        <f>Tabla_query__2[[#This Row],[Número
Semanas]]*5*8</f>
        <v>80</v>
      </c>
      <c r="Z71" s="268">
        <f>Tabla_query__2[[#This Row],[TOTAL]]/Tabla_query__2[[#This Row],[Número de Horas]]/2</f>
        <v>7.6875</v>
      </c>
      <c r="AA71" s="261">
        <v>1</v>
      </c>
      <c r="AB71" s="261">
        <v>550</v>
      </c>
      <c r="AC71" s="261"/>
      <c r="AD71" s="268">
        <f>Tabla_query__2[[#This Row],[Número
Semanas]]*Tabla_query__2[[#This Row],[Número
Personas]]*Tabla_query__2[[#This Row],[Costo
Mano Obra/semana]]+130</f>
        <v>1230</v>
      </c>
      <c r="AE71" s="261"/>
      <c r="AF71" s="261"/>
      <c r="AG71" s="547" t="s">
        <v>354</v>
      </c>
      <c r="AH71" s="463">
        <v>45537</v>
      </c>
      <c r="AI71" s="456">
        <v>45551</v>
      </c>
      <c r="AJ71" s="462">
        <f>Tabla_query__2[[#This Row],[FinDes]]-Tabla_query__2[[#This Row],[InicioDes]]</f>
        <v>14</v>
      </c>
      <c r="AK71" s="456">
        <v>45551</v>
      </c>
      <c r="AL71" s="456">
        <v>45558</v>
      </c>
      <c r="AM71" s="462">
        <f t="shared" si="2"/>
        <v>364415</v>
      </c>
      <c r="AN71" s="456">
        <v>45558</v>
      </c>
      <c r="AO71" s="456">
        <v>45565</v>
      </c>
      <c r="AP71" s="531">
        <v>45536</v>
      </c>
      <c r="AQ71" s="281">
        <f>Tabla_query__2[[#This Row],[Inicio Real]]+(Tabla_query__2[[#This Row],[Número
Semanas]]*7)</f>
        <v>45550</v>
      </c>
      <c r="AR71" s="462">
        <f>Tabla_query__2[[#This Row],[Número
Semanas]]/4</f>
        <v>0.5</v>
      </c>
      <c r="AS71" s="269">
        <f>Tabla_query__2[[#This Row],[FinDes2]]-Tabla_query__2[[#This Row],[InicioDes2]]</f>
        <v>7</v>
      </c>
      <c r="AT71" s="261" t="s">
        <v>315</v>
      </c>
      <c r="AV71" s="434" t="s">
        <v>148</v>
      </c>
    </row>
    <row r="72" spans="1:50">
      <c r="A72" s="318" t="s">
        <v>130</v>
      </c>
      <c r="B72" s="262" t="s">
        <v>131</v>
      </c>
      <c r="C72" s="262" t="s">
        <v>192</v>
      </c>
      <c r="D72" s="262" t="s">
        <v>372</v>
      </c>
      <c r="E72" s="262" t="s">
        <v>164</v>
      </c>
      <c r="F72" s="264" t="s">
        <v>373</v>
      </c>
      <c r="G72" s="264" t="s">
        <v>210</v>
      </c>
      <c r="H72" s="259" t="s">
        <v>137</v>
      </c>
      <c r="I72" s="262" t="s">
        <v>260</v>
      </c>
      <c r="J72" s="262" t="s">
        <v>4</v>
      </c>
      <c r="K72" s="262"/>
      <c r="L72" s="262"/>
      <c r="M72" s="266" t="s">
        <v>329</v>
      </c>
      <c r="N72" s="262" t="s">
        <v>47</v>
      </c>
      <c r="O72" t="s">
        <v>305</v>
      </c>
      <c r="P72" s="262" t="s">
        <v>45</v>
      </c>
      <c r="Q72" s="262" t="s">
        <v>143</v>
      </c>
      <c r="R72" s="262" t="s">
        <v>144</v>
      </c>
      <c r="S72" s="280" t="s">
        <v>221</v>
      </c>
      <c r="T72" s="591" t="s">
        <v>221</v>
      </c>
      <c r="U72" s="261" t="s">
        <v>374</v>
      </c>
      <c r="V72" s="261" t="s">
        <v>146</v>
      </c>
      <c r="W72" s="261"/>
      <c r="X72" s="261">
        <v>2</v>
      </c>
      <c r="Y72" s="261">
        <f>Tabla_query__2[[#This Row],[Número
Semanas]]*5*8</f>
        <v>80</v>
      </c>
      <c r="Z72" s="268">
        <f>Tabla_query__2[[#This Row],[TOTAL]]/Tabla_query__2[[#This Row],[Número de Horas]]/2</f>
        <v>7.71875</v>
      </c>
      <c r="AA72" s="261">
        <v>1</v>
      </c>
      <c r="AB72" s="261">
        <v>550</v>
      </c>
      <c r="AC72" s="261"/>
      <c r="AD72" s="268">
        <f>Tabla_query__2[[#This Row],[Número
Semanas]]*Tabla_query__2[[#This Row],[Número
Personas]]*Tabla_query__2[[#This Row],[Costo
Mano Obra/semana]]+135</f>
        <v>1235</v>
      </c>
      <c r="AE72" s="261"/>
      <c r="AF72" s="261"/>
      <c r="AG72" s="547" t="s">
        <v>354</v>
      </c>
      <c r="AH72" s="463">
        <v>45537</v>
      </c>
      <c r="AI72" s="456">
        <v>45551</v>
      </c>
      <c r="AJ72" s="462">
        <f>Tabla_query__2[[#This Row],[FinDes]]-Tabla_query__2[[#This Row],[InicioDes]]</f>
        <v>14</v>
      </c>
      <c r="AK72" s="456">
        <v>45551</v>
      </c>
      <c r="AL72" s="456">
        <v>45558</v>
      </c>
      <c r="AM72" s="462">
        <f t="shared" si="2"/>
        <v>364415</v>
      </c>
      <c r="AN72" s="456">
        <v>45558</v>
      </c>
      <c r="AO72" s="456">
        <v>45565</v>
      </c>
      <c r="AP72" s="531">
        <v>45536</v>
      </c>
      <c r="AQ72" s="281">
        <f>Tabla_query__2[[#This Row],[Inicio Real]]+(Tabla_query__2[[#This Row],[Número
Semanas]]*7)</f>
        <v>45550</v>
      </c>
      <c r="AR72" s="462">
        <f>Tabla_query__2[[#This Row],[Número
Semanas]]/4</f>
        <v>0.5</v>
      </c>
      <c r="AS72" s="269">
        <f>Tabla_query__2[[#This Row],[FinDes2]]-Tabla_query__2[[#This Row],[InicioDes2]]</f>
        <v>7</v>
      </c>
      <c r="AT72" s="261" t="s">
        <v>315</v>
      </c>
      <c r="AV72" s="434" t="s">
        <v>148</v>
      </c>
    </row>
    <row r="73" spans="1:50" ht="65.25" customHeight="1">
      <c r="A73" s="318" t="s">
        <v>130</v>
      </c>
      <c r="B73" s="262" t="s">
        <v>131</v>
      </c>
      <c r="C73" s="262" t="s">
        <v>192</v>
      </c>
      <c r="D73" s="277" t="s">
        <v>372</v>
      </c>
      <c r="E73" s="262" t="s">
        <v>164</v>
      </c>
      <c r="F73" s="264" t="s">
        <v>373</v>
      </c>
      <c r="G73" s="264" t="s">
        <v>210</v>
      </c>
      <c r="H73" s="259" t="s">
        <v>137</v>
      </c>
      <c r="I73" s="262" t="s">
        <v>260</v>
      </c>
      <c r="J73" s="262" t="s">
        <v>4</v>
      </c>
      <c r="K73" s="262"/>
      <c r="L73" s="262"/>
      <c r="M73" s="266" t="s">
        <v>330</v>
      </c>
      <c r="N73" s="262" t="s">
        <v>47</v>
      </c>
      <c r="O73" t="s">
        <v>305</v>
      </c>
      <c r="P73" s="262" t="s">
        <v>45</v>
      </c>
      <c r="Q73" s="262" t="s">
        <v>143</v>
      </c>
      <c r="R73" s="262" t="s">
        <v>144</v>
      </c>
      <c r="S73" s="280" t="s">
        <v>221</v>
      </c>
      <c r="T73" s="591" t="s">
        <v>221</v>
      </c>
      <c r="U73" s="261" t="s">
        <v>374</v>
      </c>
      <c r="V73" s="261" t="s">
        <v>146</v>
      </c>
      <c r="W73" s="261"/>
      <c r="X73" s="261">
        <v>1</v>
      </c>
      <c r="Y73" s="261">
        <f>Tabla_query__2[[#This Row],[Número
Semanas]]*5*8</f>
        <v>40</v>
      </c>
      <c r="Z73" s="268">
        <f>Tabla_query__2[[#This Row],[TOTAL]]/Tabla_query__2[[#This Row],[Número de Horas]]/2</f>
        <v>8.375</v>
      </c>
      <c r="AA73" s="261">
        <v>1</v>
      </c>
      <c r="AB73" s="261">
        <v>550</v>
      </c>
      <c r="AC73" s="261"/>
      <c r="AD73" s="268">
        <f>Tabla_query__2[[#This Row],[Número
Semanas]]*Tabla_query__2[[#This Row],[Número
Personas]]*Tabla_query__2[[#This Row],[Costo
Mano Obra/semana]]+120</f>
        <v>670</v>
      </c>
      <c r="AE73" s="261"/>
      <c r="AF73" s="261"/>
      <c r="AG73" s="547" t="s">
        <v>354</v>
      </c>
      <c r="AH73" s="463">
        <v>45537</v>
      </c>
      <c r="AI73" s="457">
        <v>45551</v>
      </c>
      <c r="AJ73" s="462">
        <f>Tabla_query__2[[#This Row],[FinDes]]-Tabla_query__2[[#This Row],[InicioDes]]</f>
        <v>14</v>
      </c>
      <c r="AK73" s="457">
        <v>45551</v>
      </c>
      <c r="AL73" s="457">
        <v>45558</v>
      </c>
      <c r="AM73" s="462">
        <f t="shared" si="2"/>
        <v>364415</v>
      </c>
      <c r="AN73" s="457">
        <v>45558</v>
      </c>
      <c r="AO73" s="456">
        <v>45565</v>
      </c>
      <c r="AP73" s="531">
        <v>45536</v>
      </c>
      <c r="AQ73" s="281">
        <f>Tabla_query__2[[#This Row],[Inicio Real]]+(Tabla_query__2[[#This Row],[Número
Semanas]]*7)</f>
        <v>45543</v>
      </c>
      <c r="AR73" s="462">
        <f>Tabla_query__2[[#This Row],[Número
Semanas]]/4</f>
        <v>0.25</v>
      </c>
      <c r="AS73" s="269">
        <f>Tabla_query__2[[#This Row],[FinDes2]]-Tabla_query__2[[#This Row],[InicioDes2]]</f>
        <v>7</v>
      </c>
      <c r="AT73" s="261" t="s">
        <v>315</v>
      </c>
      <c r="AV73" s="434" t="s">
        <v>148</v>
      </c>
    </row>
    <row r="74" spans="1:50" ht="65.25" customHeight="1">
      <c r="A74" s="318" t="s">
        <v>130</v>
      </c>
      <c r="B74" s="262" t="s">
        <v>131</v>
      </c>
      <c r="C74" s="262" t="s">
        <v>192</v>
      </c>
      <c r="D74" s="262" t="s">
        <v>372</v>
      </c>
      <c r="E74" s="262" t="s">
        <v>164</v>
      </c>
      <c r="F74" s="264" t="s">
        <v>373</v>
      </c>
      <c r="G74" s="264" t="s">
        <v>210</v>
      </c>
      <c r="H74" s="259" t="s">
        <v>137</v>
      </c>
      <c r="I74" s="262" t="s">
        <v>260</v>
      </c>
      <c r="J74" s="262" t="s">
        <v>4</v>
      </c>
      <c r="K74" s="262"/>
      <c r="L74" s="262"/>
      <c r="M74" s="266" t="s">
        <v>140</v>
      </c>
      <c r="N74" s="262" t="s">
        <v>47</v>
      </c>
      <c r="O74" t="s">
        <v>305</v>
      </c>
      <c r="P74" s="262" t="s">
        <v>45</v>
      </c>
      <c r="Q74" s="262" t="s">
        <v>143</v>
      </c>
      <c r="R74" s="262" t="s">
        <v>144</v>
      </c>
      <c r="S74" s="280" t="s">
        <v>221</v>
      </c>
      <c r="T74" s="591" t="s">
        <v>221</v>
      </c>
      <c r="U74" s="261" t="s">
        <v>374</v>
      </c>
      <c r="V74" s="261" t="s">
        <v>146</v>
      </c>
      <c r="W74" s="261"/>
      <c r="X74" s="261">
        <v>1</v>
      </c>
      <c r="Y74" s="261">
        <f>Tabla_query__2[[#This Row],[Número
Semanas]]*5*8</f>
        <v>40</v>
      </c>
      <c r="Z74" s="268">
        <f>Tabla_query__2[[#This Row],[TOTAL]]/Tabla_query__2[[#This Row],[Número de Horas]]/2</f>
        <v>8.375</v>
      </c>
      <c r="AA74" s="261">
        <v>1</v>
      </c>
      <c r="AB74" s="261">
        <v>550</v>
      </c>
      <c r="AC74" s="261"/>
      <c r="AD74" s="268">
        <f>Tabla_query__2[[#This Row],[Número
Semanas]]*Tabla_query__2[[#This Row],[Número
Personas]]*Tabla_query__2[[#This Row],[Costo
Mano Obra/semana]]+120</f>
        <v>670</v>
      </c>
      <c r="AE74" s="261"/>
      <c r="AF74" s="261"/>
      <c r="AG74" s="547" t="s">
        <v>354</v>
      </c>
      <c r="AH74" s="463">
        <v>45537</v>
      </c>
      <c r="AI74" s="457">
        <v>45551</v>
      </c>
      <c r="AJ74" s="462">
        <f>Tabla_query__2[[#This Row],[FinDes]]-Tabla_query__2[[#This Row],[InicioDes]]</f>
        <v>14</v>
      </c>
      <c r="AK74" s="457">
        <v>45551</v>
      </c>
      <c r="AL74" s="457">
        <v>45558</v>
      </c>
      <c r="AM74" s="462">
        <f t="shared" si="2"/>
        <v>364415</v>
      </c>
      <c r="AN74" s="457">
        <v>45558</v>
      </c>
      <c r="AO74" s="456">
        <v>45565</v>
      </c>
      <c r="AP74" s="531">
        <v>45536</v>
      </c>
      <c r="AQ74" s="281">
        <f>Tabla_query__2[[#This Row],[Inicio Real]]+(Tabla_query__2[[#This Row],[Número
Semanas]]*7)</f>
        <v>45543</v>
      </c>
      <c r="AR74" s="462">
        <f>Tabla_query__2[[#This Row],[Número
Semanas]]/4</f>
        <v>0.25</v>
      </c>
      <c r="AS74" s="269">
        <f>Tabla_query__2[[#This Row],[FinDes2]]-Tabla_query__2[[#This Row],[InicioDes2]]</f>
        <v>7</v>
      </c>
      <c r="AT74" s="261" t="s">
        <v>315</v>
      </c>
      <c r="AV74" s="434" t="s">
        <v>148</v>
      </c>
    </row>
    <row r="75" spans="1:50" ht="65.25" customHeight="1">
      <c r="A75" s="318" t="s">
        <v>130</v>
      </c>
      <c r="B75" s="262" t="s">
        <v>131</v>
      </c>
      <c r="C75" s="262" t="s">
        <v>375</v>
      </c>
      <c r="D75" s="277" t="s">
        <v>376</v>
      </c>
      <c r="E75" s="262" t="s">
        <v>310</v>
      </c>
      <c r="F75" s="264" t="s">
        <v>377</v>
      </c>
      <c r="G75" s="264" t="s">
        <v>210</v>
      </c>
      <c r="H75" s="259" t="s">
        <v>204</v>
      </c>
      <c r="I75" s="262" t="s">
        <v>260</v>
      </c>
      <c r="J75" s="262" t="s">
        <v>4</v>
      </c>
      <c r="K75" s="262"/>
      <c r="L75" s="262"/>
      <c r="M75" s="266" t="s">
        <v>206</v>
      </c>
      <c r="N75" s="262" t="s">
        <v>47</v>
      </c>
      <c r="O75" t="s">
        <v>305</v>
      </c>
      <c r="P75" s="262" t="s">
        <v>45</v>
      </c>
      <c r="Q75" s="262" t="s">
        <v>143</v>
      </c>
      <c r="R75" s="262" t="s">
        <v>144</v>
      </c>
      <c r="S75" s="261" t="s">
        <v>152</v>
      </c>
      <c r="T75" s="591" t="s">
        <v>221</v>
      </c>
      <c r="U75" s="261" t="s">
        <v>378</v>
      </c>
      <c r="V75" s="261" t="s">
        <v>210</v>
      </c>
      <c r="W75" s="261">
        <v>1</v>
      </c>
      <c r="X75" s="261">
        <v>5</v>
      </c>
      <c r="Y75" s="261">
        <f>Tabla_query__2[[#This Row],[Número
Semanas]]*5*8</f>
        <v>200</v>
      </c>
      <c r="Z75" s="268">
        <f>Tabla_query__2[[#This Row],[TOTAL]]/Tabla_query__2[[#This Row],[Número de Horas]]/2</f>
        <v>8.4749999999999996</v>
      </c>
      <c r="AA75" s="261">
        <v>1</v>
      </c>
      <c r="AB75" s="261">
        <v>550</v>
      </c>
      <c r="AC75" s="261"/>
      <c r="AD75" s="387">
        <f>(Tabla_query__2[[#This Row],[Número
Semanas]]*Tabla_query__2[[#This Row],[Número
Personas]]*Tabla_query__2[[#This Row],[Costo
Mano Obra/semana]]+640)*Tabla_query__2[[#This Row],[Factor País]]</f>
        <v>3390</v>
      </c>
      <c r="AE75" s="261"/>
      <c r="AF75" s="261"/>
      <c r="AG75" s="547" t="s">
        <v>147</v>
      </c>
      <c r="AH75" s="465">
        <v>45516</v>
      </c>
      <c r="AI75" s="283">
        <v>45537</v>
      </c>
      <c r="AJ75" s="462">
        <f>Tabla_query__2[[#This Row],[FinDes]]-Tabla_query__2[[#This Row],[InicioDes]]</f>
        <v>21</v>
      </c>
      <c r="AK75" s="283">
        <v>45537</v>
      </c>
      <c r="AL75" s="283">
        <v>45544</v>
      </c>
      <c r="AM75" s="462">
        <f t="shared" si="2"/>
        <v>364303</v>
      </c>
      <c r="AN75" s="283">
        <v>45544</v>
      </c>
      <c r="AO75" s="320">
        <v>45551</v>
      </c>
      <c r="AP75" s="456">
        <v>45505</v>
      </c>
      <c r="AQ75" s="281">
        <f>Tabla_query__2[[#This Row],[Inicio Real]]+(Tabla_query__2[[#This Row],[Número
Semanas]]*7)</f>
        <v>45540</v>
      </c>
      <c r="AR75" s="462">
        <f>Tabla_query__2[[#This Row],[Número
Semanas]]/4</f>
        <v>1.25</v>
      </c>
      <c r="AS75" s="269">
        <f>Tabla_query__2[[#This Row],[FinDes2]]-Tabla_query__2[[#This Row],[InicioDes2]]</f>
        <v>7</v>
      </c>
      <c r="AT75" s="261" t="s">
        <v>155</v>
      </c>
      <c r="AV75" s="435" t="s">
        <v>148</v>
      </c>
    </row>
    <row r="76" spans="1:50" ht="65.25" customHeight="1">
      <c r="A76" s="318" t="s">
        <v>130</v>
      </c>
      <c r="B76" s="262" t="s">
        <v>131</v>
      </c>
      <c r="C76" s="262" t="s">
        <v>375</v>
      </c>
      <c r="D76" s="262" t="s">
        <v>376</v>
      </c>
      <c r="E76" s="262" t="s">
        <v>310</v>
      </c>
      <c r="F76" s="264" t="s">
        <v>377</v>
      </c>
      <c r="G76" s="264" t="s">
        <v>210</v>
      </c>
      <c r="H76" s="259" t="s">
        <v>137</v>
      </c>
      <c r="I76" s="262" t="s">
        <v>260</v>
      </c>
      <c r="J76" s="262" t="s">
        <v>4</v>
      </c>
      <c r="K76" s="262"/>
      <c r="L76" s="262"/>
      <c r="M76" s="266" t="s">
        <v>330</v>
      </c>
      <c r="N76" s="262" t="s">
        <v>47</v>
      </c>
      <c r="O76" t="s">
        <v>305</v>
      </c>
      <c r="P76" s="262" t="s">
        <v>45</v>
      </c>
      <c r="Q76" s="262" t="s">
        <v>143</v>
      </c>
      <c r="R76" s="262" t="s">
        <v>144</v>
      </c>
      <c r="S76" s="261" t="s">
        <v>152</v>
      </c>
      <c r="T76" s="591" t="s">
        <v>221</v>
      </c>
      <c r="U76" s="261" t="s">
        <v>378</v>
      </c>
      <c r="V76" s="261" t="s">
        <v>210</v>
      </c>
      <c r="W76" s="261">
        <v>1</v>
      </c>
      <c r="X76" s="261">
        <v>3</v>
      </c>
      <c r="Y76" s="261">
        <f>Tabla_query__2[[#This Row],[Número
Semanas]]*5*8</f>
        <v>120</v>
      </c>
      <c r="Z76" s="268">
        <f>Tabla_query__2[[#This Row],[TOTAL]]/Tabla_query__2[[#This Row],[Número de Horas]]/2</f>
        <v>9.5416666666666661</v>
      </c>
      <c r="AA76" s="261">
        <v>1</v>
      </c>
      <c r="AB76" s="261">
        <v>550</v>
      </c>
      <c r="AC76" s="261"/>
      <c r="AD76" s="387">
        <f>(Tabla_query__2[[#This Row],[Número
Semanas]]*Tabla_query__2[[#This Row],[Número
Personas]]*Tabla_query__2[[#This Row],[Costo
Mano Obra/semana]]+640)*Tabla_query__2[[#This Row],[Factor País]]</f>
        <v>2290</v>
      </c>
      <c r="AE76" s="261"/>
      <c r="AF76" s="261"/>
      <c r="AG76" s="547" t="s">
        <v>354</v>
      </c>
      <c r="AH76" s="465">
        <v>45544</v>
      </c>
      <c r="AI76" s="283">
        <v>45551</v>
      </c>
      <c r="AJ76" s="462">
        <f>Tabla_query__2[[#This Row],[FinDes]]-Tabla_query__2[[#This Row],[InicioDes]]</f>
        <v>7</v>
      </c>
      <c r="AK76" s="283">
        <v>45551</v>
      </c>
      <c r="AL76" s="283">
        <v>45558</v>
      </c>
      <c r="AM76" s="462">
        <f t="shared" si="2"/>
        <v>364415</v>
      </c>
      <c r="AN76" s="283">
        <v>45558</v>
      </c>
      <c r="AO76" s="320">
        <v>45565</v>
      </c>
      <c r="AP76" s="320">
        <v>45536</v>
      </c>
      <c r="AQ76" s="281">
        <f>Tabla_query__2[[#This Row],[Inicio Real]]+(Tabla_query__2[[#This Row],[Número
Semanas]]*7)</f>
        <v>45557</v>
      </c>
      <c r="AR76" s="462">
        <f>Tabla_query__2[[#This Row],[Número
Semanas]]/4</f>
        <v>0.75</v>
      </c>
      <c r="AS76" s="269">
        <f>Tabla_query__2[[#This Row],[FinDes2]]-Tabla_query__2[[#This Row],[InicioDes2]]</f>
        <v>7</v>
      </c>
      <c r="AT76" s="261" t="s">
        <v>155</v>
      </c>
      <c r="AV76" s="445" t="s">
        <v>148</v>
      </c>
    </row>
    <row r="77" spans="1:50" ht="65.25" customHeight="1">
      <c r="A77" s="318" t="s">
        <v>130</v>
      </c>
      <c r="B77" s="262" t="s">
        <v>131</v>
      </c>
      <c r="C77" s="262" t="s">
        <v>375</v>
      </c>
      <c r="D77" s="262" t="s">
        <v>376</v>
      </c>
      <c r="E77" s="262" t="s">
        <v>310</v>
      </c>
      <c r="F77" s="264" t="s">
        <v>377</v>
      </c>
      <c r="G77" s="264" t="s">
        <v>210</v>
      </c>
      <c r="H77" s="259" t="s">
        <v>137</v>
      </c>
      <c r="I77" s="262" t="s">
        <v>260</v>
      </c>
      <c r="J77" s="262" t="s">
        <v>4</v>
      </c>
      <c r="K77" s="262"/>
      <c r="L77" s="262"/>
      <c r="M77" s="266" t="s">
        <v>140</v>
      </c>
      <c r="N77" s="262" t="s">
        <v>47</v>
      </c>
      <c r="O77" t="s">
        <v>305</v>
      </c>
      <c r="P77" s="262" t="s">
        <v>45</v>
      </c>
      <c r="Q77" s="262" t="s">
        <v>143</v>
      </c>
      <c r="R77" s="262" t="s">
        <v>144</v>
      </c>
      <c r="S77" s="261" t="s">
        <v>152</v>
      </c>
      <c r="T77" s="591" t="s">
        <v>320</v>
      </c>
      <c r="U77" s="261" t="s">
        <v>378</v>
      </c>
      <c r="V77" s="261" t="s">
        <v>210</v>
      </c>
      <c r="W77" s="261">
        <v>1</v>
      </c>
      <c r="X77" s="261">
        <v>3</v>
      </c>
      <c r="Y77" s="261">
        <f>Tabla_query__2[[#This Row],[Número
Semanas]]*5*8</f>
        <v>120</v>
      </c>
      <c r="Z77" s="268">
        <f>Tabla_query__2[[#This Row],[TOTAL]]/Tabla_query__2[[#This Row],[Número de Horas]]/2</f>
        <v>9.5416666666666661</v>
      </c>
      <c r="AA77" s="261">
        <v>1</v>
      </c>
      <c r="AB77" s="261">
        <v>550</v>
      </c>
      <c r="AC77" s="261"/>
      <c r="AD77" s="387">
        <f>(Tabla_query__2[[#This Row],[Número
Semanas]]*Tabla_query__2[[#This Row],[Número
Personas]]*Tabla_query__2[[#This Row],[Costo
Mano Obra/semana]]+640)*Tabla_query__2[[#This Row],[Factor País]]</f>
        <v>2290</v>
      </c>
      <c r="AE77" s="261"/>
      <c r="AF77" s="261"/>
      <c r="AG77" s="547" t="s">
        <v>322</v>
      </c>
      <c r="AH77" s="464">
        <v>45544</v>
      </c>
      <c r="AI77" s="283">
        <v>45551</v>
      </c>
      <c r="AJ77" s="462">
        <f>Tabla_query__2[[#This Row],[FinDes]]-Tabla_query__2[[#This Row],[InicioDes]]</f>
        <v>7</v>
      </c>
      <c r="AK77" s="283">
        <v>45551</v>
      </c>
      <c r="AL77" s="283">
        <v>45558</v>
      </c>
      <c r="AM77" s="462">
        <f t="shared" si="2"/>
        <v>364415</v>
      </c>
      <c r="AN77" s="283">
        <v>45558</v>
      </c>
      <c r="AO77" s="320">
        <v>45565</v>
      </c>
      <c r="AP77" s="320">
        <v>45566</v>
      </c>
      <c r="AQ77" s="281">
        <f>Tabla_query__2[[#This Row],[Inicio Real]]+(Tabla_query__2[[#This Row],[Número
Semanas]]*7)</f>
        <v>45587</v>
      </c>
      <c r="AR77" s="462">
        <f>Tabla_query__2[[#This Row],[Número
Semanas]]/4</f>
        <v>0.75</v>
      </c>
      <c r="AS77" s="269">
        <f>Tabla_query__2[[#This Row],[FinDes2]]-Tabla_query__2[[#This Row],[InicioDes2]]</f>
        <v>7</v>
      </c>
      <c r="AT77" s="261" t="s">
        <v>155</v>
      </c>
      <c r="AV77" s="445" t="s">
        <v>148</v>
      </c>
    </row>
    <row r="78" spans="1:50" ht="65.25" customHeight="1">
      <c r="A78" s="318" t="s">
        <v>130</v>
      </c>
      <c r="B78" s="262" t="s">
        <v>131</v>
      </c>
      <c r="C78" s="262" t="s">
        <v>375</v>
      </c>
      <c r="D78" s="262" t="s">
        <v>376</v>
      </c>
      <c r="E78" s="262" t="s">
        <v>310</v>
      </c>
      <c r="F78" s="264" t="s">
        <v>377</v>
      </c>
      <c r="G78" s="264" t="s">
        <v>210</v>
      </c>
      <c r="H78" s="259" t="s">
        <v>137</v>
      </c>
      <c r="I78" s="262" t="s">
        <v>260</v>
      </c>
      <c r="J78" s="262" t="s">
        <v>4</v>
      </c>
      <c r="K78" s="262"/>
      <c r="L78" s="262"/>
      <c r="M78" s="266" t="s">
        <v>328</v>
      </c>
      <c r="N78" s="262" t="s">
        <v>47</v>
      </c>
      <c r="O78" t="s">
        <v>305</v>
      </c>
      <c r="P78" s="262" t="s">
        <v>45</v>
      </c>
      <c r="Q78" s="262" t="s">
        <v>143</v>
      </c>
      <c r="R78" s="262" t="s">
        <v>144</v>
      </c>
      <c r="S78" s="261" t="s">
        <v>152</v>
      </c>
      <c r="T78" s="591" t="s">
        <v>221</v>
      </c>
      <c r="U78" s="261" t="s">
        <v>378</v>
      </c>
      <c r="V78" s="261" t="s">
        <v>210</v>
      </c>
      <c r="W78" s="261">
        <v>1</v>
      </c>
      <c r="X78" s="261">
        <v>3</v>
      </c>
      <c r="Y78" s="261">
        <f>Tabla_query__2[[#This Row],[Número
Semanas]]*5*8</f>
        <v>120</v>
      </c>
      <c r="Z78" s="268">
        <f>Tabla_query__2[[#This Row],[TOTAL]]/Tabla_query__2[[#This Row],[Número de Horas]]/2</f>
        <v>9.5416666666666661</v>
      </c>
      <c r="AA78" s="261">
        <v>1</v>
      </c>
      <c r="AB78" s="261">
        <v>550</v>
      </c>
      <c r="AC78" s="261"/>
      <c r="AD78" s="387">
        <f>(Tabla_query__2[[#This Row],[Número
Semanas]]*Tabla_query__2[[#This Row],[Número
Personas]]*Tabla_query__2[[#This Row],[Costo
Mano Obra/semana]]+640)*Tabla_query__2[[#This Row],[Factor País]]</f>
        <v>2290</v>
      </c>
      <c r="AE78" s="261"/>
      <c r="AF78" s="261"/>
      <c r="AG78" s="547" t="s">
        <v>147</v>
      </c>
      <c r="AH78" s="465">
        <v>45544</v>
      </c>
      <c r="AI78" s="283">
        <v>45551</v>
      </c>
      <c r="AJ78" s="462">
        <f>Tabla_query__2[[#This Row],[FinDes]]-Tabla_query__2[[#This Row],[InicioDes]]</f>
        <v>7</v>
      </c>
      <c r="AK78" s="283">
        <v>45551</v>
      </c>
      <c r="AL78" s="283">
        <v>45558</v>
      </c>
      <c r="AM78" s="462">
        <f t="shared" ref="AM78:AM109" si="3">AL78+ ((AK78*7))</f>
        <v>364415</v>
      </c>
      <c r="AN78" s="283">
        <v>45558</v>
      </c>
      <c r="AO78" s="283">
        <v>45565</v>
      </c>
      <c r="AP78" s="320">
        <v>45505</v>
      </c>
      <c r="AQ78" s="281">
        <f>Tabla_query__2[[#This Row],[Inicio Real]]+(Tabla_query__2[[#This Row],[Número
Semanas]]*7)</f>
        <v>45526</v>
      </c>
      <c r="AR78" s="462">
        <f>Tabla_query__2[[#This Row],[Número
Semanas]]/4</f>
        <v>0.75</v>
      </c>
      <c r="AS78" s="269">
        <f>Tabla_query__2[[#This Row],[FinDes2]]-Tabla_query__2[[#This Row],[InicioDes2]]</f>
        <v>7</v>
      </c>
      <c r="AT78" s="261" t="s">
        <v>155</v>
      </c>
      <c r="AV78" s="442" t="s">
        <v>148</v>
      </c>
    </row>
    <row r="79" spans="1:50" ht="34.5" customHeight="1">
      <c r="A79" s="318" t="s">
        <v>130</v>
      </c>
      <c r="B79" s="262" t="s">
        <v>131</v>
      </c>
      <c r="C79" s="262" t="s">
        <v>375</v>
      </c>
      <c r="D79" s="277" t="s">
        <v>376</v>
      </c>
      <c r="E79" s="262" t="s">
        <v>310</v>
      </c>
      <c r="F79" s="264" t="s">
        <v>377</v>
      </c>
      <c r="G79" s="264" t="s">
        <v>210</v>
      </c>
      <c r="H79" s="259" t="s">
        <v>137</v>
      </c>
      <c r="I79" s="262" t="s">
        <v>260</v>
      </c>
      <c r="J79" s="262" t="s">
        <v>4</v>
      </c>
      <c r="K79" s="262"/>
      <c r="L79" s="262"/>
      <c r="M79" s="266" t="s">
        <v>329</v>
      </c>
      <c r="N79" s="262" t="s">
        <v>47</v>
      </c>
      <c r="O79" t="s">
        <v>305</v>
      </c>
      <c r="P79" s="262" t="s">
        <v>45</v>
      </c>
      <c r="Q79" s="262" t="s">
        <v>143</v>
      </c>
      <c r="R79" s="262" t="s">
        <v>144</v>
      </c>
      <c r="S79" s="261" t="s">
        <v>152</v>
      </c>
      <c r="T79" s="591" t="s">
        <v>320</v>
      </c>
      <c r="U79" s="261" t="s">
        <v>378</v>
      </c>
      <c r="V79" s="261" t="s">
        <v>210</v>
      </c>
      <c r="W79" s="261">
        <v>1</v>
      </c>
      <c r="X79" s="261">
        <v>5</v>
      </c>
      <c r="Y79" s="261">
        <f>Tabla_query__2[[#This Row],[Número
Semanas]]*5*8</f>
        <v>200</v>
      </c>
      <c r="Z79" s="268">
        <f>Tabla_query__2[[#This Row],[TOTAL]]/Tabla_query__2[[#This Row],[Número de Horas]]/2</f>
        <v>8.4749999999999996</v>
      </c>
      <c r="AA79" s="261">
        <v>1</v>
      </c>
      <c r="AB79" s="261">
        <v>550</v>
      </c>
      <c r="AC79" s="261"/>
      <c r="AD79" s="387">
        <f>(Tabla_query__2[[#This Row],[Número
Semanas]]*Tabla_query__2[[#This Row],[Número
Personas]]*Tabla_query__2[[#This Row],[Costo
Mano Obra/semana]]+640)*Tabla_query__2[[#This Row],[Factor País]]</f>
        <v>3390</v>
      </c>
      <c r="AE79" s="261"/>
      <c r="AF79" s="261"/>
      <c r="AG79" s="547" t="s">
        <v>354</v>
      </c>
      <c r="AH79" s="464">
        <v>45544</v>
      </c>
      <c r="AI79" s="320">
        <v>45551</v>
      </c>
      <c r="AJ79" s="462">
        <f>Tabla_query__2[[#This Row],[FinDes]]-Tabla_query__2[[#This Row],[InicioDes]]</f>
        <v>7</v>
      </c>
      <c r="AK79" s="320">
        <v>45551</v>
      </c>
      <c r="AL79" s="320">
        <v>45558</v>
      </c>
      <c r="AM79" s="462">
        <f t="shared" si="3"/>
        <v>364415</v>
      </c>
      <c r="AN79" s="320">
        <v>45558</v>
      </c>
      <c r="AO79" s="283">
        <v>45579</v>
      </c>
      <c r="AP79" s="320">
        <v>45536</v>
      </c>
      <c r="AQ79" s="281">
        <f>Tabla_query__2[[#This Row],[Inicio Real]]+(Tabla_query__2[[#This Row],[Número
Semanas]]*7)</f>
        <v>45571</v>
      </c>
      <c r="AR79" s="462">
        <f>Tabla_query__2[[#This Row],[Número
Semanas]]/4</f>
        <v>1.25</v>
      </c>
      <c r="AS79" s="269">
        <f>Tabla_query__2[[#This Row],[FinDes2]]-Tabla_query__2[[#This Row],[InicioDes2]]</f>
        <v>21</v>
      </c>
      <c r="AT79" s="261" t="s">
        <v>155</v>
      </c>
      <c r="AV79" s="440" t="s">
        <v>148</v>
      </c>
    </row>
    <row r="80" spans="1:50">
      <c r="A80" s="318" t="s">
        <v>130</v>
      </c>
      <c r="B80" s="262" t="s">
        <v>131</v>
      </c>
      <c r="C80" s="262" t="s">
        <v>361</v>
      </c>
      <c r="D80" s="262" t="s">
        <v>379</v>
      </c>
      <c r="E80" s="262" t="s">
        <v>310</v>
      </c>
      <c r="F80" s="264" t="s">
        <v>380</v>
      </c>
      <c r="G80" s="264" t="s">
        <v>210</v>
      </c>
      <c r="H80" s="259" t="s">
        <v>204</v>
      </c>
      <c r="I80" s="262" t="s">
        <v>260</v>
      </c>
      <c r="J80" s="262" t="s">
        <v>4</v>
      </c>
      <c r="K80" s="262"/>
      <c r="L80" s="262"/>
      <c r="M80" s="266" t="s">
        <v>206</v>
      </c>
      <c r="N80" s="262" t="s">
        <v>47</v>
      </c>
      <c r="O80" t="s">
        <v>305</v>
      </c>
      <c r="P80" s="262" t="s">
        <v>45</v>
      </c>
      <c r="Q80" s="262" t="s">
        <v>143</v>
      </c>
      <c r="R80" s="262" t="s">
        <v>144</v>
      </c>
      <c r="S80" s="280" t="s">
        <v>221</v>
      </c>
      <c r="T80" s="591" t="s">
        <v>221</v>
      </c>
      <c r="U80" s="261" t="s">
        <v>381</v>
      </c>
      <c r="V80" s="261" t="s">
        <v>136</v>
      </c>
      <c r="W80" s="261"/>
      <c r="X80" s="261">
        <v>8</v>
      </c>
      <c r="Y80" s="261">
        <f>Tabla_query__2[[#This Row],[Número
Semanas]]*5*8</f>
        <v>320</v>
      </c>
      <c r="Z80" s="268">
        <f>Tabla_query__2[[#This Row],[TOTAL]]/Tabla_query__2[[#This Row],[Número de Horas]]/2</f>
        <v>14.75</v>
      </c>
      <c r="AA80" s="261">
        <v>2</v>
      </c>
      <c r="AB80" s="261">
        <v>550</v>
      </c>
      <c r="AC80" s="261"/>
      <c r="AD80" s="268">
        <f>Tabla_query__2[[#This Row],[Número
Semanas]]*Tabla_query__2[[#This Row],[Número
Personas]]*Tabla_query__2[[#This Row],[Costo
Mano Obra/semana]] + 640</f>
        <v>9440</v>
      </c>
      <c r="AE80" s="261"/>
      <c r="AF80" s="261"/>
      <c r="AG80" s="547" t="s">
        <v>147</v>
      </c>
      <c r="AH80" s="463">
        <v>45508</v>
      </c>
      <c r="AI80" s="456">
        <v>45543</v>
      </c>
      <c r="AJ80" s="462">
        <f>Tabla_query__2[[#This Row],[FinDes]]-Tabla_query__2[[#This Row],[InicioDes]]</f>
        <v>35</v>
      </c>
      <c r="AK80" s="456">
        <v>45543</v>
      </c>
      <c r="AL80" s="456">
        <v>45550</v>
      </c>
      <c r="AM80" s="462">
        <f t="shared" si="3"/>
        <v>364351</v>
      </c>
      <c r="AN80" s="456">
        <v>45550</v>
      </c>
      <c r="AO80" s="456">
        <v>45564</v>
      </c>
      <c r="AP80" s="456">
        <v>45505</v>
      </c>
      <c r="AQ80" s="281">
        <f>Tabla_query__2[[#This Row],[Inicio Real]]+(Tabla_query__2[[#This Row],[Número
Semanas]]*7)</f>
        <v>45561</v>
      </c>
      <c r="AR80" s="462">
        <f>Tabla_query__2[[#This Row],[Número
Semanas]]/4</f>
        <v>2</v>
      </c>
      <c r="AS80" s="269">
        <f>Tabla_query__2[[#This Row],[FinDes2]]-Tabla_query__2[[#This Row],[InicioDes2]]</f>
        <v>14</v>
      </c>
      <c r="AT80" s="261" t="s">
        <v>315</v>
      </c>
      <c r="AV80" s="434" t="s">
        <v>148</v>
      </c>
    </row>
    <row r="81" spans="1:50" ht="28.5" customHeight="1">
      <c r="A81" s="318" t="s">
        <v>130</v>
      </c>
      <c r="B81" s="262" t="s">
        <v>131</v>
      </c>
      <c r="C81" s="262" t="s">
        <v>361</v>
      </c>
      <c r="D81" s="262" t="s">
        <v>382</v>
      </c>
      <c r="E81" s="262" t="s">
        <v>310</v>
      </c>
      <c r="F81" s="264" t="s">
        <v>383</v>
      </c>
      <c r="G81" s="264" t="s">
        <v>146</v>
      </c>
      <c r="H81" s="259" t="s">
        <v>204</v>
      </c>
      <c r="I81" s="262" t="s">
        <v>260</v>
      </c>
      <c r="J81" s="262" t="s">
        <v>4</v>
      </c>
      <c r="K81" s="262"/>
      <c r="L81" s="262"/>
      <c r="M81" s="266" t="s">
        <v>206</v>
      </c>
      <c r="N81" s="262" t="s">
        <v>47</v>
      </c>
      <c r="O81" t="s">
        <v>305</v>
      </c>
      <c r="P81" s="262" t="s">
        <v>45</v>
      </c>
      <c r="Q81" s="262" t="s">
        <v>143</v>
      </c>
      <c r="R81" s="262" t="s">
        <v>144</v>
      </c>
      <c r="S81" s="280" t="s">
        <v>221</v>
      </c>
      <c r="T81" s="591" t="s">
        <v>221</v>
      </c>
      <c r="U81" s="261" t="s">
        <v>384</v>
      </c>
      <c r="V81" s="261" t="s">
        <v>136</v>
      </c>
      <c r="W81" s="261"/>
      <c r="X81" s="261">
        <v>7</v>
      </c>
      <c r="Y81" s="261">
        <f>Tabla_query__2[[#This Row],[Número
Semanas]]*5*8</f>
        <v>280</v>
      </c>
      <c r="Z81" s="268">
        <f>Tabla_query__2[[#This Row],[TOTAL]]/Tabla_query__2[[#This Row],[Número de Horas]]/2</f>
        <v>14.892857142857142</v>
      </c>
      <c r="AA81" s="261">
        <v>2</v>
      </c>
      <c r="AB81" s="261">
        <v>550</v>
      </c>
      <c r="AC81" s="261"/>
      <c r="AD81" s="268">
        <f>Tabla_query__2[[#This Row],[Número
Semanas]]*Tabla_query__2[[#This Row],[Número
Personas]]*Tabla_query__2[[#This Row],[Costo
Mano Obra/semana]] + 640</f>
        <v>8340</v>
      </c>
      <c r="AE81" s="261"/>
      <c r="AF81" s="261"/>
      <c r="AG81" s="547" t="s">
        <v>147</v>
      </c>
      <c r="AH81" s="463">
        <v>45516</v>
      </c>
      <c r="AI81" s="456">
        <v>45544</v>
      </c>
      <c r="AJ81" s="462">
        <f>Tabla_query__2[[#This Row],[FinDes]]-Tabla_query__2[[#This Row],[InicioDes]]</f>
        <v>28</v>
      </c>
      <c r="AK81" s="456">
        <v>45544</v>
      </c>
      <c r="AL81" s="456">
        <v>45558</v>
      </c>
      <c r="AM81" s="462">
        <f t="shared" si="3"/>
        <v>364366</v>
      </c>
      <c r="AN81" s="456">
        <v>45558</v>
      </c>
      <c r="AO81" s="456">
        <v>45565</v>
      </c>
      <c r="AP81" s="456">
        <v>45505</v>
      </c>
      <c r="AQ81" s="281">
        <f>Tabla_query__2[[#This Row],[Inicio Real]]+(Tabla_query__2[[#This Row],[Número
Semanas]]*7)</f>
        <v>45554</v>
      </c>
      <c r="AR81" s="462">
        <f>Tabla_query__2[[#This Row],[Número
Semanas]]/4</f>
        <v>1.75</v>
      </c>
      <c r="AS81" s="269">
        <f>Tabla_query__2[[#This Row],[FinDes2]]-Tabla_query__2[[#This Row],[InicioDes2]]</f>
        <v>7</v>
      </c>
      <c r="AT81" s="261" t="s">
        <v>315</v>
      </c>
      <c r="AV81" s="434" t="s">
        <v>148</v>
      </c>
    </row>
    <row r="82" spans="1:50" ht="28.5" customHeight="1">
      <c r="A82" s="318" t="s">
        <v>130</v>
      </c>
      <c r="B82" s="262" t="s">
        <v>131</v>
      </c>
      <c r="C82" s="262" t="s">
        <v>333</v>
      </c>
      <c r="D82" s="262" t="s">
        <v>385</v>
      </c>
      <c r="E82" s="262" t="s">
        <v>164</v>
      </c>
      <c r="F82" s="264" t="s">
        <v>386</v>
      </c>
      <c r="G82" s="290" t="s">
        <v>136</v>
      </c>
      <c r="H82" s="259" t="s">
        <v>204</v>
      </c>
      <c r="I82" s="262" t="s">
        <v>260</v>
      </c>
      <c r="J82" s="262" t="s">
        <v>4</v>
      </c>
      <c r="K82" s="262"/>
      <c r="L82" s="262"/>
      <c r="M82" s="266" t="s">
        <v>206</v>
      </c>
      <c r="N82" s="262" t="s">
        <v>47</v>
      </c>
      <c r="O82" t="s">
        <v>305</v>
      </c>
      <c r="P82" s="262" t="s">
        <v>45</v>
      </c>
      <c r="Q82" s="262" t="s">
        <v>143</v>
      </c>
      <c r="R82" s="262" t="s">
        <v>144</v>
      </c>
      <c r="S82" s="280" t="s">
        <v>145</v>
      </c>
      <c r="T82" s="589" t="s">
        <v>221</v>
      </c>
      <c r="U82" s="261" t="s">
        <v>387</v>
      </c>
      <c r="V82" s="261" t="s">
        <v>136</v>
      </c>
      <c r="W82" s="261"/>
      <c r="X82" s="261">
        <v>5</v>
      </c>
      <c r="Y82" s="261">
        <f>Tabla_query__2[[#This Row],[Número
Semanas]]*5*8</f>
        <v>200</v>
      </c>
      <c r="Z82" s="268">
        <f>Tabla_query__2[[#This Row],[TOTAL]]/Tabla_query__2[[#This Row],[Número de Horas]]/2</f>
        <v>8.4749999999999996</v>
      </c>
      <c r="AA82" s="261">
        <v>1</v>
      </c>
      <c r="AB82" s="261">
        <v>550</v>
      </c>
      <c r="AC82" s="261"/>
      <c r="AD82" s="268">
        <f>Tabla_query__2[[#This Row],[Número
Semanas]]*Tabla_query__2[[#This Row],[Número
Personas]]*Tabla_query__2[[#This Row],[Costo
Mano Obra/semana]] + 640</f>
        <v>3390</v>
      </c>
      <c r="AE82" s="261"/>
      <c r="AF82" s="261"/>
      <c r="AG82" s="590" t="s">
        <v>154</v>
      </c>
      <c r="AH82" s="281">
        <v>45369</v>
      </c>
      <c r="AI82" s="281">
        <v>45390</v>
      </c>
      <c r="AJ82" s="462">
        <f>Tabla_query__2[[#This Row],[FinDes]]-Tabla_query__2[[#This Row],[InicioDes]]</f>
        <v>21</v>
      </c>
      <c r="AK82" s="281">
        <v>45390</v>
      </c>
      <c r="AL82" s="281">
        <v>45397</v>
      </c>
      <c r="AM82" s="462">
        <f t="shared" si="3"/>
        <v>363127</v>
      </c>
      <c r="AN82" s="281">
        <v>45397</v>
      </c>
      <c r="AO82" s="281">
        <v>45404</v>
      </c>
      <c r="AP82" s="281">
        <v>45444</v>
      </c>
      <c r="AQ82" s="281">
        <f>Tabla_query__2[[#This Row],[Inicio Real]]+(Tabla_query__2[[#This Row],[Número
Semanas]]*7)</f>
        <v>45479</v>
      </c>
      <c r="AR82" s="462">
        <f>Tabla_query__2[[#This Row],[Número
Semanas]]/4</f>
        <v>1.25</v>
      </c>
      <c r="AS82" s="587">
        <f>Tabla_query__2[[#This Row],[FinDes2]]-Tabla_query__2[[#This Row],[InicioDes2]]</f>
        <v>7</v>
      </c>
      <c r="AT82" s="261" t="s">
        <v>315</v>
      </c>
      <c r="AW82" s="559"/>
      <c r="AX82" t="s">
        <v>341</v>
      </c>
    </row>
    <row r="83" spans="1:50" ht="28.5" customHeight="1">
      <c r="A83" s="318" t="s">
        <v>130</v>
      </c>
      <c r="B83" s="262" t="s">
        <v>131</v>
      </c>
      <c r="C83" s="262" t="s">
        <v>375</v>
      </c>
      <c r="D83" s="277" t="s">
        <v>388</v>
      </c>
      <c r="E83" s="262" t="s">
        <v>310</v>
      </c>
      <c r="F83" s="264" t="s">
        <v>389</v>
      </c>
      <c r="G83" s="264" t="s">
        <v>210</v>
      </c>
      <c r="H83" s="259" t="s">
        <v>204</v>
      </c>
      <c r="I83" s="262" t="s">
        <v>260</v>
      </c>
      <c r="J83" s="262" t="s">
        <v>4</v>
      </c>
      <c r="K83" s="262"/>
      <c r="L83" s="262"/>
      <c r="M83" s="266" t="s">
        <v>206</v>
      </c>
      <c r="N83" s="262" t="s">
        <v>47</v>
      </c>
      <c r="O83" t="s">
        <v>305</v>
      </c>
      <c r="P83" s="262" t="s">
        <v>45</v>
      </c>
      <c r="Q83" s="262" t="s">
        <v>143</v>
      </c>
      <c r="R83" s="262" t="s">
        <v>144</v>
      </c>
      <c r="S83" s="280" t="s">
        <v>221</v>
      </c>
      <c r="T83" s="591" t="s">
        <v>221</v>
      </c>
      <c r="U83" s="261" t="s">
        <v>390</v>
      </c>
      <c r="V83" s="261" t="s">
        <v>136</v>
      </c>
      <c r="W83" s="261"/>
      <c r="X83" s="261">
        <v>6</v>
      </c>
      <c r="Y83" s="261">
        <f>Tabla_query__2[[#This Row],[Número
Semanas]]*5*8</f>
        <v>240</v>
      </c>
      <c r="Z83" s="268">
        <f>Tabla_query__2[[#This Row],[TOTAL]]/Tabla_query__2[[#This Row],[Número de Horas]]/2</f>
        <v>8.2083333333333339</v>
      </c>
      <c r="AA83" s="261">
        <v>1</v>
      </c>
      <c r="AB83" s="261">
        <v>550</v>
      </c>
      <c r="AC83" s="261"/>
      <c r="AD83" s="268">
        <f>Tabla_query__2[[#This Row],[Número
Semanas]]*Tabla_query__2[[#This Row],[Número
Personas]]*Tabla_query__2[[#This Row],[Costo
Mano Obra/semana]] + 640</f>
        <v>3940</v>
      </c>
      <c r="AE83" s="261"/>
      <c r="AF83" s="261"/>
      <c r="AG83" s="547" t="s">
        <v>147</v>
      </c>
      <c r="AH83" s="463">
        <v>45523</v>
      </c>
      <c r="AI83" s="456">
        <v>45537</v>
      </c>
      <c r="AJ83" s="462">
        <f>Tabla_query__2[[#This Row],[FinDes]]-Tabla_query__2[[#This Row],[InicioDes]]</f>
        <v>14</v>
      </c>
      <c r="AK83" s="456">
        <v>45537</v>
      </c>
      <c r="AL83" s="456">
        <v>45544</v>
      </c>
      <c r="AM83" s="462">
        <f t="shared" si="3"/>
        <v>364303</v>
      </c>
      <c r="AN83" s="456">
        <v>45544</v>
      </c>
      <c r="AO83" s="682">
        <v>45551</v>
      </c>
      <c r="AP83" s="456">
        <v>45505</v>
      </c>
      <c r="AQ83" s="281">
        <f>Tabla_query__2[[#This Row],[Inicio Real]]+(Tabla_query__2[[#This Row],[Número
Semanas]]*7)</f>
        <v>45547</v>
      </c>
      <c r="AR83" s="462">
        <f>Tabla_query__2[[#This Row],[Número
Semanas]]/4</f>
        <v>1.5</v>
      </c>
      <c r="AS83" s="269">
        <f>Tabla_query__2[[#This Row],[FinDes2]]-Tabla_query__2[[#This Row],[InicioDes2]]</f>
        <v>7</v>
      </c>
      <c r="AT83" s="261" t="s">
        <v>315</v>
      </c>
    </row>
    <row r="84" spans="1:50" ht="34.5" customHeight="1">
      <c r="A84" s="318" t="s">
        <v>130</v>
      </c>
      <c r="B84" s="262" t="s">
        <v>131</v>
      </c>
      <c r="C84" s="262" t="s">
        <v>361</v>
      </c>
      <c r="D84" s="262" t="s">
        <v>391</v>
      </c>
      <c r="E84" s="262" t="s">
        <v>310</v>
      </c>
      <c r="F84" s="264" t="s">
        <v>392</v>
      </c>
      <c r="G84" s="264" t="s">
        <v>146</v>
      </c>
      <c r="H84" s="259" t="s">
        <v>137</v>
      </c>
      <c r="I84" s="262" t="s">
        <v>260</v>
      </c>
      <c r="J84" s="262" t="s">
        <v>4</v>
      </c>
      <c r="K84" s="262"/>
      <c r="L84" s="262"/>
      <c r="M84" s="266" t="s">
        <v>206</v>
      </c>
      <c r="N84" s="262" t="s">
        <v>47</v>
      </c>
      <c r="O84" t="s">
        <v>305</v>
      </c>
      <c r="P84" s="262" t="s">
        <v>45</v>
      </c>
      <c r="Q84" s="262" t="s">
        <v>143</v>
      </c>
      <c r="R84" s="262" t="s">
        <v>144</v>
      </c>
      <c r="S84" s="280" t="s">
        <v>221</v>
      </c>
      <c r="T84" s="591" t="s">
        <v>221</v>
      </c>
      <c r="U84" s="261" t="s">
        <v>393</v>
      </c>
      <c r="V84" s="261" t="s">
        <v>136</v>
      </c>
      <c r="W84" s="261"/>
      <c r="X84" s="261">
        <v>4</v>
      </c>
      <c r="Y84" s="261">
        <f>Tabla_query__2[[#This Row],[Número
Semanas]]*5*8</f>
        <v>160</v>
      </c>
      <c r="Z84" s="268">
        <f>Tabla_query__2[[#This Row],[TOTAL]]/Tabla_query__2[[#This Row],[Número de Horas]]/2</f>
        <v>14.15</v>
      </c>
      <c r="AA84" s="261">
        <v>2</v>
      </c>
      <c r="AB84" s="261">
        <v>550</v>
      </c>
      <c r="AC84" s="261"/>
      <c r="AD84" s="268">
        <f>Tabla_query__2[[#This Row],[Número
Semanas]]*Tabla_query__2[[#This Row],[Número
Personas]]*Tabla_query__2[[#This Row],[Costo
Mano Obra/semana]]+128</f>
        <v>4528</v>
      </c>
      <c r="AE84" s="261"/>
      <c r="AF84" s="261"/>
      <c r="AG84" s="547" t="s">
        <v>147</v>
      </c>
      <c r="AH84" s="463">
        <v>45502</v>
      </c>
      <c r="AI84" s="456">
        <v>45537</v>
      </c>
      <c r="AJ84" s="462">
        <f>Tabla_query__2[[#This Row],[FinDes]]-Tabla_query__2[[#This Row],[InicioDes]]</f>
        <v>35</v>
      </c>
      <c r="AK84" s="456">
        <v>45537</v>
      </c>
      <c r="AL84" s="456">
        <v>45551</v>
      </c>
      <c r="AM84" s="462">
        <f t="shared" si="3"/>
        <v>364310</v>
      </c>
      <c r="AN84" s="456">
        <v>45551</v>
      </c>
      <c r="AO84" s="682">
        <v>45558</v>
      </c>
      <c r="AP84" s="320">
        <v>45505</v>
      </c>
      <c r="AQ84" s="281">
        <f>Tabla_query__2[[#This Row],[Inicio Real]]+(Tabla_query__2[[#This Row],[Número
Semanas]]*7)</f>
        <v>45533</v>
      </c>
      <c r="AR84" s="462">
        <f>Tabla_query__2[[#This Row],[Número
Semanas]]/4</f>
        <v>1</v>
      </c>
      <c r="AS84" s="269">
        <f>Tabla_query__2[[#This Row],[FinDes2]]-Tabla_query__2[[#This Row],[InicioDes2]]</f>
        <v>7</v>
      </c>
      <c r="AT84" s="261" t="s">
        <v>315</v>
      </c>
      <c r="AV84" s="434" t="s">
        <v>148</v>
      </c>
    </row>
    <row r="85" spans="1:50">
      <c r="A85" s="318" t="s">
        <v>130</v>
      </c>
      <c r="B85" s="262" t="s">
        <v>131</v>
      </c>
      <c r="C85" s="262" t="s">
        <v>361</v>
      </c>
      <c r="D85" s="262" t="s">
        <v>391</v>
      </c>
      <c r="E85" s="262" t="s">
        <v>310</v>
      </c>
      <c r="F85" s="264" t="s">
        <v>392</v>
      </c>
      <c r="G85" s="264" t="s">
        <v>146</v>
      </c>
      <c r="H85" s="259" t="s">
        <v>137</v>
      </c>
      <c r="I85" s="262" t="s">
        <v>260</v>
      </c>
      <c r="J85" s="262" t="s">
        <v>4</v>
      </c>
      <c r="K85" s="262"/>
      <c r="L85" s="262"/>
      <c r="M85" s="266" t="s">
        <v>328</v>
      </c>
      <c r="N85" s="262" t="s">
        <v>47</v>
      </c>
      <c r="O85" t="s">
        <v>305</v>
      </c>
      <c r="P85" s="262" t="s">
        <v>45</v>
      </c>
      <c r="Q85" s="262" t="s">
        <v>143</v>
      </c>
      <c r="R85" s="262" t="s">
        <v>144</v>
      </c>
      <c r="S85" s="280" t="s">
        <v>221</v>
      </c>
      <c r="T85" s="591" t="s">
        <v>221</v>
      </c>
      <c r="U85" s="261" t="s">
        <v>393</v>
      </c>
      <c r="V85" s="261" t="s">
        <v>136</v>
      </c>
      <c r="W85" s="261"/>
      <c r="X85" s="261">
        <v>2</v>
      </c>
      <c r="Y85" s="261">
        <f>Tabla_query__2[[#This Row],[Número
Semanas]]*5*8</f>
        <v>80</v>
      </c>
      <c r="Z85" s="268">
        <f>Tabla_query__2[[#This Row],[TOTAL]]/Tabla_query__2[[#This Row],[Número de Horas]]/2</f>
        <v>14.55</v>
      </c>
      <c r="AA85" s="261">
        <v>2</v>
      </c>
      <c r="AB85" s="261">
        <v>550</v>
      </c>
      <c r="AC85" s="261"/>
      <c r="AD85" s="268">
        <f>Tabla_query__2[[#This Row],[Número
Semanas]]*Tabla_query__2[[#This Row],[Número
Personas]]*Tabla_query__2[[#This Row],[Costo
Mano Obra/semana]]+128</f>
        <v>2328</v>
      </c>
      <c r="AE85" s="261"/>
      <c r="AF85" s="261"/>
      <c r="AG85" s="547" t="s">
        <v>354</v>
      </c>
      <c r="AH85" s="463">
        <v>45502</v>
      </c>
      <c r="AI85" s="456">
        <v>45537</v>
      </c>
      <c r="AJ85" s="462">
        <f>Tabla_query__2[[#This Row],[FinDes]]-Tabla_query__2[[#This Row],[InicioDes]]</f>
        <v>35</v>
      </c>
      <c r="AK85" s="456">
        <v>45537</v>
      </c>
      <c r="AL85" s="456">
        <v>45551</v>
      </c>
      <c r="AM85" s="462">
        <f t="shared" si="3"/>
        <v>364310</v>
      </c>
      <c r="AN85" s="456">
        <v>45551</v>
      </c>
      <c r="AO85" s="682">
        <v>45558</v>
      </c>
      <c r="AP85" s="320">
        <v>45536</v>
      </c>
      <c r="AQ85" s="528">
        <f>Tabla_query__2[[#This Row],[Inicio Real]]+(Tabla_query__2[[#This Row],[Número
Semanas]]*7)</f>
        <v>45550</v>
      </c>
      <c r="AR85" s="462">
        <f>Tabla_query__2[[#This Row],[Número
Semanas]]/4</f>
        <v>0.5</v>
      </c>
      <c r="AS85" s="269">
        <f>Tabla_query__2[[#This Row],[FinDes2]]-Tabla_query__2[[#This Row],[InicioDes2]]</f>
        <v>7</v>
      </c>
      <c r="AT85" s="261" t="s">
        <v>315</v>
      </c>
      <c r="AV85" s="434" t="s">
        <v>148</v>
      </c>
      <c r="AX85" t="s">
        <v>341</v>
      </c>
    </row>
    <row r="86" spans="1:50">
      <c r="A86" s="318" t="s">
        <v>130</v>
      </c>
      <c r="B86" s="262" t="s">
        <v>131</v>
      </c>
      <c r="C86" s="262" t="s">
        <v>361</v>
      </c>
      <c r="D86" s="262" t="s">
        <v>391</v>
      </c>
      <c r="E86" s="262" t="s">
        <v>310</v>
      </c>
      <c r="F86" s="264" t="s">
        <v>392</v>
      </c>
      <c r="G86" s="264" t="s">
        <v>146</v>
      </c>
      <c r="H86" s="259" t="s">
        <v>137</v>
      </c>
      <c r="I86" s="262" t="s">
        <v>260</v>
      </c>
      <c r="J86" s="262" t="s">
        <v>4</v>
      </c>
      <c r="K86" s="262"/>
      <c r="L86" s="262"/>
      <c r="M86" s="266" t="s">
        <v>329</v>
      </c>
      <c r="N86" s="262" t="s">
        <v>47</v>
      </c>
      <c r="O86" t="s">
        <v>305</v>
      </c>
      <c r="P86" s="262" t="s">
        <v>45</v>
      </c>
      <c r="Q86" s="262" t="s">
        <v>143</v>
      </c>
      <c r="R86" s="262" t="s">
        <v>144</v>
      </c>
      <c r="S86" s="280" t="s">
        <v>221</v>
      </c>
      <c r="T86" s="591" t="s">
        <v>221</v>
      </c>
      <c r="U86" s="261" t="s">
        <v>393</v>
      </c>
      <c r="V86" s="261" t="s">
        <v>136</v>
      </c>
      <c r="W86" s="261"/>
      <c r="X86" s="261">
        <v>2</v>
      </c>
      <c r="Y86" s="261">
        <f>Tabla_query__2[[#This Row],[Número
Semanas]]*5*8</f>
        <v>80</v>
      </c>
      <c r="Z86" s="268">
        <f>Tabla_query__2[[#This Row],[TOTAL]]/Tabla_query__2[[#This Row],[Número de Horas]]/2</f>
        <v>13.75</v>
      </c>
      <c r="AA86" s="261">
        <v>2</v>
      </c>
      <c r="AB86" s="261">
        <v>550</v>
      </c>
      <c r="AC86" s="261"/>
      <c r="AD86" s="268">
        <f>Tabla_query__2[[#This Row],[Número
Semanas]]*Tabla_query__2[[#This Row],[Número
Personas]]*Tabla_query__2[[#This Row],[Costo
Mano Obra/semana]]</f>
        <v>2200</v>
      </c>
      <c r="AE86" s="261"/>
      <c r="AF86" s="261"/>
      <c r="AG86" s="547" t="s">
        <v>354</v>
      </c>
      <c r="AH86" s="463">
        <v>45502</v>
      </c>
      <c r="AI86" s="456">
        <v>45537</v>
      </c>
      <c r="AJ86" s="462">
        <f>Tabla_query__2[[#This Row],[FinDes]]-Tabla_query__2[[#This Row],[InicioDes]]</f>
        <v>35</v>
      </c>
      <c r="AK86" s="456">
        <v>45537</v>
      </c>
      <c r="AL86" s="456">
        <v>45551</v>
      </c>
      <c r="AM86" s="462">
        <f t="shared" si="3"/>
        <v>364310</v>
      </c>
      <c r="AN86" s="456">
        <v>45551</v>
      </c>
      <c r="AO86" s="456">
        <v>45558</v>
      </c>
      <c r="AP86" s="320">
        <v>45536</v>
      </c>
      <c r="AQ86" s="281">
        <f>Tabla_query__2[[#This Row],[Inicio Real]]+(Tabla_query__2[[#This Row],[Número
Semanas]]*7)</f>
        <v>45550</v>
      </c>
      <c r="AR86" s="462">
        <f>Tabla_query__2[[#This Row],[Número
Semanas]]/4</f>
        <v>0.5</v>
      </c>
      <c r="AS86" s="269">
        <f>Tabla_query__2[[#This Row],[FinDes2]]-Tabla_query__2[[#This Row],[InicioDes2]]</f>
        <v>7</v>
      </c>
      <c r="AT86" s="261" t="s">
        <v>315</v>
      </c>
      <c r="AV86" s="434" t="s">
        <v>148</v>
      </c>
      <c r="AW86" t="s">
        <v>394</v>
      </c>
      <c r="AX86" t="s">
        <v>341</v>
      </c>
    </row>
    <row r="87" spans="1:50">
      <c r="A87" s="318" t="s">
        <v>130</v>
      </c>
      <c r="B87" s="262" t="s">
        <v>131</v>
      </c>
      <c r="C87" s="262" t="s">
        <v>361</v>
      </c>
      <c r="D87" s="277" t="s">
        <v>391</v>
      </c>
      <c r="E87" s="262" t="s">
        <v>310</v>
      </c>
      <c r="F87" s="264" t="s">
        <v>392</v>
      </c>
      <c r="G87" s="264" t="s">
        <v>146</v>
      </c>
      <c r="H87" s="259" t="s">
        <v>137</v>
      </c>
      <c r="I87" s="262" t="s">
        <v>260</v>
      </c>
      <c r="J87" s="262" t="s">
        <v>4</v>
      </c>
      <c r="K87" s="262"/>
      <c r="L87" s="262"/>
      <c r="M87" s="266" t="s">
        <v>330</v>
      </c>
      <c r="N87" s="262" t="s">
        <v>47</v>
      </c>
      <c r="O87" t="s">
        <v>305</v>
      </c>
      <c r="P87" s="262" t="s">
        <v>45</v>
      </c>
      <c r="Q87" s="262" t="s">
        <v>143</v>
      </c>
      <c r="R87" s="262" t="s">
        <v>144</v>
      </c>
      <c r="S87" s="280" t="s">
        <v>221</v>
      </c>
      <c r="T87" s="591" t="s">
        <v>221</v>
      </c>
      <c r="U87" s="261" t="s">
        <v>393</v>
      </c>
      <c r="V87" s="261" t="s">
        <v>136</v>
      </c>
      <c r="W87" s="261"/>
      <c r="X87" s="261">
        <v>1</v>
      </c>
      <c r="Y87" s="261">
        <f>Tabla_query__2[[#This Row],[Número
Semanas]]*5*8</f>
        <v>40</v>
      </c>
      <c r="Z87" s="268">
        <f>Tabla_query__2[[#This Row],[TOTAL]]/Tabla_query__2[[#This Row],[Número de Horas]]/2</f>
        <v>15.75</v>
      </c>
      <c r="AA87" s="261">
        <v>2</v>
      </c>
      <c r="AB87" s="261">
        <v>550</v>
      </c>
      <c r="AC87" s="261"/>
      <c r="AD87" s="268">
        <f>Tabla_query__2[[#This Row],[Número
Semanas]]*Tabla_query__2[[#This Row],[Número
Personas]]*Tabla_query__2[[#This Row],[Costo
Mano Obra/semana]]+160</f>
        <v>1260</v>
      </c>
      <c r="AE87" s="261"/>
      <c r="AF87" s="261"/>
      <c r="AG87" s="547" t="s">
        <v>354</v>
      </c>
      <c r="AH87" s="463">
        <v>45502</v>
      </c>
      <c r="AI87" s="456">
        <v>45537</v>
      </c>
      <c r="AJ87" s="462">
        <f>Tabla_query__2[[#This Row],[FinDes]]-Tabla_query__2[[#This Row],[InicioDes]]</f>
        <v>35</v>
      </c>
      <c r="AK87" s="456">
        <v>45537</v>
      </c>
      <c r="AL87" s="456">
        <v>45551</v>
      </c>
      <c r="AM87" s="462">
        <f t="shared" si="3"/>
        <v>364310</v>
      </c>
      <c r="AN87" s="456">
        <v>45551</v>
      </c>
      <c r="AO87" s="456">
        <v>45558</v>
      </c>
      <c r="AP87" s="320">
        <v>45536</v>
      </c>
      <c r="AQ87" s="281">
        <f>Tabla_query__2[[#This Row],[Inicio Real]]+(Tabla_query__2[[#This Row],[Número
Semanas]]*7)</f>
        <v>45543</v>
      </c>
      <c r="AR87" s="462">
        <f>Tabla_query__2[[#This Row],[Número
Semanas]]/4</f>
        <v>0.25</v>
      </c>
      <c r="AS87" s="269">
        <f>Tabla_query__2[[#This Row],[FinDes2]]-Tabla_query__2[[#This Row],[InicioDes2]]</f>
        <v>7</v>
      </c>
      <c r="AT87" s="261" t="s">
        <v>315</v>
      </c>
      <c r="AV87" s="434" t="s">
        <v>148</v>
      </c>
      <c r="AW87" t="s">
        <v>395</v>
      </c>
      <c r="AX87" t="s">
        <v>341</v>
      </c>
    </row>
    <row r="88" spans="1:50">
      <c r="A88" s="318" t="s">
        <v>130</v>
      </c>
      <c r="B88" s="262" t="s">
        <v>131</v>
      </c>
      <c r="C88" s="262" t="s">
        <v>361</v>
      </c>
      <c r="D88" s="262" t="s">
        <v>391</v>
      </c>
      <c r="E88" s="262" t="s">
        <v>310</v>
      </c>
      <c r="F88" s="264" t="s">
        <v>392</v>
      </c>
      <c r="G88" s="264" t="s">
        <v>146</v>
      </c>
      <c r="H88" s="259" t="s">
        <v>137</v>
      </c>
      <c r="I88" s="262" t="s">
        <v>260</v>
      </c>
      <c r="J88" s="262" t="s">
        <v>4</v>
      </c>
      <c r="K88" s="262"/>
      <c r="L88" s="262"/>
      <c r="M88" s="266" t="s">
        <v>140</v>
      </c>
      <c r="N88" s="262" t="s">
        <v>47</v>
      </c>
      <c r="O88" t="s">
        <v>305</v>
      </c>
      <c r="P88" s="262" t="s">
        <v>45</v>
      </c>
      <c r="Q88" s="262" t="s">
        <v>143</v>
      </c>
      <c r="R88" s="262" t="s">
        <v>144</v>
      </c>
      <c r="S88" s="280" t="s">
        <v>221</v>
      </c>
      <c r="T88" s="591" t="s">
        <v>221</v>
      </c>
      <c r="U88" s="261" t="s">
        <v>393</v>
      </c>
      <c r="V88" s="261" t="s">
        <v>136</v>
      </c>
      <c r="W88" s="261"/>
      <c r="X88" s="261">
        <v>1</v>
      </c>
      <c r="Y88" s="261">
        <f>Tabla_query__2[[#This Row],[Número
Semanas]]*5*8</f>
        <v>40</v>
      </c>
      <c r="Z88" s="268">
        <f>Tabla_query__2[[#This Row],[TOTAL]]/Tabla_query__2[[#This Row],[Número de Horas]]/2</f>
        <v>15.75</v>
      </c>
      <c r="AA88" s="261">
        <v>2</v>
      </c>
      <c r="AB88" s="261">
        <v>550</v>
      </c>
      <c r="AC88" s="261"/>
      <c r="AD88" s="268">
        <f>Tabla_query__2[[#This Row],[Número
Semanas]]*Tabla_query__2[[#This Row],[Número
Personas]]*Tabla_query__2[[#This Row],[Costo
Mano Obra/semana]]+160</f>
        <v>1260</v>
      </c>
      <c r="AE88" s="261"/>
      <c r="AF88" s="261"/>
      <c r="AG88" s="547" t="s">
        <v>354</v>
      </c>
      <c r="AH88" s="463">
        <v>45502</v>
      </c>
      <c r="AI88" s="456">
        <v>45537</v>
      </c>
      <c r="AJ88" s="462">
        <f>Tabla_query__2[[#This Row],[FinDes]]-Tabla_query__2[[#This Row],[InicioDes]]</f>
        <v>35</v>
      </c>
      <c r="AK88" s="456">
        <v>45537</v>
      </c>
      <c r="AL88" s="456">
        <v>45551</v>
      </c>
      <c r="AM88" s="462">
        <f t="shared" si="3"/>
        <v>364310</v>
      </c>
      <c r="AN88" s="456">
        <v>45551</v>
      </c>
      <c r="AO88" s="456">
        <v>45558</v>
      </c>
      <c r="AP88" s="320">
        <v>45536</v>
      </c>
      <c r="AQ88" s="281">
        <f>Tabla_query__2[[#This Row],[Inicio Real]]+(Tabla_query__2[[#This Row],[Número
Semanas]]*7)</f>
        <v>45543</v>
      </c>
      <c r="AR88" s="462">
        <f>Tabla_query__2[[#This Row],[Número
Semanas]]/4</f>
        <v>0.25</v>
      </c>
      <c r="AS88" s="269">
        <f>Tabla_query__2[[#This Row],[FinDes2]]-Tabla_query__2[[#This Row],[InicioDes2]]</f>
        <v>7</v>
      </c>
      <c r="AT88" s="261" t="s">
        <v>315</v>
      </c>
      <c r="AV88" s="434" t="s">
        <v>148</v>
      </c>
      <c r="AW88" s="329" t="s">
        <v>396</v>
      </c>
      <c r="AX88" t="s">
        <v>397</v>
      </c>
    </row>
    <row r="89" spans="1:50" ht="20.25" customHeight="1">
      <c r="A89" s="318" t="s">
        <v>130</v>
      </c>
      <c r="B89" s="262" t="s">
        <v>131</v>
      </c>
      <c r="C89" s="262" t="s">
        <v>175</v>
      </c>
      <c r="D89" s="262" t="s">
        <v>342</v>
      </c>
      <c r="E89" s="262" t="s">
        <v>164</v>
      </c>
      <c r="F89" s="264" t="s">
        <v>343</v>
      </c>
      <c r="G89" s="264" t="s">
        <v>136</v>
      </c>
      <c r="H89" s="259" t="s">
        <v>137</v>
      </c>
      <c r="I89" s="262" t="s">
        <v>260</v>
      </c>
      <c r="J89" s="262" t="s">
        <v>4</v>
      </c>
      <c r="K89" s="262"/>
      <c r="L89" s="262"/>
      <c r="M89" s="266" t="s">
        <v>329</v>
      </c>
      <c r="N89" s="262" t="s">
        <v>47</v>
      </c>
      <c r="O89" t="s">
        <v>305</v>
      </c>
      <c r="P89" s="262" t="s">
        <v>45</v>
      </c>
      <c r="Q89" s="262" t="s">
        <v>143</v>
      </c>
      <c r="R89" s="262" t="s">
        <v>144</v>
      </c>
      <c r="S89" s="261" t="e">
        <f>VLOOKUP(Tabla_query__2[[#This Row],[Requerimiento]],'A1 TD'!A6:D38,4,FALSE)</f>
        <v>#N/A</v>
      </c>
      <c r="T89" s="589" t="s">
        <v>221</v>
      </c>
      <c r="U89" s="261" t="s">
        <v>344</v>
      </c>
      <c r="V89" s="261" t="s">
        <v>136</v>
      </c>
      <c r="W89" s="261">
        <v>1</v>
      </c>
      <c r="X89" s="261">
        <v>6</v>
      </c>
      <c r="Y89" s="261">
        <f>Tabla_query__2[[#This Row],[Número
Semanas]]*5*8</f>
        <v>240</v>
      </c>
      <c r="Z89" s="268">
        <f>Tabla_query__2[[#This Row],[TOTAL]]/Tabla_query__2[[#This Row],[Número de Horas]]/2</f>
        <v>8.2083333333333339</v>
      </c>
      <c r="AA89" s="261">
        <v>1</v>
      </c>
      <c r="AB89" s="261">
        <v>550</v>
      </c>
      <c r="AC89" s="261"/>
      <c r="AD89" s="387">
        <f>(Tabla_query__2[[#This Row],[Número
Semanas]]*Tabla_query__2[[#This Row],[Número
Personas]]*Tabla_query__2[[#This Row],[Costo
Mano Obra/semana]]+640)*Tabla_query__2[[#This Row],[Factor País]]</f>
        <v>3940</v>
      </c>
      <c r="AE89" s="261"/>
      <c r="AF89" s="276"/>
      <c r="AG89" s="592" t="s">
        <v>159</v>
      </c>
      <c r="AH89" s="281">
        <v>45362</v>
      </c>
      <c r="AI89" s="281">
        <v>45418</v>
      </c>
      <c r="AJ89" s="462">
        <f>Tabla_query__2[[#This Row],[FinDes]]-Tabla_query__2[[#This Row],[InicioDes]]</f>
        <v>56</v>
      </c>
      <c r="AK89" s="281">
        <v>45418</v>
      </c>
      <c r="AL89" s="281">
        <v>45432</v>
      </c>
      <c r="AM89" s="462">
        <f t="shared" si="3"/>
        <v>363358</v>
      </c>
      <c r="AN89" s="281">
        <v>45432</v>
      </c>
      <c r="AO89" s="281">
        <v>45453</v>
      </c>
      <c r="AP89" s="281">
        <v>45474</v>
      </c>
      <c r="AQ89" s="281">
        <f>Tabla_query__2[[#This Row],[Inicio Real]]+(Tabla_query__2[[#This Row],[Número
Semanas]]*7)</f>
        <v>45516</v>
      </c>
      <c r="AR89" s="462">
        <f>Tabla_query__2[[#This Row],[Número
Semanas]]/4</f>
        <v>1.5</v>
      </c>
      <c r="AS89" s="576">
        <f>Tabla_query__2[[#This Row],[FinDes2]]-Tabla_query__2[[#This Row],[InicioDes2]]</f>
        <v>21</v>
      </c>
      <c r="AT89" s="261" t="s">
        <v>155</v>
      </c>
      <c r="AV89" s="439" t="s">
        <v>148</v>
      </c>
      <c r="AX89" t="s">
        <v>341</v>
      </c>
    </row>
    <row r="90" spans="1:50" ht="20.25" customHeight="1">
      <c r="A90" s="318" t="s">
        <v>130</v>
      </c>
      <c r="B90" s="262" t="s">
        <v>131</v>
      </c>
      <c r="C90" s="262" t="s">
        <v>175</v>
      </c>
      <c r="D90" s="262" t="s">
        <v>342</v>
      </c>
      <c r="E90" s="262" t="s">
        <v>164</v>
      </c>
      <c r="F90" s="264" t="s">
        <v>343</v>
      </c>
      <c r="G90" s="264" t="s">
        <v>136</v>
      </c>
      <c r="H90" s="259" t="s">
        <v>137</v>
      </c>
      <c r="I90" s="262" t="s">
        <v>260</v>
      </c>
      <c r="J90" s="262" t="s">
        <v>4</v>
      </c>
      <c r="K90" s="262"/>
      <c r="L90" s="262"/>
      <c r="M90" s="266" t="s">
        <v>328</v>
      </c>
      <c r="N90" s="262" t="s">
        <v>47</v>
      </c>
      <c r="O90" t="s">
        <v>305</v>
      </c>
      <c r="P90" s="262" t="s">
        <v>45</v>
      </c>
      <c r="Q90" s="262" t="s">
        <v>143</v>
      </c>
      <c r="R90" s="262" t="s">
        <v>144</v>
      </c>
      <c r="S90" s="261" t="e">
        <f>VLOOKUP(Tabla_query__2[[#This Row],[Requerimiento]],'A1 TD'!A4:D36,4,FALSE)</f>
        <v>#N/A</v>
      </c>
      <c r="T90" s="589" t="s">
        <v>221</v>
      </c>
      <c r="U90" s="261" t="s">
        <v>344</v>
      </c>
      <c r="V90" s="261" t="s">
        <v>136</v>
      </c>
      <c r="W90" s="261">
        <v>1</v>
      </c>
      <c r="X90" s="261">
        <v>4</v>
      </c>
      <c r="Y90" s="261">
        <f>Tabla_query__2[[#This Row],[Número
Semanas]]*5*8</f>
        <v>160</v>
      </c>
      <c r="Z90" s="268">
        <f>Tabla_query__2[[#This Row],[TOTAL]]/Tabla_query__2[[#This Row],[Número de Horas]]/2</f>
        <v>8.875</v>
      </c>
      <c r="AA90" s="261">
        <v>1</v>
      </c>
      <c r="AB90" s="261">
        <v>550</v>
      </c>
      <c r="AC90" s="261"/>
      <c r="AD90" s="387">
        <f>(Tabla_query__2[[#This Row],[Número
Semanas]]*Tabla_query__2[[#This Row],[Número
Personas]]*Tabla_query__2[[#This Row],[Costo
Mano Obra/semana]]+640)*Tabla_query__2[[#This Row],[Factor País]]</f>
        <v>2840</v>
      </c>
      <c r="AE90" s="261"/>
      <c r="AF90" s="276"/>
      <c r="AG90" s="592" t="s">
        <v>147</v>
      </c>
      <c r="AH90" s="281">
        <v>45411</v>
      </c>
      <c r="AI90" s="281">
        <v>45425</v>
      </c>
      <c r="AJ90" s="462">
        <f>Tabla_query__2[[#This Row],[FinDes]]-Tabla_query__2[[#This Row],[InicioDes]]</f>
        <v>14</v>
      </c>
      <c r="AK90" s="281">
        <v>45425</v>
      </c>
      <c r="AL90" s="281">
        <v>45432</v>
      </c>
      <c r="AM90" s="462">
        <f t="shared" si="3"/>
        <v>363407</v>
      </c>
      <c r="AN90" s="281">
        <v>45432</v>
      </c>
      <c r="AO90" s="281">
        <v>45439</v>
      </c>
      <c r="AP90" s="281">
        <v>45517</v>
      </c>
      <c r="AQ90" s="281">
        <f>Tabla_query__2[[#This Row],[Inicio Real]]+(Tabla_query__2[[#This Row],[Número
Semanas]]*7)</f>
        <v>45545</v>
      </c>
      <c r="AR90" s="462">
        <f>Tabla_query__2[[#This Row],[Número
Semanas]]/4</f>
        <v>1</v>
      </c>
      <c r="AS90" s="576">
        <f>Tabla_query__2[[#This Row],[FinDes2]]-Tabla_query__2[[#This Row],[InicioDes2]]</f>
        <v>7</v>
      </c>
      <c r="AT90" s="261" t="s">
        <v>155</v>
      </c>
      <c r="AV90" s="437" t="s">
        <v>148</v>
      </c>
      <c r="AX90" t="s">
        <v>341</v>
      </c>
    </row>
    <row r="91" spans="1:50" ht="20.25" customHeight="1">
      <c r="A91" s="318" t="s">
        <v>130</v>
      </c>
      <c r="B91" s="262" t="s">
        <v>131</v>
      </c>
      <c r="C91" s="262" t="s">
        <v>175</v>
      </c>
      <c r="D91" s="277" t="s">
        <v>342</v>
      </c>
      <c r="E91" s="262" t="s">
        <v>164</v>
      </c>
      <c r="F91" s="264" t="s">
        <v>343</v>
      </c>
      <c r="G91" s="264" t="s">
        <v>136</v>
      </c>
      <c r="H91" s="259" t="s">
        <v>137</v>
      </c>
      <c r="I91" s="262" t="s">
        <v>260</v>
      </c>
      <c r="J91" s="262" t="s">
        <v>4</v>
      </c>
      <c r="K91" s="262"/>
      <c r="L91" s="262"/>
      <c r="M91" s="266" t="s">
        <v>330</v>
      </c>
      <c r="N91" s="262" t="s">
        <v>47</v>
      </c>
      <c r="O91" t="s">
        <v>305</v>
      </c>
      <c r="P91" s="262" t="s">
        <v>45</v>
      </c>
      <c r="Q91" s="262" t="s">
        <v>143</v>
      </c>
      <c r="R91" s="262" t="s">
        <v>144</v>
      </c>
      <c r="S91" s="261" t="e">
        <f>VLOOKUP(Tabla_query__2[[#This Row],[Requerimiento]],'A1 TD'!A5:D37,4,FALSE)</f>
        <v>#N/A</v>
      </c>
      <c r="T91" s="589" t="s">
        <v>221</v>
      </c>
      <c r="U91" s="261" t="s">
        <v>344</v>
      </c>
      <c r="V91" s="261" t="s">
        <v>136</v>
      </c>
      <c r="W91" s="261">
        <v>1</v>
      </c>
      <c r="X91" s="261">
        <v>4</v>
      </c>
      <c r="Y91" s="261">
        <f>Tabla_query__2[[#This Row],[Número
Semanas]]*5*8</f>
        <v>160</v>
      </c>
      <c r="Z91" s="268">
        <f>Tabla_query__2[[#This Row],[TOTAL]]/Tabla_query__2[[#This Row],[Número de Horas]]/2</f>
        <v>8.875</v>
      </c>
      <c r="AA91" s="261">
        <v>1</v>
      </c>
      <c r="AB91" s="261">
        <v>550</v>
      </c>
      <c r="AC91" s="261"/>
      <c r="AD91" s="387">
        <f>(Tabla_query__2[[#This Row],[Número
Semanas]]*Tabla_query__2[[#This Row],[Número
Personas]]*Tabla_query__2[[#This Row],[Costo
Mano Obra/semana]]+640)*Tabla_query__2[[#This Row],[Factor País]]</f>
        <v>2840</v>
      </c>
      <c r="AE91" s="261"/>
      <c r="AF91" s="276"/>
      <c r="AG91" s="592" t="s">
        <v>147</v>
      </c>
      <c r="AH91" s="281">
        <v>45411</v>
      </c>
      <c r="AI91" s="281">
        <v>45425</v>
      </c>
      <c r="AJ91" s="462">
        <f>Tabla_query__2[[#This Row],[FinDes]]-Tabla_query__2[[#This Row],[InicioDes]]</f>
        <v>14</v>
      </c>
      <c r="AK91" s="281">
        <v>45425</v>
      </c>
      <c r="AL91" s="281">
        <v>45432</v>
      </c>
      <c r="AM91" s="462">
        <f t="shared" si="3"/>
        <v>363407</v>
      </c>
      <c r="AN91" s="281">
        <v>45432</v>
      </c>
      <c r="AO91" s="281">
        <v>45439</v>
      </c>
      <c r="AP91" s="281">
        <v>45517</v>
      </c>
      <c r="AQ91" s="281">
        <f>Tabla_query__2[[#This Row],[Inicio Real]]+(Tabla_query__2[[#This Row],[Número
Semanas]]*7)</f>
        <v>45545</v>
      </c>
      <c r="AR91" s="462">
        <f>Tabla_query__2[[#This Row],[Número
Semanas]]/4</f>
        <v>1</v>
      </c>
      <c r="AS91" s="576">
        <f>Tabla_query__2[[#This Row],[FinDes2]]-Tabla_query__2[[#This Row],[InicioDes2]]</f>
        <v>7</v>
      </c>
      <c r="AT91" s="261" t="s">
        <v>155</v>
      </c>
      <c r="AV91" s="444" t="s">
        <v>148</v>
      </c>
      <c r="AX91" t="s">
        <v>341</v>
      </c>
    </row>
    <row r="92" spans="1:50" ht="20.25" customHeight="1">
      <c r="A92" s="318" t="s">
        <v>130</v>
      </c>
      <c r="B92" s="262" t="s">
        <v>131</v>
      </c>
      <c r="C92" s="262" t="s">
        <v>175</v>
      </c>
      <c r="D92" s="262" t="s">
        <v>342</v>
      </c>
      <c r="E92" s="262" t="s">
        <v>164</v>
      </c>
      <c r="F92" s="264" t="s">
        <v>343</v>
      </c>
      <c r="G92" s="264" t="s">
        <v>136</v>
      </c>
      <c r="H92" s="259" t="s">
        <v>137</v>
      </c>
      <c r="I92" s="262" t="s">
        <v>260</v>
      </c>
      <c r="J92" s="262" t="s">
        <v>4</v>
      </c>
      <c r="K92" s="262"/>
      <c r="L92" s="262"/>
      <c r="M92" s="266" t="s">
        <v>140</v>
      </c>
      <c r="N92" s="262" t="s">
        <v>47</v>
      </c>
      <c r="O92" t="s">
        <v>305</v>
      </c>
      <c r="P92" s="262" t="s">
        <v>45</v>
      </c>
      <c r="Q92" s="262" t="s">
        <v>143</v>
      </c>
      <c r="R92" s="262" t="s">
        <v>144</v>
      </c>
      <c r="S92" s="261" t="e">
        <f>VLOOKUP(Tabla_query__2[[#This Row],[Requerimiento]],'A1 TD'!A7:D39,4,FALSE)</f>
        <v>#N/A</v>
      </c>
      <c r="T92" s="591" t="s">
        <v>320</v>
      </c>
      <c r="U92" s="261" t="s">
        <v>344</v>
      </c>
      <c r="V92" s="261" t="s">
        <v>136</v>
      </c>
      <c r="W92" s="261">
        <v>1</v>
      </c>
      <c r="X92" s="261">
        <v>4</v>
      </c>
      <c r="Y92" s="261">
        <f>Tabla_query__2[[#This Row],[Número
Semanas]]*5*8</f>
        <v>160</v>
      </c>
      <c r="Z92" s="268">
        <f>Tabla_query__2[[#This Row],[TOTAL]]/Tabla_query__2[[#This Row],[Número de Horas]]/2</f>
        <v>8.875</v>
      </c>
      <c r="AA92" s="261">
        <v>1</v>
      </c>
      <c r="AB92" s="261">
        <v>550</v>
      </c>
      <c r="AC92" s="261"/>
      <c r="AD92" s="387">
        <f>(Tabla_query__2[[#This Row],[Número
Semanas]]*Tabla_query__2[[#This Row],[Número
Personas]]*Tabla_query__2[[#This Row],[Costo
Mano Obra/semana]]+640)*Tabla_query__2[[#This Row],[Factor País]]</f>
        <v>2840</v>
      </c>
      <c r="AE92" s="261"/>
      <c r="AF92" s="276"/>
      <c r="AG92" s="592" t="s">
        <v>147</v>
      </c>
      <c r="AH92" s="281">
        <v>45411</v>
      </c>
      <c r="AI92" s="281">
        <v>45425</v>
      </c>
      <c r="AJ92" s="462">
        <f>Tabla_query__2[[#This Row],[FinDes]]-Tabla_query__2[[#This Row],[InicioDes]]</f>
        <v>14</v>
      </c>
      <c r="AK92" s="281">
        <v>45425</v>
      </c>
      <c r="AL92" s="281">
        <v>45432</v>
      </c>
      <c r="AM92" s="462">
        <f t="shared" si="3"/>
        <v>363407</v>
      </c>
      <c r="AN92" s="281">
        <v>45432</v>
      </c>
      <c r="AO92" s="281">
        <v>45439</v>
      </c>
      <c r="AP92" s="281">
        <v>45548</v>
      </c>
      <c r="AQ92" s="281">
        <f>Tabla_query__2[[#This Row],[Inicio Real]]+(Tabla_query__2[[#This Row],[Número
Semanas]]*7)</f>
        <v>45576</v>
      </c>
      <c r="AR92" s="462">
        <f>Tabla_query__2[[#This Row],[Número
Semanas]]/4</f>
        <v>1</v>
      </c>
      <c r="AS92" s="576">
        <f>Tabla_query__2[[#This Row],[FinDes2]]-Tabla_query__2[[#This Row],[InicioDes2]]</f>
        <v>7</v>
      </c>
      <c r="AT92" s="261" t="s">
        <v>155</v>
      </c>
      <c r="AV92" s="444" t="s">
        <v>148</v>
      </c>
      <c r="AX92" t="s">
        <v>341</v>
      </c>
    </row>
    <row r="93" spans="1:50" ht="48.75" customHeight="1">
      <c r="A93" s="318" t="s">
        <v>130</v>
      </c>
      <c r="B93" s="262" t="s">
        <v>131</v>
      </c>
      <c r="C93" s="262" t="s">
        <v>187</v>
      </c>
      <c r="D93" s="262" t="s">
        <v>398</v>
      </c>
      <c r="E93" s="262" t="s">
        <v>310</v>
      </c>
      <c r="F93" s="264" t="s">
        <v>399</v>
      </c>
      <c r="G93" s="264" t="s">
        <v>210</v>
      </c>
      <c r="H93" s="259" t="s">
        <v>204</v>
      </c>
      <c r="I93" s="262" t="s">
        <v>260</v>
      </c>
      <c r="J93" s="262" t="s">
        <v>4</v>
      </c>
      <c r="K93" s="262"/>
      <c r="L93" s="262"/>
      <c r="M93" s="266" t="s">
        <v>206</v>
      </c>
      <c r="N93" s="262" t="s">
        <v>47</v>
      </c>
      <c r="O93" t="s">
        <v>305</v>
      </c>
      <c r="P93" s="262" t="s">
        <v>45</v>
      </c>
      <c r="Q93" s="262" t="s">
        <v>143</v>
      </c>
      <c r="R93" s="262" t="s">
        <v>144</v>
      </c>
      <c r="S93" s="261" t="s">
        <v>221</v>
      </c>
      <c r="T93" s="261" t="s">
        <v>221</v>
      </c>
      <c r="U93" s="261" t="s">
        <v>400</v>
      </c>
      <c r="V93" s="261" t="s">
        <v>146</v>
      </c>
      <c r="W93" s="261">
        <v>1</v>
      </c>
      <c r="X93" s="261">
        <v>4</v>
      </c>
      <c r="Y93" s="261">
        <f>Tabla_query__2[[#This Row],[Número
Semanas]]*5*8</f>
        <v>160</v>
      </c>
      <c r="Z93" s="268">
        <f>Tabla_query__2[[#This Row],[TOTAL]]/Tabla_query__2[[#This Row],[Número de Horas]]/2</f>
        <v>8.875</v>
      </c>
      <c r="AA93" s="261">
        <v>1</v>
      </c>
      <c r="AB93" s="261">
        <v>550</v>
      </c>
      <c r="AC93" s="261"/>
      <c r="AD93" s="387">
        <f>(Tabla_query__2[[#This Row],[Número
Semanas]]*Tabla_query__2[[#This Row],[Número
Personas]]*Tabla_query__2[[#This Row],[Costo
Mano Obra/semana]]+640)*Tabla_query__2[[#This Row],[Factor País]]</f>
        <v>2840</v>
      </c>
      <c r="AE93" s="261"/>
      <c r="AF93" s="261"/>
      <c r="AG93" s="592" t="s">
        <v>147</v>
      </c>
      <c r="AH93" s="464">
        <v>45524</v>
      </c>
      <c r="AI93" s="320">
        <v>45538</v>
      </c>
      <c r="AJ93" s="462">
        <f>Tabla_query__2[[#This Row],[FinDes]]-Tabla_query__2[[#This Row],[InicioDes]]</f>
        <v>14</v>
      </c>
      <c r="AK93" s="320">
        <v>45538</v>
      </c>
      <c r="AL93" s="320">
        <v>45545</v>
      </c>
      <c r="AM93" s="462">
        <f t="shared" si="3"/>
        <v>364311</v>
      </c>
      <c r="AN93" s="320">
        <v>45545</v>
      </c>
      <c r="AO93" s="320">
        <v>45552</v>
      </c>
      <c r="AP93" s="456">
        <v>45505</v>
      </c>
      <c r="AQ93" s="281">
        <f>Tabla_query__2[[#This Row],[Inicio Real]]+(Tabla_query__2[[#This Row],[Número
Semanas]]*7)</f>
        <v>45533</v>
      </c>
      <c r="AR93" s="462">
        <f>Tabla_query__2[[#This Row],[Número
Semanas]]/4</f>
        <v>1</v>
      </c>
      <c r="AS93" s="269">
        <f>Tabla_query__2[[#This Row],[FinDes2]]-Tabla_query__2[[#This Row],[InicioDes2]]</f>
        <v>7</v>
      </c>
      <c r="AT93" s="261" t="s">
        <v>155</v>
      </c>
      <c r="AV93" s="434" t="s">
        <v>148</v>
      </c>
      <c r="AX93" t="s">
        <v>341</v>
      </c>
    </row>
    <row r="94" spans="1:50" s="329" customFormat="1" ht="48.75" customHeight="1">
      <c r="A94" s="318" t="s">
        <v>130</v>
      </c>
      <c r="B94" s="262" t="s">
        <v>131</v>
      </c>
      <c r="C94" s="262" t="s">
        <v>187</v>
      </c>
      <c r="D94" s="262" t="s">
        <v>398</v>
      </c>
      <c r="E94" s="262" t="s">
        <v>310</v>
      </c>
      <c r="F94" s="264" t="s">
        <v>399</v>
      </c>
      <c r="G94" s="264" t="s">
        <v>210</v>
      </c>
      <c r="H94" s="259" t="s">
        <v>137</v>
      </c>
      <c r="I94" s="262" t="s">
        <v>260</v>
      </c>
      <c r="J94" s="262" t="s">
        <v>4</v>
      </c>
      <c r="K94" s="262"/>
      <c r="L94" s="262"/>
      <c r="M94" s="266" t="s">
        <v>328</v>
      </c>
      <c r="N94" s="262" t="s">
        <v>47</v>
      </c>
      <c r="O94" t="s">
        <v>305</v>
      </c>
      <c r="P94" s="262" t="s">
        <v>45</v>
      </c>
      <c r="Q94" s="262" t="s">
        <v>143</v>
      </c>
      <c r="R94" s="262" t="s">
        <v>144</v>
      </c>
      <c r="S94" s="261" t="s">
        <v>221</v>
      </c>
      <c r="T94" s="261" t="s">
        <v>221</v>
      </c>
      <c r="U94" s="261" t="s">
        <v>400</v>
      </c>
      <c r="V94" s="261" t="s">
        <v>146</v>
      </c>
      <c r="W94" s="261">
        <v>1</v>
      </c>
      <c r="X94" s="261">
        <v>3</v>
      </c>
      <c r="Y94" s="261">
        <f>Tabla_query__2[[#This Row],[Número
Semanas]]*5*8</f>
        <v>120</v>
      </c>
      <c r="Z94" s="268">
        <f>Tabla_query__2[[#This Row],[TOTAL]]/Tabla_query__2[[#This Row],[Número de Horas]]/2</f>
        <v>9.5416666666666661</v>
      </c>
      <c r="AA94" s="261">
        <v>1</v>
      </c>
      <c r="AB94" s="261">
        <v>550</v>
      </c>
      <c r="AC94" s="261"/>
      <c r="AD94" s="387">
        <f>(Tabla_query__2[[#This Row],[Número
Semanas]]*Tabla_query__2[[#This Row],[Número
Personas]]*Tabla_query__2[[#This Row],[Costo
Mano Obra/semana]]+640)*Tabla_query__2[[#This Row],[Factor País]]</f>
        <v>2290</v>
      </c>
      <c r="AE94" s="261"/>
      <c r="AF94" s="261"/>
      <c r="AG94" s="592" t="s">
        <v>354</v>
      </c>
      <c r="AH94" s="464">
        <v>45545</v>
      </c>
      <c r="AI94" s="320">
        <v>45552</v>
      </c>
      <c r="AJ94" s="462">
        <f>Tabla_query__2[[#This Row],[FinDes]]-Tabla_query__2[[#This Row],[InicioDes]]</f>
        <v>7</v>
      </c>
      <c r="AK94" s="320">
        <v>45552</v>
      </c>
      <c r="AL94" s="320">
        <v>45559</v>
      </c>
      <c r="AM94" s="462">
        <f t="shared" si="3"/>
        <v>364423</v>
      </c>
      <c r="AN94" s="320">
        <v>45559</v>
      </c>
      <c r="AO94" s="320">
        <v>45566</v>
      </c>
      <c r="AP94" s="320">
        <v>45536</v>
      </c>
      <c r="AQ94" s="281">
        <f>Tabla_query__2[[#This Row],[Inicio Real]]+(Tabla_query__2[[#This Row],[Número
Semanas]]*7)</f>
        <v>45557</v>
      </c>
      <c r="AR94" s="462">
        <f>Tabla_query__2[[#This Row],[Número
Semanas]]/4</f>
        <v>0.75</v>
      </c>
      <c r="AS94" s="269">
        <f>Tabla_query__2[[#This Row],[FinDes2]]-Tabla_query__2[[#This Row],[InicioDes2]]</f>
        <v>7</v>
      </c>
      <c r="AT94" s="261" t="s">
        <v>155</v>
      </c>
      <c r="AU94"/>
      <c r="AV94" s="437" t="s">
        <v>148</v>
      </c>
      <c r="AX94" t="s">
        <v>341</v>
      </c>
    </row>
    <row r="95" spans="1:50" s="329" customFormat="1" ht="48.75" customHeight="1">
      <c r="A95" s="318" t="s">
        <v>130</v>
      </c>
      <c r="B95" s="262" t="s">
        <v>131</v>
      </c>
      <c r="C95" s="262" t="s">
        <v>187</v>
      </c>
      <c r="D95" s="277" t="s">
        <v>398</v>
      </c>
      <c r="E95" s="262" t="s">
        <v>310</v>
      </c>
      <c r="F95" s="264" t="s">
        <v>399</v>
      </c>
      <c r="G95" s="264" t="s">
        <v>210</v>
      </c>
      <c r="H95" s="259" t="s">
        <v>137</v>
      </c>
      <c r="I95" s="262" t="s">
        <v>260</v>
      </c>
      <c r="J95" s="262" t="s">
        <v>4</v>
      </c>
      <c r="K95" s="262"/>
      <c r="L95" s="262"/>
      <c r="M95" s="266" t="s">
        <v>329</v>
      </c>
      <c r="N95" s="262" t="s">
        <v>47</v>
      </c>
      <c r="O95" t="s">
        <v>305</v>
      </c>
      <c r="P95" s="262" t="s">
        <v>45</v>
      </c>
      <c r="Q95" s="262" t="s">
        <v>143</v>
      </c>
      <c r="R95" s="262" t="s">
        <v>144</v>
      </c>
      <c r="S95" s="261" t="s">
        <v>221</v>
      </c>
      <c r="T95" s="591" t="s">
        <v>320</v>
      </c>
      <c r="U95" s="261" t="s">
        <v>400</v>
      </c>
      <c r="V95" s="261" t="s">
        <v>146</v>
      </c>
      <c r="W95" s="261">
        <v>1</v>
      </c>
      <c r="X95" s="261">
        <v>5</v>
      </c>
      <c r="Y95" s="261">
        <f>Tabla_query__2[[#This Row],[Número
Semanas]]*5*8</f>
        <v>200</v>
      </c>
      <c r="Z95" s="268">
        <f>Tabla_query__2[[#This Row],[TOTAL]]/Tabla_query__2[[#This Row],[Número de Horas]]/2</f>
        <v>8.4749999999999996</v>
      </c>
      <c r="AA95" s="261">
        <v>1</v>
      </c>
      <c r="AB95" s="261">
        <v>550</v>
      </c>
      <c r="AC95" s="261"/>
      <c r="AD95" s="387">
        <f>(Tabla_query__2[[#This Row],[Número
Semanas]]*Tabla_query__2[[#This Row],[Número
Personas]]*Tabla_query__2[[#This Row],[Costo
Mano Obra/semana]]+640)*Tabla_query__2[[#This Row],[Factor País]]</f>
        <v>3390</v>
      </c>
      <c r="AE95" s="261"/>
      <c r="AF95" s="261"/>
      <c r="AG95" s="592" t="s">
        <v>354</v>
      </c>
      <c r="AH95" s="464">
        <v>45545</v>
      </c>
      <c r="AI95" s="320">
        <v>45552</v>
      </c>
      <c r="AJ95" s="462">
        <f>Tabla_query__2[[#This Row],[FinDes]]-Tabla_query__2[[#This Row],[InicioDes]]</f>
        <v>7</v>
      </c>
      <c r="AK95" s="320">
        <v>45552</v>
      </c>
      <c r="AL95" s="320">
        <v>45559</v>
      </c>
      <c r="AM95" s="462">
        <f t="shared" si="3"/>
        <v>364423</v>
      </c>
      <c r="AN95" s="320">
        <v>45559</v>
      </c>
      <c r="AO95" s="320">
        <v>45580</v>
      </c>
      <c r="AP95" s="320">
        <v>45536</v>
      </c>
      <c r="AQ95" s="281">
        <f>Tabla_query__2[[#This Row],[Inicio Real]]+(Tabla_query__2[[#This Row],[Número
Semanas]]*7)</f>
        <v>45571</v>
      </c>
      <c r="AR95" s="462">
        <f>Tabla_query__2[[#This Row],[Número
Semanas]]/4</f>
        <v>1.25</v>
      </c>
      <c r="AS95" s="269">
        <f>Tabla_query__2[[#This Row],[FinDes2]]-Tabla_query__2[[#This Row],[InicioDes2]]</f>
        <v>21</v>
      </c>
      <c r="AT95" s="261" t="s">
        <v>155</v>
      </c>
      <c r="AU95"/>
      <c r="AV95" s="439" t="s">
        <v>148</v>
      </c>
      <c r="AX95" t="s">
        <v>341</v>
      </c>
    </row>
    <row r="96" spans="1:50" s="329" customFormat="1" ht="27.75" customHeight="1">
      <c r="A96" s="318" t="s">
        <v>130</v>
      </c>
      <c r="B96" s="262" t="s">
        <v>131</v>
      </c>
      <c r="C96" s="262" t="s">
        <v>187</v>
      </c>
      <c r="D96" s="262" t="s">
        <v>398</v>
      </c>
      <c r="E96" s="262" t="s">
        <v>310</v>
      </c>
      <c r="F96" s="264" t="s">
        <v>399</v>
      </c>
      <c r="G96" s="264" t="s">
        <v>210</v>
      </c>
      <c r="H96" s="259" t="s">
        <v>137</v>
      </c>
      <c r="I96" s="262" t="s">
        <v>260</v>
      </c>
      <c r="J96" s="262" t="s">
        <v>4</v>
      </c>
      <c r="K96" s="262"/>
      <c r="L96" s="262"/>
      <c r="M96" s="266" t="s">
        <v>330</v>
      </c>
      <c r="N96" s="262" t="s">
        <v>47</v>
      </c>
      <c r="O96" t="s">
        <v>305</v>
      </c>
      <c r="P96" s="262" t="s">
        <v>45</v>
      </c>
      <c r="Q96" s="262" t="s">
        <v>143</v>
      </c>
      <c r="R96" s="262" t="s">
        <v>144</v>
      </c>
      <c r="S96" s="261" t="s">
        <v>221</v>
      </c>
      <c r="T96" s="261" t="s">
        <v>221</v>
      </c>
      <c r="U96" s="261" t="s">
        <v>400</v>
      </c>
      <c r="V96" s="261" t="s">
        <v>146</v>
      </c>
      <c r="W96" s="261">
        <v>1</v>
      </c>
      <c r="X96" s="261">
        <v>3</v>
      </c>
      <c r="Y96" s="261">
        <f>Tabla_query__2[[#This Row],[Número
Semanas]]*5*8</f>
        <v>120</v>
      </c>
      <c r="Z96" s="268">
        <f>Tabla_query__2[[#This Row],[TOTAL]]/Tabla_query__2[[#This Row],[Número de Horas]]/2</f>
        <v>9.5416666666666661</v>
      </c>
      <c r="AA96" s="261">
        <v>1</v>
      </c>
      <c r="AB96" s="261">
        <v>550</v>
      </c>
      <c r="AC96" s="261"/>
      <c r="AD96" s="387">
        <f>(Tabla_query__2[[#This Row],[Número
Semanas]]*Tabla_query__2[[#This Row],[Número
Personas]]*Tabla_query__2[[#This Row],[Costo
Mano Obra/semana]]+640)*Tabla_query__2[[#This Row],[Factor País]]</f>
        <v>2290</v>
      </c>
      <c r="AE96" s="261"/>
      <c r="AF96" s="261"/>
      <c r="AG96" s="592" t="s">
        <v>354</v>
      </c>
      <c r="AH96" s="464">
        <v>45545</v>
      </c>
      <c r="AI96" s="320">
        <v>45552</v>
      </c>
      <c r="AJ96" s="462">
        <f>Tabla_query__2[[#This Row],[FinDes]]-Tabla_query__2[[#This Row],[InicioDes]]</f>
        <v>7</v>
      </c>
      <c r="AK96" s="320">
        <v>45552</v>
      </c>
      <c r="AL96" s="320">
        <v>45559</v>
      </c>
      <c r="AM96" s="462">
        <f t="shared" si="3"/>
        <v>364423</v>
      </c>
      <c r="AN96" s="320">
        <v>45559</v>
      </c>
      <c r="AO96" s="320">
        <v>45566</v>
      </c>
      <c r="AP96" s="320">
        <v>45536</v>
      </c>
      <c r="AQ96" s="281">
        <f>Tabla_query__2[[#This Row],[Inicio Real]]+(Tabla_query__2[[#This Row],[Número
Semanas]]*7)</f>
        <v>45557</v>
      </c>
      <c r="AR96" s="462">
        <f>Tabla_query__2[[#This Row],[Número
Semanas]]/4</f>
        <v>0.75</v>
      </c>
      <c r="AS96" s="269">
        <f>Tabla_query__2[[#This Row],[FinDes2]]-Tabla_query__2[[#This Row],[InicioDes2]]</f>
        <v>7</v>
      </c>
      <c r="AT96" s="261" t="s">
        <v>155</v>
      </c>
      <c r="AU96"/>
      <c r="AV96" s="444" t="s">
        <v>148</v>
      </c>
      <c r="AX96" t="s">
        <v>341</v>
      </c>
    </row>
    <row r="97" spans="1:50" s="329" customFormat="1" ht="34.9">
      <c r="A97" s="318" t="s">
        <v>130</v>
      </c>
      <c r="B97" s="262" t="s">
        <v>131</v>
      </c>
      <c r="C97" s="262" t="s">
        <v>187</v>
      </c>
      <c r="D97" s="262" t="s">
        <v>398</v>
      </c>
      <c r="E97" s="262" t="s">
        <v>310</v>
      </c>
      <c r="F97" s="264" t="s">
        <v>399</v>
      </c>
      <c r="G97" s="264" t="s">
        <v>210</v>
      </c>
      <c r="H97" s="259" t="s">
        <v>137</v>
      </c>
      <c r="I97" s="262" t="s">
        <v>260</v>
      </c>
      <c r="J97" s="262" t="s">
        <v>4</v>
      </c>
      <c r="K97" s="262"/>
      <c r="L97" s="262"/>
      <c r="M97" s="266" t="s">
        <v>140</v>
      </c>
      <c r="N97" s="262" t="s">
        <v>47</v>
      </c>
      <c r="O97" t="s">
        <v>305</v>
      </c>
      <c r="P97" s="262" t="s">
        <v>45</v>
      </c>
      <c r="Q97" s="262" t="s">
        <v>143</v>
      </c>
      <c r="R97" s="262" t="s">
        <v>144</v>
      </c>
      <c r="S97" s="261" t="s">
        <v>221</v>
      </c>
      <c r="T97" s="261" t="s">
        <v>221</v>
      </c>
      <c r="U97" s="261" t="s">
        <v>400</v>
      </c>
      <c r="V97" s="261" t="s">
        <v>146</v>
      </c>
      <c r="W97" s="261">
        <v>1</v>
      </c>
      <c r="X97" s="261">
        <v>3</v>
      </c>
      <c r="Y97" s="261">
        <f>Tabla_query__2[[#This Row],[Número
Semanas]]*5*8</f>
        <v>120</v>
      </c>
      <c r="Z97" s="268">
        <f>Tabla_query__2[[#This Row],[TOTAL]]/Tabla_query__2[[#This Row],[Número de Horas]]/2</f>
        <v>9.5416666666666661</v>
      </c>
      <c r="AA97" s="261">
        <v>1</v>
      </c>
      <c r="AB97" s="261">
        <v>550</v>
      </c>
      <c r="AC97" s="261"/>
      <c r="AD97" s="387">
        <f>(Tabla_query__2[[#This Row],[Número
Semanas]]*Tabla_query__2[[#This Row],[Número
Personas]]*Tabla_query__2[[#This Row],[Costo
Mano Obra/semana]]+640)*Tabla_query__2[[#This Row],[Factor País]]</f>
        <v>2290</v>
      </c>
      <c r="AE97" s="261"/>
      <c r="AF97" s="261"/>
      <c r="AG97" s="592" t="s">
        <v>354</v>
      </c>
      <c r="AH97" s="464">
        <v>45545</v>
      </c>
      <c r="AI97" s="320">
        <v>45552</v>
      </c>
      <c r="AJ97" s="462">
        <f>Tabla_query__2[[#This Row],[FinDes]]-Tabla_query__2[[#This Row],[InicioDes]]</f>
        <v>7</v>
      </c>
      <c r="AK97" s="320">
        <v>45552</v>
      </c>
      <c r="AL97" s="320">
        <v>45559</v>
      </c>
      <c r="AM97" s="462">
        <f t="shared" si="3"/>
        <v>364423</v>
      </c>
      <c r="AN97" s="320">
        <v>45559</v>
      </c>
      <c r="AO97" s="320">
        <v>45566</v>
      </c>
      <c r="AP97" s="320">
        <v>45536</v>
      </c>
      <c r="AQ97" s="281">
        <f>Tabla_query__2[[#This Row],[Inicio Real]]+(Tabla_query__2[[#This Row],[Número
Semanas]]*7)</f>
        <v>45557</v>
      </c>
      <c r="AR97" s="462">
        <f>Tabla_query__2[[#This Row],[Número
Semanas]]/4</f>
        <v>0.75</v>
      </c>
      <c r="AS97" s="269">
        <f>Tabla_query__2[[#This Row],[FinDes2]]-Tabla_query__2[[#This Row],[InicioDes2]]</f>
        <v>7</v>
      </c>
      <c r="AT97" s="261" t="s">
        <v>155</v>
      </c>
      <c r="AU97"/>
      <c r="AV97" s="444" t="s">
        <v>148</v>
      </c>
      <c r="AX97" t="s">
        <v>341</v>
      </c>
    </row>
    <row r="98" spans="1:50" s="329" customFormat="1" ht="28.5" customHeight="1">
      <c r="A98" s="318" t="s">
        <v>130</v>
      </c>
      <c r="B98" s="262" t="s">
        <v>131</v>
      </c>
      <c r="C98" s="262" t="s">
        <v>317</v>
      </c>
      <c r="D98" s="262" t="s">
        <v>401</v>
      </c>
      <c r="E98" s="262" t="s">
        <v>164</v>
      </c>
      <c r="F98" s="264" t="s">
        <v>402</v>
      </c>
      <c r="G98" s="264" t="s">
        <v>146</v>
      </c>
      <c r="H98" s="259" t="s">
        <v>204</v>
      </c>
      <c r="I98" s="262" t="s">
        <v>260</v>
      </c>
      <c r="J98" s="262" t="s">
        <v>4</v>
      </c>
      <c r="K98" s="262"/>
      <c r="L98" s="262"/>
      <c r="M98" s="266" t="s">
        <v>206</v>
      </c>
      <c r="N98" s="262" t="s">
        <v>47</v>
      </c>
      <c r="O98" t="s">
        <v>305</v>
      </c>
      <c r="P98" s="262" t="s">
        <v>45</v>
      </c>
      <c r="Q98" s="262" t="s">
        <v>143</v>
      </c>
      <c r="R98" s="497" t="s">
        <v>144</v>
      </c>
      <c r="S98" s="261" t="s">
        <v>152</v>
      </c>
      <c r="T98" s="584" t="s">
        <v>221</v>
      </c>
      <c r="U98" s="261"/>
      <c r="V98" s="261" t="s">
        <v>146</v>
      </c>
      <c r="W98" s="261"/>
      <c r="X98" s="261">
        <v>5</v>
      </c>
      <c r="Y98" s="261">
        <f>Tabla_query__2[[#This Row],[Número
Semanas]]*5*8</f>
        <v>200</v>
      </c>
      <c r="Z98" s="268">
        <f>Tabla_query__2[[#This Row],[TOTAL]]/Tabla_query__2[[#This Row],[Número de Horas]]/2</f>
        <v>8.4749999999999996</v>
      </c>
      <c r="AA98" s="261">
        <v>1</v>
      </c>
      <c r="AB98" s="261">
        <v>550</v>
      </c>
      <c r="AC98" s="261"/>
      <c r="AD98" s="268">
        <f>Tabla_query__2[[#This Row],[Número
Semanas]]*Tabla_query__2[[#This Row],[Número
Personas]]*Tabla_query__2[[#This Row],[Costo
Mano Obra/semana]] + 640</f>
        <v>3390</v>
      </c>
      <c r="AE98" s="261"/>
      <c r="AF98" s="261"/>
      <c r="AG98" s="590" t="s">
        <v>159</v>
      </c>
      <c r="AH98" s="281">
        <v>45397</v>
      </c>
      <c r="AI98" s="281">
        <v>45418</v>
      </c>
      <c r="AJ98" s="462">
        <f>Tabla_query__2[[#This Row],[FinDes]]-Tabla_query__2[[#This Row],[InicioDes]]</f>
        <v>21</v>
      </c>
      <c r="AK98" s="281">
        <v>45418</v>
      </c>
      <c r="AL98" s="281">
        <v>45425</v>
      </c>
      <c r="AM98" s="462">
        <f t="shared" si="3"/>
        <v>363351</v>
      </c>
      <c r="AN98" s="281">
        <v>45425</v>
      </c>
      <c r="AO98" s="281">
        <v>45432</v>
      </c>
      <c r="AP98" s="320">
        <v>45413</v>
      </c>
      <c r="AQ98" s="281">
        <f>Tabla_query__2[[#This Row],[Inicio Real]]+(Tabla_query__2[[#This Row],[Número
Semanas]]*7)</f>
        <v>45448</v>
      </c>
      <c r="AR98" s="462">
        <f>Tabla_query__2[[#This Row],[Número
Semanas]]/4</f>
        <v>1.25</v>
      </c>
      <c r="AS98" s="587">
        <f>Tabla_query__2[[#This Row],[FinDes2]]-Tabla_query__2[[#This Row],[InicioDes2]]</f>
        <v>7</v>
      </c>
      <c r="AT98" s="261" t="s">
        <v>315</v>
      </c>
      <c r="AU98"/>
      <c r="AV98" s="434" t="s">
        <v>148</v>
      </c>
      <c r="AX98" t="s">
        <v>341</v>
      </c>
    </row>
    <row r="99" spans="1:50" s="329" customFormat="1" ht="28.5" customHeight="1">
      <c r="A99" s="318" t="s">
        <v>130</v>
      </c>
      <c r="B99" s="262" t="s">
        <v>131</v>
      </c>
      <c r="C99" s="262" t="s">
        <v>361</v>
      </c>
      <c r="D99" s="277" t="s">
        <v>403</v>
      </c>
      <c r="E99" s="262" t="s">
        <v>310</v>
      </c>
      <c r="F99" s="264" t="s">
        <v>404</v>
      </c>
      <c r="G99" s="264" t="s">
        <v>210</v>
      </c>
      <c r="H99" s="259" t="s">
        <v>204</v>
      </c>
      <c r="I99" s="262" t="s">
        <v>260</v>
      </c>
      <c r="J99" s="262" t="s">
        <v>4</v>
      </c>
      <c r="K99" s="262"/>
      <c r="L99" s="262"/>
      <c r="M99" s="266" t="s">
        <v>206</v>
      </c>
      <c r="N99" s="262" t="s">
        <v>47</v>
      </c>
      <c r="O99" t="s">
        <v>305</v>
      </c>
      <c r="P99" s="262" t="s">
        <v>45</v>
      </c>
      <c r="Q99" s="262" t="s">
        <v>143</v>
      </c>
      <c r="R99" s="262" t="s">
        <v>144</v>
      </c>
      <c r="S99" s="280" t="s">
        <v>221</v>
      </c>
      <c r="T99" s="261" t="s">
        <v>221</v>
      </c>
      <c r="U99" s="261" t="s">
        <v>405</v>
      </c>
      <c r="V99" s="261" t="s">
        <v>146</v>
      </c>
      <c r="W99" s="261"/>
      <c r="X99" s="261">
        <v>2</v>
      </c>
      <c r="Y99" s="261">
        <f>Tabla_query__2[[#This Row],[Número
Semanas]]*5*8</f>
        <v>80</v>
      </c>
      <c r="Z99" s="268">
        <f>Tabla_query__2[[#This Row],[TOTAL]]/Tabla_query__2[[#This Row],[Número de Horas]]/2</f>
        <v>10.875</v>
      </c>
      <c r="AA99" s="261">
        <v>1</v>
      </c>
      <c r="AB99" s="261">
        <v>550</v>
      </c>
      <c r="AC99" s="261"/>
      <c r="AD99" s="268">
        <f>Tabla_query__2[[#This Row],[Número
Semanas]]*Tabla_query__2[[#This Row],[Número
Personas]]*Tabla_query__2[[#This Row],[Costo
Mano Obra/semana]] + 640</f>
        <v>1740</v>
      </c>
      <c r="AE99" s="261"/>
      <c r="AF99" s="261"/>
      <c r="AG99" s="547" t="s">
        <v>147</v>
      </c>
      <c r="AH99" s="463">
        <v>45523</v>
      </c>
      <c r="AI99" s="456">
        <v>45523</v>
      </c>
      <c r="AJ99" s="462">
        <f>Tabla_query__2[[#This Row],[FinDes]]-Tabla_query__2[[#This Row],[InicioDes]]</f>
        <v>0</v>
      </c>
      <c r="AK99" s="456">
        <v>45523</v>
      </c>
      <c r="AL99" s="456">
        <v>45530</v>
      </c>
      <c r="AM99" s="462">
        <f t="shared" si="3"/>
        <v>364191</v>
      </c>
      <c r="AN99" s="456">
        <v>45530</v>
      </c>
      <c r="AO99" s="456">
        <v>45537</v>
      </c>
      <c r="AP99" s="456">
        <v>45505</v>
      </c>
      <c r="AQ99" s="281">
        <f>Tabla_query__2[[#This Row],[Inicio Real]]+(Tabla_query__2[[#This Row],[Número
Semanas]]*7)</f>
        <v>45519</v>
      </c>
      <c r="AR99" s="462">
        <f>Tabla_query__2[[#This Row],[Número
Semanas]]/4</f>
        <v>0.5</v>
      </c>
      <c r="AS99" s="269">
        <f>Tabla_query__2[[#This Row],[FinDes2]]-Tabla_query__2[[#This Row],[InicioDes2]]</f>
        <v>7</v>
      </c>
      <c r="AT99" s="261" t="s">
        <v>315</v>
      </c>
      <c r="AU99"/>
      <c r="AV99" s="434" t="s">
        <v>148</v>
      </c>
      <c r="AX99" t="s">
        <v>341</v>
      </c>
    </row>
    <row r="100" spans="1:50" ht="40.5" customHeight="1">
      <c r="A100" s="318" t="s">
        <v>130</v>
      </c>
      <c r="B100" s="262" t="s">
        <v>131</v>
      </c>
      <c r="C100" s="262" t="s">
        <v>132</v>
      </c>
      <c r="D100" s="262" t="s">
        <v>406</v>
      </c>
      <c r="E100" s="262" t="s">
        <v>164</v>
      </c>
      <c r="F100" s="264" t="s">
        <v>407</v>
      </c>
      <c r="G100" s="264" t="s">
        <v>146</v>
      </c>
      <c r="H100" s="264" t="s">
        <v>204</v>
      </c>
      <c r="I100" s="262" t="s">
        <v>260</v>
      </c>
      <c r="J100" s="262" t="s">
        <v>4</v>
      </c>
      <c r="K100" s="262"/>
      <c r="L100" s="262"/>
      <c r="M100" s="266" t="s">
        <v>329</v>
      </c>
      <c r="N100" s="262" t="s">
        <v>47</v>
      </c>
      <c r="O100" t="s">
        <v>305</v>
      </c>
      <c r="P100" s="262" t="s">
        <v>45</v>
      </c>
      <c r="Q100" s="262" t="s">
        <v>143</v>
      </c>
      <c r="R100" s="497" t="s">
        <v>144</v>
      </c>
      <c r="S100" s="261" t="e">
        <f>VLOOKUP(Tabla_query__2[[#This Row],[Requerimiento]],'A1 TD'!A5:D37,4,FALSE)</f>
        <v>#N/A</v>
      </c>
      <c r="T100" s="584" t="s">
        <v>145</v>
      </c>
      <c r="U100" s="261"/>
      <c r="V100" s="261" t="s">
        <v>210</v>
      </c>
      <c r="W100" s="261"/>
      <c r="X100" s="261">
        <v>5</v>
      </c>
      <c r="Y100" s="261">
        <f>Tabla_query__2[[#This Row],[Número
Semanas]]*5*8</f>
        <v>200</v>
      </c>
      <c r="Z100" s="268">
        <f>Tabla_query__2[[#This Row],[TOTAL]]/Tabla_query__2[[#This Row],[Número de Horas]]/2</f>
        <v>8.4749999999999996</v>
      </c>
      <c r="AA100" s="261">
        <v>1</v>
      </c>
      <c r="AB100" s="261">
        <v>550</v>
      </c>
      <c r="AC100" s="261"/>
      <c r="AD100" s="268">
        <f>Tabla_query__2[[#This Row],[Número
Semanas]]*Tabla_query__2[[#This Row],[Número
Personas]]*Tabla_query__2[[#This Row],[Costo
Mano Obra/semana]] + 640</f>
        <v>3390</v>
      </c>
      <c r="AE100" s="261"/>
      <c r="AF100" s="261"/>
      <c r="AG100" s="590" t="s">
        <v>154</v>
      </c>
      <c r="AH100" s="281">
        <v>45440</v>
      </c>
      <c r="AI100" s="281">
        <v>45447</v>
      </c>
      <c r="AJ100" s="462">
        <f>Tabla_query__2[[#This Row],[FinDes]]-Tabla_query__2[[#This Row],[InicioDes]]</f>
        <v>7</v>
      </c>
      <c r="AK100" s="281">
        <v>45447</v>
      </c>
      <c r="AL100" s="281">
        <v>45454</v>
      </c>
      <c r="AM100" s="462">
        <f t="shared" si="3"/>
        <v>363583</v>
      </c>
      <c r="AN100" s="281">
        <v>45454</v>
      </c>
      <c r="AO100" s="281">
        <v>45475</v>
      </c>
      <c r="AP100" s="281">
        <v>45413</v>
      </c>
      <c r="AQ100" s="281">
        <f>Tabla_query__2[[#This Row],[Inicio Real]]+(Tabla_query__2[[#This Row],[Número
Semanas]]*7)</f>
        <v>45448</v>
      </c>
      <c r="AR100" s="462">
        <f>Tabla_query__2[[#This Row],[Número
Semanas]]/4</f>
        <v>1.25</v>
      </c>
      <c r="AS100" s="587">
        <f>Tabla_query__2[[#This Row],[FinDes2]]-Tabla_query__2[[#This Row],[InicioDes2]]</f>
        <v>21</v>
      </c>
      <c r="AT100" s="261" t="s">
        <v>315</v>
      </c>
      <c r="AV100" s="439" t="s">
        <v>148</v>
      </c>
      <c r="AX100" t="s">
        <v>341</v>
      </c>
    </row>
    <row r="101" spans="1:50" ht="40.5" customHeight="1">
      <c r="A101" s="318" t="s">
        <v>130</v>
      </c>
      <c r="B101" s="262" t="s">
        <v>131</v>
      </c>
      <c r="C101" s="262" t="s">
        <v>361</v>
      </c>
      <c r="D101" s="277" t="s">
        <v>362</v>
      </c>
      <c r="E101" s="262" t="s">
        <v>310</v>
      </c>
      <c r="F101" s="259" t="s">
        <v>363</v>
      </c>
      <c r="G101" s="259" t="s">
        <v>136</v>
      </c>
      <c r="H101" s="259" t="s">
        <v>137</v>
      </c>
      <c r="I101" s="421" t="s">
        <v>260</v>
      </c>
      <c r="J101" s="262" t="s">
        <v>4</v>
      </c>
      <c r="K101" s="262"/>
      <c r="L101" s="262"/>
      <c r="M101" s="266" t="s">
        <v>329</v>
      </c>
      <c r="N101" s="262" t="s">
        <v>47</v>
      </c>
      <c r="O101" t="s">
        <v>305</v>
      </c>
      <c r="P101" s="262" t="s">
        <v>45</v>
      </c>
      <c r="Q101" s="262" t="s">
        <v>143</v>
      </c>
      <c r="R101" s="262" t="s">
        <v>179</v>
      </c>
      <c r="S101" s="261"/>
      <c r="T101" s="584" t="s">
        <v>145</v>
      </c>
      <c r="U101" s="261"/>
      <c r="V101" s="261" t="s">
        <v>136</v>
      </c>
      <c r="W101" s="261">
        <v>1</v>
      </c>
      <c r="X101" s="261">
        <v>6</v>
      </c>
      <c r="Y101" s="261">
        <f>Tabla_query__2[[#This Row],[Número
Semanas]]*5*8</f>
        <v>240</v>
      </c>
      <c r="Z101" s="268">
        <f>Tabla_query__2[[#This Row],[TOTAL]]/Tabla_query__2[[#This Row],[Número de Horas]]/2</f>
        <v>8.2083333333333339</v>
      </c>
      <c r="AA101" s="261">
        <v>1</v>
      </c>
      <c r="AB101" s="261">
        <v>550</v>
      </c>
      <c r="AC101" s="261"/>
      <c r="AD101" s="387">
        <f>Tabla_query__2[[#This Row],[Número
Semanas]]*Tabla_query__2[[#This Row],[Número
Personas]]*Tabla_query__2[[#This Row],[Costo
Mano Obra/semana]] + 640</f>
        <v>3940</v>
      </c>
      <c r="AE101" s="261"/>
      <c r="AF101" s="261"/>
      <c r="AG101" s="547" t="s">
        <v>211</v>
      </c>
      <c r="AH101" s="464">
        <v>45376</v>
      </c>
      <c r="AI101" s="464">
        <v>45390</v>
      </c>
      <c r="AJ101" s="462">
        <f>Tabla_query__2[[#This Row],[FinDes]]-Tabla_query__2[[#This Row],[InicioDes]]</f>
        <v>14</v>
      </c>
      <c r="AK101" s="464">
        <v>45390</v>
      </c>
      <c r="AL101" s="464">
        <v>45397</v>
      </c>
      <c r="AM101" s="462">
        <f t="shared" si="3"/>
        <v>363127</v>
      </c>
      <c r="AN101" s="464">
        <v>45397</v>
      </c>
      <c r="AO101" s="464">
        <v>45418</v>
      </c>
      <c r="AP101" s="281">
        <v>45386</v>
      </c>
      <c r="AQ101" s="281">
        <f>Tabla_query__2[[#This Row],[Inicio Real]]+(Tabla_query__2[[#This Row],[Número
Semanas]]*7)</f>
        <v>45428</v>
      </c>
      <c r="AR101" s="462">
        <f>Tabla_query__2[[#This Row],[Número
Semanas]]/4</f>
        <v>1.5</v>
      </c>
      <c r="AS101" s="587">
        <f>Tabla_query__2[[#This Row],[FinDes2]]-Tabla_query__2[[#This Row],[InicioDes2]]</f>
        <v>21</v>
      </c>
      <c r="AT101" s="261"/>
      <c r="AV101" s="439" t="s">
        <v>148</v>
      </c>
      <c r="AX101" t="s">
        <v>341</v>
      </c>
    </row>
    <row r="102" spans="1:50" ht="40.5" customHeight="1">
      <c r="A102" s="318" t="s">
        <v>130</v>
      </c>
      <c r="B102" s="262" t="s">
        <v>131</v>
      </c>
      <c r="C102" s="262" t="s">
        <v>361</v>
      </c>
      <c r="D102" s="262" t="s">
        <v>362</v>
      </c>
      <c r="E102" s="262" t="s">
        <v>310</v>
      </c>
      <c r="F102" s="259" t="s">
        <v>363</v>
      </c>
      <c r="G102" s="259" t="s">
        <v>136</v>
      </c>
      <c r="H102" s="259" t="s">
        <v>137</v>
      </c>
      <c r="I102" s="529" t="s">
        <v>260</v>
      </c>
      <c r="J102" s="262" t="s">
        <v>4</v>
      </c>
      <c r="K102" s="262"/>
      <c r="L102" s="262"/>
      <c r="M102" s="266" t="s">
        <v>140</v>
      </c>
      <c r="N102" s="262" t="s">
        <v>47</v>
      </c>
      <c r="O102" t="s">
        <v>305</v>
      </c>
      <c r="P102" s="262" t="s">
        <v>45</v>
      </c>
      <c r="Q102" s="262" t="s">
        <v>143</v>
      </c>
      <c r="R102" s="262" t="s">
        <v>144</v>
      </c>
      <c r="S102" s="261"/>
      <c r="T102" s="584" t="s">
        <v>145</v>
      </c>
      <c r="U102" s="261" t="s">
        <v>364</v>
      </c>
      <c r="V102" s="261" t="s">
        <v>136</v>
      </c>
      <c r="W102" s="261">
        <v>1</v>
      </c>
      <c r="X102" s="261">
        <v>4</v>
      </c>
      <c r="Y102" s="261">
        <f>Tabla_query__2[[#This Row],[Número
Semanas]]*5*8</f>
        <v>160</v>
      </c>
      <c r="Z102" s="268">
        <f>Tabla_query__2[[#This Row],[TOTAL]]/Tabla_query__2[[#This Row],[Número de Horas]]/2</f>
        <v>8.875</v>
      </c>
      <c r="AA102" s="261">
        <v>1</v>
      </c>
      <c r="AB102" s="261">
        <v>550</v>
      </c>
      <c r="AC102" s="261"/>
      <c r="AD102" s="387">
        <f>(Tabla_query__2[[#This Row],[Número
Semanas]]*Tabla_query__2[[#This Row],[Número
Personas]]*Tabla_query__2[[#This Row],[Costo
Mano Obra/semana]]+640)*Tabla_query__2[[#This Row],[Factor País]]</f>
        <v>2840</v>
      </c>
      <c r="AE102" s="261"/>
      <c r="AF102" s="261"/>
      <c r="AG102" s="547" t="s">
        <v>211</v>
      </c>
      <c r="AH102" s="464">
        <v>45355</v>
      </c>
      <c r="AI102" s="464">
        <v>45369</v>
      </c>
      <c r="AJ102" s="462">
        <f>Tabla_query__2[[#This Row],[FinDes]]-Tabla_query__2[[#This Row],[InicioDes]]</f>
        <v>14</v>
      </c>
      <c r="AK102" s="464">
        <v>45369</v>
      </c>
      <c r="AL102" s="464">
        <v>45376</v>
      </c>
      <c r="AM102" s="462">
        <f t="shared" si="3"/>
        <v>362959</v>
      </c>
      <c r="AN102" s="464">
        <v>45376</v>
      </c>
      <c r="AO102" s="464">
        <v>45383</v>
      </c>
      <c r="AP102" s="281">
        <v>45444</v>
      </c>
      <c r="AQ102" s="281">
        <f>Tabla_query__2[[#This Row],[Inicio Real]]+(Tabla_query__2[[#This Row],[Número
Semanas]]*7)</f>
        <v>45472</v>
      </c>
      <c r="AR102" s="462">
        <f>Tabla_query__2[[#This Row],[Número
Semanas]]/4</f>
        <v>1</v>
      </c>
      <c r="AS102" s="587">
        <f>Tabla_query__2[[#This Row],[FinDes2]]-Tabla_query__2[[#This Row],[InicioDes2]]</f>
        <v>7</v>
      </c>
      <c r="AT102" s="261" t="s">
        <v>155</v>
      </c>
      <c r="AV102" s="444" t="s">
        <v>148</v>
      </c>
      <c r="AX102" t="s">
        <v>341</v>
      </c>
    </row>
    <row r="103" spans="1:50" ht="27" customHeight="1">
      <c r="A103" s="318" t="s">
        <v>130</v>
      </c>
      <c r="B103" s="262" t="s">
        <v>131</v>
      </c>
      <c r="C103" s="262" t="s">
        <v>317</v>
      </c>
      <c r="D103" s="277" t="s">
        <v>408</v>
      </c>
      <c r="E103" s="262" t="s">
        <v>409</v>
      </c>
      <c r="F103" s="264" t="s">
        <v>410</v>
      </c>
      <c r="G103" s="264" t="s">
        <v>136</v>
      </c>
      <c r="H103" s="259" t="s">
        <v>204</v>
      </c>
      <c r="I103" s="262" t="s">
        <v>260</v>
      </c>
      <c r="J103" s="262" t="s">
        <v>4</v>
      </c>
      <c r="K103" s="262"/>
      <c r="L103" s="262"/>
      <c r="M103" s="266" t="s">
        <v>206</v>
      </c>
      <c r="N103" s="262" t="s">
        <v>47</v>
      </c>
      <c r="O103" t="s">
        <v>305</v>
      </c>
      <c r="P103" s="262" t="s">
        <v>45</v>
      </c>
      <c r="Q103" s="262" t="s">
        <v>143</v>
      </c>
      <c r="R103" s="497" t="s">
        <v>144</v>
      </c>
      <c r="S103" s="261" t="s">
        <v>152</v>
      </c>
      <c r="T103" s="584" t="s">
        <v>145</v>
      </c>
      <c r="U103" s="261" t="s">
        <v>411</v>
      </c>
      <c r="V103" s="261" t="s">
        <v>146</v>
      </c>
      <c r="W103" s="261"/>
      <c r="X103" s="261">
        <v>4</v>
      </c>
      <c r="Y103" s="261">
        <f>Tabla_query__2[[#This Row],[Número
Semanas]]*5*8</f>
        <v>160</v>
      </c>
      <c r="Z103" s="268">
        <f>Tabla_query__2[[#This Row],[TOTAL]]/Tabla_query__2[[#This Row],[Número de Horas]]/2</f>
        <v>6.875</v>
      </c>
      <c r="AA103" s="261">
        <v>1</v>
      </c>
      <c r="AB103" s="261">
        <v>550</v>
      </c>
      <c r="AC103" s="261"/>
      <c r="AD103" s="268">
        <f>Tabla_query__2[[#This Row],[Número
Semanas]]*Tabla_query__2[[#This Row],[Número
Personas]]*Tabla_query__2[[#This Row],[Costo
Mano Obra/semana]]</f>
        <v>2200</v>
      </c>
      <c r="AE103" s="261"/>
      <c r="AF103" s="261"/>
      <c r="AG103" s="590" t="s">
        <v>154</v>
      </c>
      <c r="AH103" s="463">
        <v>45345</v>
      </c>
      <c r="AI103" s="463">
        <v>45352</v>
      </c>
      <c r="AJ103" s="462">
        <f>Tabla_query__2[[#This Row],[FinDes]]-Tabla_query__2[[#This Row],[InicioDes]]</f>
        <v>7</v>
      </c>
      <c r="AK103" s="463">
        <v>45352</v>
      </c>
      <c r="AL103" s="463">
        <v>45359</v>
      </c>
      <c r="AM103" s="462">
        <f t="shared" si="3"/>
        <v>362823</v>
      </c>
      <c r="AN103" s="463">
        <v>45359</v>
      </c>
      <c r="AO103" s="463">
        <v>45359</v>
      </c>
      <c r="AP103" s="281">
        <v>45413</v>
      </c>
      <c r="AQ103" s="281">
        <f>Tabla_query__2[[#This Row],[Inicio Real]]+(Tabla_query__2[[#This Row],[Número
Semanas]]*7)</f>
        <v>45441</v>
      </c>
      <c r="AR103" s="462">
        <f>Tabla_query__2[[#This Row],[Número
Semanas]]/4</f>
        <v>1</v>
      </c>
      <c r="AS103" s="587">
        <f>Tabla_query__2[[#This Row],[FinDes2]]-Tabla_query__2[[#This Row],[InicioDes2]]</f>
        <v>0</v>
      </c>
      <c r="AT103" s="261" t="s">
        <v>315</v>
      </c>
      <c r="AV103" s="434" t="s">
        <v>148</v>
      </c>
      <c r="AX103" t="s">
        <v>341</v>
      </c>
    </row>
    <row r="104" spans="1:50" ht="24" customHeight="1">
      <c r="A104" s="318" t="s">
        <v>130</v>
      </c>
      <c r="B104" s="262" t="s">
        <v>131</v>
      </c>
      <c r="C104" s="262" t="s">
        <v>162</v>
      </c>
      <c r="D104" s="262" t="s">
        <v>412</v>
      </c>
      <c r="E104" s="262" t="s">
        <v>164</v>
      </c>
      <c r="F104" s="264" t="s">
        <v>413</v>
      </c>
      <c r="G104" s="264" t="s">
        <v>210</v>
      </c>
      <c r="H104" s="262" t="s">
        <v>137</v>
      </c>
      <c r="I104" s="262" t="s">
        <v>260</v>
      </c>
      <c r="J104" s="262" t="s">
        <v>4</v>
      </c>
      <c r="K104" s="262"/>
      <c r="L104" s="262"/>
      <c r="M104" s="266" t="s">
        <v>140</v>
      </c>
      <c r="N104" s="262" t="s">
        <v>47</v>
      </c>
      <c r="O104" t="s">
        <v>305</v>
      </c>
      <c r="P104" s="262" t="s">
        <v>45</v>
      </c>
      <c r="Q104" s="262" t="s">
        <v>143</v>
      </c>
      <c r="R104" s="262" t="s">
        <v>144</v>
      </c>
      <c r="S104" s="261" t="e">
        <f>VLOOKUP(Tabla_query__2[[#This Row],[Requerimiento]],'A1 TD'!A27:D59,4,FALSE)</f>
        <v>#N/A</v>
      </c>
      <c r="T104" s="584" t="s">
        <v>145</v>
      </c>
      <c r="U104" s="261" t="s">
        <v>369</v>
      </c>
      <c r="V104" s="261" t="s">
        <v>146</v>
      </c>
      <c r="W104" s="261">
        <v>1</v>
      </c>
      <c r="X104" s="261">
        <v>1</v>
      </c>
      <c r="Y104" s="261">
        <f>Tabla_query__2[[#This Row],[Número
Semanas]]*5*8</f>
        <v>40</v>
      </c>
      <c r="Z104" s="268">
        <f>Tabla_query__2[[#This Row],[TOTAL]]/Tabla_query__2[[#This Row],[Número de Horas]]/2</f>
        <v>8.5</v>
      </c>
      <c r="AA104" s="261">
        <v>1</v>
      </c>
      <c r="AB104" s="261">
        <v>550</v>
      </c>
      <c r="AC104" s="261"/>
      <c r="AD104" s="387">
        <f>(Tabla_query__2[[#This Row],[Número
Semanas]]*Tabla_query__2[[#This Row],[Número
Personas]]*Tabla_query__2[[#This Row],[Costo
Mano Obra/semana]]+130)*Tabla_query__2[[#This Row],[Factor País]]</f>
        <v>680</v>
      </c>
      <c r="AE104" s="261"/>
      <c r="AF104" s="261"/>
      <c r="AG104" s="592" t="s">
        <v>154</v>
      </c>
      <c r="AH104" s="464">
        <v>45390</v>
      </c>
      <c r="AI104" s="320">
        <v>45397</v>
      </c>
      <c r="AJ104" s="462">
        <f>Tabla_query__2[[#This Row],[FinDes]]-Tabla_query__2[[#This Row],[InicioDes]]</f>
        <v>7</v>
      </c>
      <c r="AK104" s="320">
        <v>45397</v>
      </c>
      <c r="AL104" s="320">
        <v>45404</v>
      </c>
      <c r="AM104" s="462">
        <f t="shared" si="3"/>
        <v>363183</v>
      </c>
      <c r="AN104" s="320">
        <v>45404</v>
      </c>
      <c r="AO104" s="320">
        <v>45411</v>
      </c>
      <c r="AP104" s="320">
        <v>45451</v>
      </c>
      <c r="AQ104" s="281">
        <f>Tabla_query__2[[#This Row],[Inicio Real]]+(Tabla_query__2[[#This Row],[Número
Semanas]]*7)</f>
        <v>45458</v>
      </c>
      <c r="AR104" s="462">
        <f>Tabla_query__2[[#This Row],[Número
Semanas]]/4</f>
        <v>0.25</v>
      </c>
      <c r="AS104" s="587">
        <f>Tabla_query__2[[#This Row],[FinDes2]]-Tabla_query__2[[#This Row],[InicioDes2]]</f>
        <v>7</v>
      </c>
      <c r="AT104" s="261" t="s">
        <v>155</v>
      </c>
      <c r="AV104" s="446" t="s">
        <v>148</v>
      </c>
      <c r="AX104" t="s">
        <v>341</v>
      </c>
    </row>
    <row r="105" spans="1:50" ht="24" customHeight="1">
      <c r="A105" s="318" t="s">
        <v>130</v>
      </c>
      <c r="B105" s="262" t="s">
        <v>131</v>
      </c>
      <c r="C105" s="262" t="s">
        <v>162</v>
      </c>
      <c r="D105" s="277" t="s">
        <v>412</v>
      </c>
      <c r="E105" s="262" t="s">
        <v>164</v>
      </c>
      <c r="F105" s="264" t="s">
        <v>413</v>
      </c>
      <c r="G105" s="264" t="s">
        <v>210</v>
      </c>
      <c r="H105" s="262" t="s">
        <v>137</v>
      </c>
      <c r="I105" s="262" t="s">
        <v>260</v>
      </c>
      <c r="J105" s="262" t="s">
        <v>4</v>
      </c>
      <c r="K105" s="262"/>
      <c r="L105" s="262"/>
      <c r="M105" s="266" t="s">
        <v>329</v>
      </c>
      <c r="N105" s="262" t="s">
        <v>47</v>
      </c>
      <c r="O105" t="s">
        <v>305</v>
      </c>
      <c r="P105" s="262" t="s">
        <v>45</v>
      </c>
      <c r="Q105" s="262" t="s">
        <v>143</v>
      </c>
      <c r="R105" s="262" t="s">
        <v>144</v>
      </c>
      <c r="S105" s="261" t="e">
        <f>VLOOKUP(Tabla_query__2[[#This Row],[Requerimiento]],'A1 TD'!A26:D58,4,FALSE)</f>
        <v>#N/A</v>
      </c>
      <c r="T105" s="584" t="s">
        <v>145</v>
      </c>
      <c r="U105" s="261" t="s">
        <v>369</v>
      </c>
      <c r="V105" s="261" t="s">
        <v>146</v>
      </c>
      <c r="W105" s="261">
        <v>1</v>
      </c>
      <c r="X105" s="261">
        <v>1</v>
      </c>
      <c r="Y105" s="261">
        <f>Tabla_query__2[[#This Row],[Número
Semanas]]*5*8</f>
        <v>40</v>
      </c>
      <c r="Z105" s="268">
        <f>Tabla_query__2[[#This Row],[TOTAL]]/Tabla_query__2[[#This Row],[Número de Horas]]/2</f>
        <v>8.5</v>
      </c>
      <c r="AA105" s="261">
        <v>1</v>
      </c>
      <c r="AB105" s="261">
        <v>550</v>
      </c>
      <c r="AC105" s="261"/>
      <c r="AD105" s="387">
        <f>(Tabla_query__2[[#This Row],[Número
Semanas]]*Tabla_query__2[[#This Row],[Número
Personas]]*Tabla_query__2[[#This Row],[Costo
Mano Obra/semana]]+130)*Tabla_query__2[[#This Row],[Factor País]]</f>
        <v>680</v>
      </c>
      <c r="AE105" s="261"/>
      <c r="AF105" s="261"/>
      <c r="AG105" s="592" t="s">
        <v>154</v>
      </c>
      <c r="AH105" s="464">
        <v>45390</v>
      </c>
      <c r="AI105" s="320">
        <v>45397</v>
      </c>
      <c r="AJ105" s="462">
        <f>Tabla_query__2[[#This Row],[FinDes]]-Tabla_query__2[[#This Row],[InicioDes]]</f>
        <v>7</v>
      </c>
      <c r="AK105" s="320">
        <v>45397</v>
      </c>
      <c r="AL105" s="320">
        <v>45404</v>
      </c>
      <c r="AM105" s="462">
        <f t="shared" si="3"/>
        <v>363183</v>
      </c>
      <c r="AN105" s="320">
        <v>45404</v>
      </c>
      <c r="AO105" s="320">
        <v>45425</v>
      </c>
      <c r="AP105" s="320">
        <v>45451</v>
      </c>
      <c r="AQ105" s="281">
        <f>Tabla_query__2[[#This Row],[Inicio Real]]+(Tabla_query__2[[#This Row],[Número
Semanas]]*7)</f>
        <v>45458</v>
      </c>
      <c r="AR105" s="462">
        <f>Tabla_query__2[[#This Row],[Número
Semanas]]/4</f>
        <v>0.25</v>
      </c>
      <c r="AS105" s="587">
        <f>Tabla_query__2[[#This Row],[FinDes2]]-Tabla_query__2[[#This Row],[InicioDes2]]</f>
        <v>21</v>
      </c>
      <c r="AT105" s="261" t="s">
        <v>155</v>
      </c>
      <c r="AV105" s="441" t="s">
        <v>148</v>
      </c>
      <c r="AX105" t="s">
        <v>341</v>
      </c>
    </row>
    <row r="106" spans="1:50" ht="19.5" customHeight="1">
      <c r="A106" s="318" t="s">
        <v>130</v>
      </c>
      <c r="B106" s="262" t="s">
        <v>131</v>
      </c>
      <c r="C106" s="262" t="s">
        <v>162</v>
      </c>
      <c r="D106" s="262" t="s">
        <v>412</v>
      </c>
      <c r="E106" s="262" t="s">
        <v>164</v>
      </c>
      <c r="F106" s="264" t="s">
        <v>413</v>
      </c>
      <c r="G106" s="264" t="s">
        <v>210</v>
      </c>
      <c r="H106" s="262" t="s">
        <v>137</v>
      </c>
      <c r="I106" s="262" t="s">
        <v>260</v>
      </c>
      <c r="J106" s="262" t="s">
        <v>4</v>
      </c>
      <c r="K106" s="262"/>
      <c r="L106" s="262"/>
      <c r="M106" s="266" t="s">
        <v>328</v>
      </c>
      <c r="N106" s="262" t="s">
        <v>47</v>
      </c>
      <c r="O106" t="s">
        <v>305</v>
      </c>
      <c r="P106" s="262" t="s">
        <v>45</v>
      </c>
      <c r="Q106" s="262" t="s">
        <v>143</v>
      </c>
      <c r="R106" s="262" t="s">
        <v>144</v>
      </c>
      <c r="S106" s="261" t="e">
        <f>VLOOKUP(Tabla_query__2[[#This Row],[Requerimiento]],'A1 TD'!A24:D56,4,FALSE)</f>
        <v>#N/A</v>
      </c>
      <c r="T106" s="584" t="s">
        <v>145</v>
      </c>
      <c r="U106" s="261" t="s">
        <v>369</v>
      </c>
      <c r="V106" s="261" t="s">
        <v>146</v>
      </c>
      <c r="W106" s="261">
        <v>1</v>
      </c>
      <c r="X106" s="261">
        <v>1</v>
      </c>
      <c r="Y106" s="261">
        <f>Tabla_query__2[[#This Row],[Número
Semanas]]*5*8</f>
        <v>40</v>
      </c>
      <c r="Z106" s="268">
        <f>Tabla_query__2[[#This Row],[TOTAL]]/Tabla_query__2[[#This Row],[Número de Horas]]/2</f>
        <v>8.5</v>
      </c>
      <c r="AA106" s="261">
        <v>1</v>
      </c>
      <c r="AB106" s="261">
        <v>550</v>
      </c>
      <c r="AC106" s="261"/>
      <c r="AD106" s="387">
        <f>(Tabla_query__2[[#This Row],[Número
Semanas]]*Tabla_query__2[[#This Row],[Número
Personas]]*Tabla_query__2[[#This Row],[Costo
Mano Obra/semana]]+130)*Tabla_query__2[[#This Row],[Factor País]]</f>
        <v>680</v>
      </c>
      <c r="AE106" s="261"/>
      <c r="AF106" s="261"/>
      <c r="AG106" s="547" t="s">
        <v>154</v>
      </c>
      <c r="AH106" s="464">
        <v>45390</v>
      </c>
      <c r="AI106" s="320">
        <v>45397</v>
      </c>
      <c r="AJ106" s="462">
        <f>Tabla_query__2[[#This Row],[FinDes]]-Tabla_query__2[[#This Row],[InicioDes]]</f>
        <v>7</v>
      </c>
      <c r="AK106" s="320">
        <v>45397</v>
      </c>
      <c r="AL106" s="320">
        <v>45404</v>
      </c>
      <c r="AM106" s="462">
        <f t="shared" si="3"/>
        <v>363183</v>
      </c>
      <c r="AN106" s="320">
        <v>45404</v>
      </c>
      <c r="AO106" s="320">
        <v>45411</v>
      </c>
      <c r="AP106" s="320">
        <v>45451</v>
      </c>
      <c r="AQ106" s="281">
        <f>Tabla_query__2[[#This Row],[Inicio Real]]+(Tabla_query__2[[#This Row],[Número
Semanas]]*7)</f>
        <v>45458</v>
      </c>
      <c r="AR106" s="462">
        <f>Tabla_query__2[[#This Row],[Número
Semanas]]/4</f>
        <v>0.25</v>
      </c>
      <c r="AS106" s="587">
        <f>Tabla_query__2[[#This Row],[FinDes2]]-Tabla_query__2[[#This Row],[InicioDes2]]</f>
        <v>7</v>
      </c>
      <c r="AT106" s="261" t="s">
        <v>155</v>
      </c>
      <c r="AV106" s="443" t="s">
        <v>148</v>
      </c>
      <c r="AX106" t="s">
        <v>341</v>
      </c>
    </row>
    <row r="107" spans="1:50" ht="20.25" customHeight="1">
      <c r="A107" s="318" t="s">
        <v>130</v>
      </c>
      <c r="B107" s="262" t="s">
        <v>131</v>
      </c>
      <c r="C107" s="262" t="s">
        <v>162</v>
      </c>
      <c r="D107" s="262" t="s">
        <v>412</v>
      </c>
      <c r="E107" s="262" t="s">
        <v>164</v>
      </c>
      <c r="F107" s="264" t="s">
        <v>414</v>
      </c>
      <c r="G107" s="264" t="s">
        <v>210</v>
      </c>
      <c r="H107" s="262" t="s">
        <v>137</v>
      </c>
      <c r="I107" s="262" t="s">
        <v>260</v>
      </c>
      <c r="J107" s="262" t="s">
        <v>4</v>
      </c>
      <c r="K107" s="262"/>
      <c r="L107" s="262"/>
      <c r="M107" s="266" t="s">
        <v>330</v>
      </c>
      <c r="N107" s="262" t="s">
        <v>47</v>
      </c>
      <c r="O107" t="s">
        <v>305</v>
      </c>
      <c r="P107" s="262" t="s">
        <v>45</v>
      </c>
      <c r="Q107" s="262" t="s">
        <v>143</v>
      </c>
      <c r="R107" s="262" t="s">
        <v>144</v>
      </c>
      <c r="S107" s="261" t="e">
        <f>VLOOKUP(Tabla_query__2[[#This Row],[Requerimiento]],'A1 TD'!A25:D57,4,FALSE)</f>
        <v>#N/A</v>
      </c>
      <c r="T107" s="584" t="s">
        <v>145</v>
      </c>
      <c r="U107" s="261" t="s">
        <v>369</v>
      </c>
      <c r="V107" s="261" t="s">
        <v>146</v>
      </c>
      <c r="W107" s="261">
        <v>1</v>
      </c>
      <c r="X107" s="261">
        <v>1</v>
      </c>
      <c r="Y107" s="261">
        <f>Tabla_query__2[[#This Row],[Número
Semanas]]*5*8</f>
        <v>40</v>
      </c>
      <c r="Z107" s="268">
        <f>Tabla_query__2[[#This Row],[TOTAL]]/Tabla_query__2[[#This Row],[Número de Horas]]/2</f>
        <v>8.5</v>
      </c>
      <c r="AA107" s="261">
        <v>1</v>
      </c>
      <c r="AB107" s="261">
        <v>550</v>
      </c>
      <c r="AC107" s="261"/>
      <c r="AD107" s="387">
        <f>(Tabla_query__2[[#This Row],[Número
Semanas]]*Tabla_query__2[[#This Row],[Número
Personas]]*Tabla_query__2[[#This Row],[Costo
Mano Obra/semana]]+130)*Tabla_query__2[[#This Row],[Factor País]]</f>
        <v>680</v>
      </c>
      <c r="AE107" s="261"/>
      <c r="AF107" s="261"/>
      <c r="AG107" s="547" t="s">
        <v>154</v>
      </c>
      <c r="AH107" s="465">
        <v>45390</v>
      </c>
      <c r="AI107" s="283">
        <v>45397</v>
      </c>
      <c r="AJ107" s="462">
        <f>Tabla_query__2[[#This Row],[FinDes]]-Tabla_query__2[[#This Row],[InicioDes]]</f>
        <v>7</v>
      </c>
      <c r="AK107" s="283">
        <v>45397</v>
      </c>
      <c r="AL107" s="283">
        <v>45404</v>
      </c>
      <c r="AM107" s="462">
        <f t="shared" si="3"/>
        <v>363183</v>
      </c>
      <c r="AN107" s="283">
        <v>45404</v>
      </c>
      <c r="AO107" s="283">
        <v>45411</v>
      </c>
      <c r="AP107" s="320">
        <v>45451</v>
      </c>
      <c r="AQ107" s="281">
        <f>Tabla_query__2[[#This Row],[Inicio Real]]+(Tabla_query__2[[#This Row],[Número
Semanas]]*7)</f>
        <v>45458</v>
      </c>
      <c r="AR107" s="462">
        <f>Tabla_query__2[[#This Row],[Número
Semanas]]/4</f>
        <v>0.25</v>
      </c>
      <c r="AS107" s="587">
        <f>Tabla_query__2[[#This Row],[FinDes2]]-Tabla_query__2[[#This Row],[InicioDes2]]</f>
        <v>7</v>
      </c>
      <c r="AT107" s="261" t="s">
        <v>155</v>
      </c>
      <c r="AV107" s="446" t="s">
        <v>148</v>
      </c>
      <c r="AX107" t="s">
        <v>341</v>
      </c>
    </row>
    <row r="108" spans="1:50" ht="19.5" customHeight="1">
      <c r="A108" s="318" t="s">
        <v>130</v>
      </c>
      <c r="B108" s="262" t="s">
        <v>131</v>
      </c>
      <c r="C108" s="262" t="s">
        <v>192</v>
      </c>
      <c r="D108" s="262" t="s">
        <v>415</v>
      </c>
      <c r="E108" s="262" t="s">
        <v>164</v>
      </c>
      <c r="F108" s="264" t="s">
        <v>416</v>
      </c>
      <c r="G108" s="264" t="s">
        <v>136</v>
      </c>
      <c r="H108" s="259" t="s">
        <v>204</v>
      </c>
      <c r="I108" s="262" t="s">
        <v>260</v>
      </c>
      <c r="J108" s="262" t="s">
        <v>4</v>
      </c>
      <c r="K108" s="262"/>
      <c r="L108" s="262"/>
      <c r="M108" s="266" t="s">
        <v>206</v>
      </c>
      <c r="N108" s="262" t="s">
        <v>47</v>
      </c>
      <c r="O108" t="s">
        <v>305</v>
      </c>
      <c r="P108" s="262" t="s">
        <v>45</v>
      </c>
      <c r="Q108" s="262" t="s">
        <v>143</v>
      </c>
      <c r="R108" s="262" t="s">
        <v>144</v>
      </c>
      <c r="S108" s="261" t="s">
        <v>152</v>
      </c>
      <c r="T108" s="589" t="s">
        <v>145</v>
      </c>
      <c r="U108" s="261" t="s">
        <v>417</v>
      </c>
      <c r="V108" s="261" t="s">
        <v>146</v>
      </c>
      <c r="W108" s="261">
        <v>1</v>
      </c>
      <c r="X108" s="261">
        <v>4</v>
      </c>
      <c r="Y108" s="261">
        <f>Tabla_query__2[[#This Row],[Número
Semanas]]*5*8</f>
        <v>160</v>
      </c>
      <c r="Z108" s="268">
        <f>Tabla_query__2[[#This Row],[TOTAL]]/Tabla_query__2[[#This Row],[Número de Horas]]/2</f>
        <v>8.875</v>
      </c>
      <c r="AA108" s="261">
        <v>1</v>
      </c>
      <c r="AB108" s="261">
        <v>550</v>
      </c>
      <c r="AC108" s="261"/>
      <c r="AD108" s="387">
        <f>(Tabla_query__2[[#This Row],[Número
Semanas]]*Tabla_query__2[[#This Row],[Número
Personas]]*Tabla_query__2[[#This Row],[Costo
Mano Obra/semana]]+640)*Tabla_query__2[[#This Row],[Factor País]]</f>
        <v>2840</v>
      </c>
      <c r="AE108" s="261"/>
      <c r="AF108" s="261"/>
      <c r="AG108" s="592" t="s">
        <v>154</v>
      </c>
      <c r="AH108" s="281">
        <v>45369</v>
      </c>
      <c r="AI108" s="281">
        <v>45376</v>
      </c>
      <c r="AJ108" s="462">
        <f>Tabla_query__2[[#This Row],[FinDes]]-Tabla_query__2[[#This Row],[InicioDes]]</f>
        <v>7</v>
      </c>
      <c r="AK108" s="281">
        <v>45376</v>
      </c>
      <c r="AL108" s="281">
        <v>45383</v>
      </c>
      <c r="AM108" s="462">
        <f t="shared" si="3"/>
        <v>363015</v>
      </c>
      <c r="AN108" s="281">
        <v>45383</v>
      </c>
      <c r="AO108" s="281">
        <v>45390</v>
      </c>
      <c r="AP108" s="281">
        <v>45444</v>
      </c>
      <c r="AQ108" s="281">
        <f>Tabla_query__2[[#This Row],[Inicio Real]]+(Tabla_query__2[[#This Row],[Número
Semanas]]*7)</f>
        <v>45472</v>
      </c>
      <c r="AR108" s="462">
        <f>Tabla_query__2[[#This Row],[Número
Semanas]]/4</f>
        <v>1</v>
      </c>
      <c r="AS108" s="587">
        <f>Tabla_query__2[[#This Row],[FinDes2]]-Tabla_query__2[[#This Row],[InicioDes2]]</f>
        <v>7</v>
      </c>
      <c r="AT108" s="261" t="s">
        <v>155</v>
      </c>
      <c r="AX108" t="s">
        <v>341</v>
      </c>
    </row>
    <row r="109" spans="1:50" ht="19.5" customHeight="1">
      <c r="A109" s="318" t="s">
        <v>130</v>
      </c>
      <c r="B109" s="262" t="s">
        <v>131</v>
      </c>
      <c r="C109" s="262" t="s">
        <v>192</v>
      </c>
      <c r="D109" s="277" t="s">
        <v>415</v>
      </c>
      <c r="E109" s="262" t="s">
        <v>164</v>
      </c>
      <c r="F109" s="264" t="s">
        <v>418</v>
      </c>
      <c r="G109" s="264" t="s">
        <v>136</v>
      </c>
      <c r="H109" s="264" t="s">
        <v>137</v>
      </c>
      <c r="I109" s="262" t="s">
        <v>260</v>
      </c>
      <c r="J109" s="262" t="s">
        <v>4</v>
      </c>
      <c r="K109" s="262"/>
      <c r="L109" s="262"/>
      <c r="M109" s="266" t="s">
        <v>329</v>
      </c>
      <c r="N109" s="262" t="s">
        <v>47</v>
      </c>
      <c r="O109" t="s">
        <v>305</v>
      </c>
      <c r="P109" s="262" t="s">
        <v>45</v>
      </c>
      <c r="Q109" s="262" t="s">
        <v>143</v>
      </c>
      <c r="R109" s="262" t="s">
        <v>144</v>
      </c>
      <c r="S109" s="261" t="s">
        <v>152</v>
      </c>
      <c r="T109" s="589" t="s">
        <v>221</v>
      </c>
      <c r="U109" s="261" t="s">
        <v>417</v>
      </c>
      <c r="V109" s="261" t="s">
        <v>146</v>
      </c>
      <c r="W109" s="261">
        <v>1</v>
      </c>
      <c r="X109" s="261">
        <v>3</v>
      </c>
      <c r="Y109" s="261">
        <f>Tabla_query__2[[#This Row],[Número
Semanas]]*5*8</f>
        <v>120</v>
      </c>
      <c r="Z109" s="268">
        <f>Tabla_query__2[[#This Row],[TOTAL]]/Tabla_query__2[[#This Row],[Número de Horas]]/2</f>
        <v>9.5416666666666661</v>
      </c>
      <c r="AA109" s="261">
        <v>1</v>
      </c>
      <c r="AB109" s="261">
        <v>550</v>
      </c>
      <c r="AC109" s="261"/>
      <c r="AD109" s="387">
        <f>(Tabla_query__2[[#This Row],[Número
Semanas]]*Tabla_query__2[[#This Row],[Número
Personas]]*Tabla_query__2[[#This Row],[Costo
Mano Obra/semana]]+640)*Tabla_query__2[[#This Row],[Factor País]]</f>
        <v>2290</v>
      </c>
      <c r="AE109" s="261"/>
      <c r="AF109" s="261"/>
      <c r="AG109" s="547" t="s">
        <v>159</v>
      </c>
      <c r="AH109" s="281">
        <v>45404</v>
      </c>
      <c r="AI109" s="281">
        <v>45418</v>
      </c>
      <c r="AJ109" s="462">
        <f>Tabla_query__2[[#This Row],[FinDes]]-Tabla_query__2[[#This Row],[InicioDes]]</f>
        <v>14</v>
      </c>
      <c r="AK109" s="281">
        <v>45418</v>
      </c>
      <c r="AL109" s="281">
        <v>45425</v>
      </c>
      <c r="AM109" s="462">
        <f t="shared" si="3"/>
        <v>363351</v>
      </c>
      <c r="AN109" s="281">
        <v>45425</v>
      </c>
      <c r="AO109" s="281">
        <v>45425</v>
      </c>
      <c r="AP109" s="281">
        <v>45474</v>
      </c>
      <c r="AQ109" s="281">
        <f>Tabla_query__2[[#This Row],[Inicio Real]]+(Tabla_query__2[[#This Row],[Número
Semanas]]*7)</f>
        <v>45495</v>
      </c>
      <c r="AR109" s="462">
        <f>Tabla_query__2[[#This Row],[Número
Semanas]]/4</f>
        <v>0.75</v>
      </c>
      <c r="AS109" s="587">
        <f>Tabla_query__2[[#This Row],[FinDes2]]-Tabla_query__2[[#This Row],[InicioDes2]]</f>
        <v>0</v>
      </c>
      <c r="AT109" s="261" t="s">
        <v>155</v>
      </c>
      <c r="AV109" s="439"/>
      <c r="AX109" t="s">
        <v>341</v>
      </c>
    </row>
    <row r="110" spans="1:50" ht="20.25" customHeight="1">
      <c r="A110" s="318" t="s">
        <v>130</v>
      </c>
      <c r="B110" s="262" t="s">
        <v>131</v>
      </c>
      <c r="C110" s="262" t="s">
        <v>192</v>
      </c>
      <c r="D110" s="262" t="s">
        <v>415</v>
      </c>
      <c r="E110" s="262" t="s">
        <v>164</v>
      </c>
      <c r="F110" s="264" t="s">
        <v>416</v>
      </c>
      <c r="G110" s="264" t="s">
        <v>136</v>
      </c>
      <c r="H110" s="264" t="s">
        <v>137</v>
      </c>
      <c r="I110" s="262" t="s">
        <v>260</v>
      </c>
      <c r="J110" s="262" t="s">
        <v>4</v>
      </c>
      <c r="K110" s="262"/>
      <c r="L110" s="262"/>
      <c r="M110" s="266" t="s">
        <v>328</v>
      </c>
      <c r="N110" s="262" t="s">
        <v>47</v>
      </c>
      <c r="O110" t="s">
        <v>305</v>
      </c>
      <c r="P110" s="262" t="s">
        <v>45</v>
      </c>
      <c r="Q110" s="262" t="s">
        <v>143</v>
      </c>
      <c r="R110" s="262" t="s">
        <v>144</v>
      </c>
      <c r="S110" s="261" t="s">
        <v>152</v>
      </c>
      <c r="T110" s="589" t="s">
        <v>221</v>
      </c>
      <c r="U110" s="261" t="s">
        <v>417</v>
      </c>
      <c r="V110" s="261" t="s">
        <v>146</v>
      </c>
      <c r="W110" s="261">
        <v>1</v>
      </c>
      <c r="X110" s="261">
        <v>2</v>
      </c>
      <c r="Y110" s="261">
        <f>Tabla_query__2[[#This Row],[Número
Semanas]]*5*8</f>
        <v>80</v>
      </c>
      <c r="Z110" s="268">
        <f>Tabla_query__2[[#This Row],[TOTAL]]/Tabla_query__2[[#This Row],[Número de Horas]]/2</f>
        <v>10.875</v>
      </c>
      <c r="AA110" s="261">
        <v>1</v>
      </c>
      <c r="AB110" s="261">
        <v>550</v>
      </c>
      <c r="AC110" s="261"/>
      <c r="AD110" s="387">
        <f>(Tabla_query__2[[#This Row],[Número
Semanas]]*Tabla_query__2[[#This Row],[Número
Personas]]*Tabla_query__2[[#This Row],[Costo
Mano Obra/semana]]+640)*Tabla_query__2[[#This Row],[Factor País]]</f>
        <v>1740</v>
      </c>
      <c r="AE110" s="261"/>
      <c r="AF110" s="261"/>
      <c r="AG110" s="547" t="s">
        <v>159</v>
      </c>
      <c r="AH110" s="281">
        <v>45376</v>
      </c>
      <c r="AI110" s="458">
        <v>45383</v>
      </c>
      <c r="AJ110" s="542">
        <f>Tabla_query__2[[#This Row],[FinDes]]-Tabla_query__2[[#This Row],[InicioDes]]</f>
        <v>7</v>
      </c>
      <c r="AK110" s="281">
        <v>45383</v>
      </c>
      <c r="AL110" s="458">
        <v>45390</v>
      </c>
      <c r="AM110" s="545">
        <f t="shared" ref="AM110:AM141" si="4">AL110+ ((AK110*7))</f>
        <v>363071</v>
      </c>
      <c r="AN110" s="458">
        <v>45425</v>
      </c>
      <c r="AO110" s="458">
        <v>45390</v>
      </c>
      <c r="AP110" s="281">
        <v>45488</v>
      </c>
      <c r="AQ110" s="281">
        <f>Tabla_query__2[[#This Row],[Inicio Real]]+(Tabla_query__2[[#This Row],[Número
Semanas]]*7)</f>
        <v>45502</v>
      </c>
      <c r="AR110" s="462">
        <f>Tabla_query__2[[#This Row],[Número
Semanas]]/4</f>
        <v>0.5</v>
      </c>
      <c r="AS110" s="587">
        <f>Tabla_query__2[[#This Row],[FinDes2]]-Tabla_query__2[[#This Row],[InicioDes2]]</f>
        <v>-35</v>
      </c>
      <c r="AT110" s="261" t="s">
        <v>155</v>
      </c>
      <c r="AV110" s="437"/>
      <c r="AX110" t="s">
        <v>341</v>
      </c>
    </row>
    <row r="111" spans="1:50" ht="25.5" customHeight="1">
      <c r="A111" s="318" t="s">
        <v>130</v>
      </c>
      <c r="B111" s="262" t="s">
        <v>131</v>
      </c>
      <c r="C111" s="262" t="s">
        <v>192</v>
      </c>
      <c r="D111" s="262" t="s">
        <v>415</v>
      </c>
      <c r="E111" s="262" t="s">
        <v>164</v>
      </c>
      <c r="F111" s="264" t="s">
        <v>418</v>
      </c>
      <c r="G111" s="264" t="s">
        <v>136</v>
      </c>
      <c r="H111" s="264" t="s">
        <v>137</v>
      </c>
      <c r="I111" s="262" t="s">
        <v>260</v>
      </c>
      <c r="J111" s="262" t="s">
        <v>4</v>
      </c>
      <c r="K111" s="262"/>
      <c r="L111" s="262"/>
      <c r="M111" s="266" t="s">
        <v>140</v>
      </c>
      <c r="N111" s="262" t="s">
        <v>47</v>
      </c>
      <c r="O111" t="s">
        <v>305</v>
      </c>
      <c r="P111" s="262" t="s">
        <v>45</v>
      </c>
      <c r="Q111" s="262" t="s">
        <v>143</v>
      </c>
      <c r="R111" s="262" t="s">
        <v>144</v>
      </c>
      <c r="S111" s="261" t="s">
        <v>152</v>
      </c>
      <c r="T111" s="589" t="s">
        <v>221</v>
      </c>
      <c r="U111" s="261" t="s">
        <v>417</v>
      </c>
      <c r="V111" s="261" t="s">
        <v>146</v>
      </c>
      <c r="W111" s="261">
        <v>1</v>
      </c>
      <c r="X111" s="261">
        <v>2</v>
      </c>
      <c r="Y111" s="261">
        <f>Tabla_query__2[[#This Row],[Número
Semanas]]*5*8</f>
        <v>80</v>
      </c>
      <c r="Z111" s="268">
        <f>Tabla_query__2[[#This Row],[TOTAL]]/Tabla_query__2[[#This Row],[Número de Horas]]/2</f>
        <v>10.875</v>
      </c>
      <c r="AA111" s="261">
        <v>1</v>
      </c>
      <c r="AB111" s="261">
        <v>550</v>
      </c>
      <c r="AC111" s="261"/>
      <c r="AD111" s="387">
        <f>(Tabla_query__2[[#This Row],[Número
Semanas]]*Tabla_query__2[[#This Row],[Número
Personas]]*Tabla_query__2[[#This Row],[Costo
Mano Obra/semana]]+640)*Tabla_query__2[[#This Row],[Factor País]]</f>
        <v>1740</v>
      </c>
      <c r="AE111" s="261"/>
      <c r="AF111" s="261"/>
      <c r="AG111" s="547" t="s">
        <v>147</v>
      </c>
      <c r="AH111" s="281">
        <v>45432</v>
      </c>
      <c r="AI111" s="281">
        <v>45439</v>
      </c>
      <c r="AJ111" s="462">
        <f>Tabla_query__2[[#This Row],[FinDes]]-Tabla_query__2[[#This Row],[InicioDes]]</f>
        <v>7</v>
      </c>
      <c r="AK111" s="281">
        <v>45439</v>
      </c>
      <c r="AL111" s="281">
        <v>45446</v>
      </c>
      <c r="AM111" s="462">
        <f t="shared" si="4"/>
        <v>363519</v>
      </c>
      <c r="AN111" s="281">
        <v>45446</v>
      </c>
      <c r="AO111" s="281">
        <v>45446</v>
      </c>
      <c r="AP111" s="281">
        <v>45505</v>
      </c>
      <c r="AQ111" s="281">
        <f>Tabla_query__2[[#This Row],[Inicio Real]]+(Tabla_query__2[[#This Row],[Número
Semanas]]*7)</f>
        <v>45519</v>
      </c>
      <c r="AR111" s="462">
        <f>Tabla_query__2[[#This Row],[Número
Semanas]]/4</f>
        <v>0.5</v>
      </c>
      <c r="AS111" s="587">
        <f>Tabla_query__2[[#This Row],[FinDes2]]-Tabla_query__2[[#This Row],[InicioDes2]]</f>
        <v>0</v>
      </c>
      <c r="AT111" s="261" t="s">
        <v>155</v>
      </c>
      <c r="AX111" t="s">
        <v>341</v>
      </c>
    </row>
    <row r="112" spans="1:50" ht="23.25">
      <c r="A112" s="318" t="s">
        <v>130</v>
      </c>
      <c r="B112" s="262" t="s">
        <v>131</v>
      </c>
      <c r="C112" s="262" t="s">
        <v>192</v>
      </c>
      <c r="D112" s="262" t="s">
        <v>415</v>
      </c>
      <c r="E112" s="262" t="s">
        <v>164</v>
      </c>
      <c r="F112" s="264" t="s">
        <v>416</v>
      </c>
      <c r="G112" s="264" t="s">
        <v>136</v>
      </c>
      <c r="H112" s="264" t="s">
        <v>137</v>
      </c>
      <c r="I112" s="262" t="s">
        <v>260</v>
      </c>
      <c r="J112" s="262" t="s">
        <v>4</v>
      </c>
      <c r="K112" s="262"/>
      <c r="L112" s="262"/>
      <c r="M112" s="266" t="s">
        <v>330</v>
      </c>
      <c r="N112" s="262" t="s">
        <v>47</v>
      </c>
      <c r="O112" t="s">
        <v>305</v>
      </c>
      <c r="P112" s="262" t="s">
        <v>45</v>
      </c>
      <c r="Q112" s="262" t="s">
        <v>143</v>
      </c>
      <c r="R112" s="262" t="s">
        <v>144</v>
      </c>
      <c r="S112" s="261" t="s">
        <v>152</v>
      </c>
      <c r="T112" s="589" t="s">
        <v>221</v>
      </c>
      <c r="U112" s="261" t="s">
        <v>417</v>
      </c>
      <c r="V112" s="261" t="s">
        <v>146</v>
      </c>
      <c r="W112" s="261">
        <v>1</v>
      </c>
      <c r="X112" s="261">
        <v>2</v>
      </c>
      <c r="Y112" s="261">
        <f>Tabla_query__2[[#This Row],[Número
Semanas]]*5*8</f>
        <v>80</v>
      </c>
      <c r="Z112" s="268">
        <f>Tabla_query__2[[#This Row],[TOTAL]]/Tabla_query__2[[#This Row],[Número de Horas]]/2</f>
        <v>10.875</v>
      </c>
      <c r="AA112" s="261">
        <v>1</v>
      </c>
      <c r="AB112" s="261">
        <v>550</v>
      </c>
      <c r="AC112" s="261"/>
      <c r="AD112" s="387">
        <f>(Tabla_query__2[[#This Row],[Número
Semanas]]*Tabla_query__2[[#This Row],[Número
Personas]]*Tabla_query__2[[#This Row],[Costo
Mano Obra/semana]]+640)*Tabla_query__2[[#This Row],[Factor País]]</f>
        <v>1740</v>
      </c>
      <c r="AE112" s="261"/>
      <c r="AF112" s="261"/>
      <c r="AG112" s="547" t="s">
        <v>147</v>
      </c>
      <c r="AH112" s="281">
        <v>45418</v>
      </c>
      <c r="AI112" s="281">
        <v>45432</v>
      </c>
      <c r="AJ112" s="462">
        <f>Tabla_query__2[[#This Row],[FinDes]]-Tabla_query__2[[#This Row],[InicioDes]]</f>
        <v>14</v>
      </c>
      <c r="AK112" s="281">
        <v>45432</v>
      </c>
      <c r="AL112" s="281">
        <v>45439</v>
      </c>
      <c r="AM112" s="462">
        <f t="shared" si="4"/>
        <v>363463</v>
      </c>
      <c r="AN112" s="281">
        <v>45439</v>
      </c>
      <c r="AO112" s="281">
        <v>45439</v>
      </c>
      <c r="AP112" s="593">
        <v>45520</v>
      </c>
      <c r="AQ112" s="281">
        <f>Tabla_query__2[[#This Row],[Inicio Real]]+(Tabla_query__2[[#This Row],[Número
Semanas]]*7)</f>
        <v>45534</v>
      </c>
      <c r="AR112" s="462">
        <f>Tabla_query__2[[#This Row],[Número
Semanas]]/4</f>
        <v>0.5</v>
      </c>
      <c r="AS112" s="587">
        <f>Tabla_query__2[[#This Row],[FinDes2]]-Tabla_query__2[[#This Row],[InicioDes2]]</f>
        <v>0</v>
      </c>
      <c r="AT112" s="261" t="s">
        <v>155</v>
      </c>
      <c r="AV112" s="444"/>
      <c r="AX112" t="s">
        <v>341</v>
      </c>
    </row>
    <row r="113" spans="1:50" ht="25.5" customHeight="1">
      <c r="A113" s="318" t="s">
        <v>130</v>
      </c>
      <c r="B113" s="262" t="s">
        <v>131</v>
      </c>
      <c r="C113" s="262" t="s">
        <v>192</v>
      </c>
      <c r="D113" s="266" t="s">
        <v>419</v>
      </c>
      <c r="E113" s="277" t="s">
        <v>164</v>
      </c>
      <c r="F113" s="259" t="s">
        <v>420</v>
      </c>
      <c r="G113" s="259" t="s">
        <v>146</v>
      </c>
      <c r="H113" s="259" t="s">
        <v>137</v>
      </c>
      <c r="I113" s="262" t="s">
        <v>266</v>
      </c>
      <c r="J113" s="262" t="s">
        <v>78</v>
      </c>
      <c r="K113" s="262"/>
      <c r="L113" s="262"/>
      <c r="M113" s="266" t="s">
        <v>140</v>
      </c>
      <c r="N113" s="262" t="s">
        <v>47</v>
      </c>
      <c r="O113" t="s">
        <v>305</v>
      </c>
      <c r="P113" s="262" t="s">
        <v>45</v>
      </c>
      <c r="Q113" s="262" t="s">
        <v>143</v>
      </c>
      <c r="R113" s="497" t="s">
        <v>144</v>
      </c>
      <c r="S113" s="261"/>
      <c r="T113" s="589" t="s">
        <v>145</v>
      </c>
      <c r="U113" s="261"/>
      <c r="V113" s="261" t="s">
        <v>146</v>
      </c>
      <c r="W113" s="261">
        <v>1</v>
      </c>
      <c r="X113" s="261">
        <v>2</v>
      </c>
      <c r="Y113" s="261">
        <f>Tabla_query__2[[#This Row],[Número
Semanas]]*5*8</f>
        <v>80</v>
      </c>
      <c r="Z113" s="268">
        <f>Tabla_query__2[[#This Row],[TOTAL]]/Tabla_query__2[[#This Row],[Número de Horas]]/2</f>
        <v>10.875</v>
      </c>
      <c r="AA113" s="261">
        <v>1</v>
      </c>
      <c r="AB113" s="261">
        <v>550</v>
      </c>
      <c r="AC113" s="261"/>
      <c r="AD113" s="387">
        <f>(Tabla_query__2[[#This Row],[Número
Semanas]]*Tabla_query__2[[#This Row],[Número
Personas]]*Tabla_query__2[[#This Row],[Costo
Mano Obra/semana]]+640)*Tabla_query__2[[#This Row],[Factor País]]</f>
        <v>1740</v>
      </c>
      <c r="AE113" s="261"/>
      <c r="AF113" s="261"/>
      <c r="AG113" s="590" t="s">
        <v>154</v>
      </c>
      <c r="AH113" s="464">
        <v>45369</v>
      </c>
      <c r="AI113" s="464">
        <v>45369</v>
      </c>
      <c r="AJ113" s="462">
        <f>Tabla_query__2[[#This Row],[FinDes]]-Tabla_query__2[[#This Row],[InicioDes]]</f>
        <v>0</v>
      </c>
      <c r="AK113" s="464">
        <v>45369</v>
      </c>
      <c r="AL113" s="464">
        <v>45376</v>
      </c>
      <c r="AM113" s="462">
        <f t="shared" si="4"/>
        <v>362959</v>
      </c>
      <c r="AN113" s="464">
        <v>45376</v>
      </c>
      <c r="AO113" s="464">
        <v>45383</v>
      </c>
      <c r="AP113" s="281">
        <v>45413</v>
      </c>
      <c r="AQ113" s="281">
        <f>Tabla_query__2[[#This Row],[Inicio Real]]+(Tabla_query__2[[#This Row],[Número
Semanas]]*7)</f>
        <v>45427</v>
      </c>
      <c r="AR113" s="462">
        <f>Tabla_query__2[[#This Row],[Número
Semanas]]/4</f>
        <v>0.5</v>
      </c>
      <c r="AS113" s="587">
        <f>Tabla_query__2[[#This Row],[FinDes2]]-Tabla_query__2[[#This Row],[InicioDes2]]</f>
        <v>7</v>
      </c>
      <c r="AT113" s="261" t="s">
        <v>155</v>
      </c>
      <c r="AV113" s="437"/>
      <c r="AX113" t="s">
        <v>341</v>
      </c>
    </row>
    <row r="114" spans="1:50" ht="19.5" customHeight="1">
      <c r="A114" s="318">
        <v>2024</v>
      </c>
      <c r="B114" s="262" t="s">
        <v>131</v>
      </c>
      <c r="C114" s="262"/>
      <c r="D114" s="262" t="s">
        <v>421</v>
      </c>
      <c r="E114" s="262"/>
      <c r="F114" s="259" t="s">
        <v>422</v>
      </c>
      <c r="G114" s="259"/>
      <c r="H114" s="259" t="s">
        <v>137</v>
      </c>
      <c r="I114" s="262"/>
      <c r="J114" s="262" t="s">
        <v>78</v>
      </c>
      <c r="K114" s="262"/>
      <c r="L114" s="262"/>
      <c r="M114" s="318" t="s">
        <v>328</v>
      </c>
      <c r="N114" s="262" t="s">
        <v>47</v>
      </c>
      <c r="O114" t="s">
        <v>305</v>
      </c>
      <c r="P114" s="262" t="s">
        <v>45</v>
      </c>
      <c r="Q114" s="262" t="s">
        <v>423</v>
      </c>
      <c r="R114" s="262" t="s">
        <v>144</v>
      </c>
      <c r="S114" s="261"/>
      <c r="T114" s="591"/>
      <c r="U114" s="261"/>
      <c r="V114" s="261"/>
      <c r="W114" s="261"/>
      <c r="X114" s="547">
        <v>10</v>
      </c>
      <c r="Y114" s="547">
        <f>Tabla_query__2[[#This Row],[Número
Semanas]]*5*8</f>
        <v>400</v>
      </c>
      <c r="Z114" s="598">
        <v>13.75</v>
      </c>
      <c r="AA114" s="261">
        <v>2</v>
      </c>
      <c r="AB114" s="261">
        <v>550</v>
      </c>
      <c r="AC114" s="261"/>
      <c r="AD114" s="598">
        <f>Tabla_query__2[[#This Row],[Número
Semanas]]*Tabla_query__2[[#This Row],[Número
Personas]]*Tabla_query__2[[#This Row],[Costo
Mano Obra/semana]]</f>
        <v>11000</v>
      </c>
      <c r="AE114" s="261"/>
      <c r="AF114" s="267"/>
      <c r="AG114" s="267"/>
      <c r="AH114" s="467"/>
      <c r="AI114" s="468"/>
      <c r="AJ114" s="469" t="e">
        <f>#REF!</f>
        <v>#REF!</v>
      </c>
      <c r="AK114" s="467"/>
      <c r="AL114" s="468"/>
      <c r="AM114" s="469">
        <f t="shared" si="4"/>
        <v>0</v>
      </c>
      <c r="AN114" s="467"/>
      <c r="AO114" s="468"/>
      <c r="AP114" s="384"/>
      <c r="AQ114" s="384"/>
      <c r="AR114" s="511">
        <f>Tabla_query__2[[#This Row],[Número
Semanas]]/4</f>
        <v>2.5</v>
      </c>
      <c r="AS114" s="269">
        <f>Tabla_query__2[[#This Row],[FinDes2]]-Tabla_query__2[[#This Row],[InicioDes2]]</f>
        <v>0</v>
      </c>
      <c r="AT114" s="261"/>
      <c r="AX114" t="s">
        <v>341</v>
      </c>
    </row>
    <row r="115" spans="1:50" s="556" customFormat="1" ht="29.25" customHeight="1">
      <c r="A115" s="318">
        <v>2024</v>
      </c>
      <c r="B115" s="262" t="s">
        <v>131</v>
      </c>
      <c r="C115"/>
      <c r="D115" s="262" t="s">
        <v>421</v>
      </c>
      <c r="E115" s="266"/>
      <c r="F115" s="259"/>
      <c r="G115" s="259"/>
      <c r="H115" s="259" t="s">
        <v>137</v>
      </c>
      <c r="I115" s="262"/>
      <c r="J115" s="262" t="s">
        <v>78</v>
      </c>
      <c r="K115" s="262"/>
      <c r="L115" s="262"/>
      <c r="M115" s="318" t="s">
        <v>329</v>
      </c>
      <c r="N115" s="262" t="s">
        <v>47</v>
      </c>
      <c r="O115" t="s">
        <v>305</v>
      </c>
      <c r="P115" s="262" t="s">
        <v>45</v>
      </c>
      <c r="Q115" s="262" t="s">
        <v>423</v>
      </c>
      <c r="R115" s="262" t="s">
        <v>144</v>
      </c>
      <c r="S115" s="261"/>
      <c r="T115" s="591"/>
      <c r="U115" s="261"/>
      <c r="V115" s="261"/>
      <c r="W115" s="261"/>
      <c r="X115" s="547">
        <v>3</v>
      </c>
      <c r="Y115" s="547">
        <f>Tabla_query__2[[#This Row],[Número
Semanas]]*5*8</f>
        <v>120</v>
      </c>
      <c r="Z115" s="598">
        <v>13.75</v>
      </c>
      <c r="AA115" s="261">
        <v>2</v>
      </c>
      <c r="AB115" s="261">
        <f t="shared" ref="AB115:AB126" si="5">2200/4</f>
        <v>550</v>
      </c>
      <c r="AC115" s="261"/>
      <c r="AD115" s="598">
        <f>Tabla_query__2[[#This Row],[Número
Semanas]]*Tabla_query__2[[#This Row],[Número
Personas]]*Tabla_query__2[[#This Row],[Costo
Mano Obra/semana]]</f>
        <v>3300</v>
      </c>
      <c r="AE115" s="261"/>
      <c r="AF115" s="267"/>
      <c r="AG115" s="267"/>
      <c r="AH115" s="671"/>
      <c r="AI115" s="681"/>
      <c r="AJ115" s="469" t="e">
        <f>#REF!</f>
        <v>#REF!</v>
      </c>
      <c r="AK115" s="671"/>
      <c r="AL115" s="681"/>
      <c r="AM115" s="469">
        <f t="shared" si="4"/>
        <v>0</v>
      </c>
      <c r="AN115" s="671"/>
      <c r="AO115" s="681"/>
      <c r="AP115" s="384"/>
      <c r="AQ115" s="384"/>
      <c r="AR115" s="511">
        <f>Tabla_query__2[[#This Row],[Número
Semanas]]/4</f>
        <v>0.75</v>
      </c>
      <c r="AS115" s="269">
        <f>Tabla_query__2[[#This Row],[FinDes2]]-Tabla_query__2[[#This Row],[InicioDes2]]</f>
        <v>0</v>
      </c>
      <c r="AT115" s="261"/>
      <c r="AU115"/>
      <c r="AV115"/>
      <c r="AX115" t="s">
        <v>341</v>
      </c>
    </row>
    <row r="116" spans="1:50" s="293" customFormat="1" ht="20.25" customHeight="1">
      <c r="A116" s="318">
        <v>2024</v>
      </c>
      <c r="B116" s="262" t="s">
        <v>131</v>
      </c>
      <c r="C116"/>
      <c r="D116" s="262" t="s">
        <v>421</v>
      </c>
      <c r="E116" s="266"/>
      <c r="F116" s="259"/>
      <c r="G116" s="259"/>
      <c r="H116" s="259" t="s">
        <v>137</v>
      </c>
      <c r="I116" s="262"/>
      <c r="J116" s="262" t="s">
        <v>78</v>
      </c>
      <c r="K116" s="262"/>
      <c r="L116" s="262"/>
      <c r="M116" s="318" t="s">
        <v>330</v>
      </c>
      <c r="N116" s="262" t="s">
        <v>47</v>
      </c>
      <c r="O116" t="s">
        <v>305</v>
      </c>
      <c r="P116" s="262" t="s">
        <v>45</v>
      </c>
      <c r="Q116" s="262" t="s">
        <v>423</v>
      </c>
      <c r="R116" s="262" t="s">
        <v>144</v>
      </c>
      <c r="S116" s="261"/>
      <c r="T116" s="591"/>
      <c r="U116" s="261"/>
      <c r="V116" s="261"/>
      <c r="W116" s="261"/>
      <c r="X116" s="547">
        <v>3</v>
      </c>
      <c r="Y116" s="547">
        <f>Tabla_query__2[[#This Row],[Número
Semanas]]*5*8</f>
        <v>120</v>
      </c>
      <c r="Z116" s="598">
        <v>13.75</v>
      </c>
      <c r="AA116" s="261">
        <v>2</v>
      </c>
      <c r="AB116" s="261">
        <f t="shared" si="5"/>
        <v>550</v>
      </c>
      <c r="AC116" s="261"/>
      <c r="AD116" s="598">
        <f>Tabla_query__2[[#This Row],[Número
Semanas]]*Tabla_query__2[[#This Row],[Número
Personas]]*Tabla_query__2[[#This Row],[Costo
Mano Obra/semana]]</f>
        <v>3300</v>
      </c>
      <c r="AE116" s="261"/>
      <c r="AF116" s="267"/>
      <c r="AG116" s="267"/>
      <c r="AH116" s="467"/>
      <c r="AI116" s="468"/>
      <c r="AJ116" s="469" t="e">
        <f>#REF!</f>
        <v>#REF!</v>
      </c>
      <c r="AK116" s="467"/>
      <c r="AL116" s="468"/>
      <c r="AM116" s="469">
        <f t="shared" si="4"/>
        <v>0</v>
      </c>
      <c r="AN116" s="467"/>
      <c r="AO116" s="468"/>
      <c r="AP116" s="384"/>
      <c r="AQ116" s="384"/>
      <c r="AR116" s="511">
        <f>Tabla_query__2[[#This Row],[Número
Semanas]]/4</f>
        <v>0.75</v>
      </c>
      <c r="AS116" s="269">
        <f>Tabla_query__2[[#This Row],[FinDes2]]-Tabla_query__2[[#This Row],[InicioDes2]]</f>
        <v>0</v>
      </c>
      <c r="AT116" s="261"/>
      <c r="AU116"/>
      <c r="AV116"/>
      <c r="AX116" t="s">
        <v>341</v>
      </c>
    </row>
    <row r="117" spans="1:50" ht="31.5" customHeight="1">
      <c r="A117" s="318">
        <v>2024</v>
      </c>
      <c r="B117" s="262" t="s">
        <v>131</v>
      </c>
      <c r="D117" s="262" t="s">
        <v>421</v>
      </c>
      <c r="E117" s="266"/>
      <c r="F117" s="259"/>
      <c r="G117" s="259"/>
      <c r="H117" s="259" t="s">
        <v>137</v>
      </c>
      <c r="I117" s="262"/>
      <c r="J117" s="262" t="s">
        <v>78</v>
      </c>
      <c r="K117" s="262"/>
      <c r="L117" s="262"/>
      <c r="M117" s="318" t="s">
        <v>140</v>
      </c>
      <c r="N117" s="262" t="s">
        <v>47</v>
      </c>
      <c r="O117" t="s">
        <v>305</v>
      </c>
      <c r="P117" s="262" t="s">
        <v>45</v>
      </c>
      <c r="Q117" s="262" t="s">
        <v>423</v>
      </c>
      <c r="R117" s="262" t="s">
        <v>144</v>
      </c>
      <c r="S117" s="261"/>
      <c r="T117" s="591"/>
      <c r="U117" s="261"/>
      <c r="V117" s="261"/>
      <c r="W117" s="261"/>
      <c r="X117" s="547">
        <v>3</v>
      </c>
      <c r="Y117" s="547">
        <f>Tabla_query__2[[#This Row],[Número
Semanas]]*5*8</f>
        <v>120</v>
      </c>
      <c r="Z117" s="598">
        <v>13.75</v>
      </c>
      <c r="AA117" s="261">
        <v>2</v>
      </c>
      <c r="AB117" s="261">
        <f t="shared" si="5"/>
        <v>550</v>
      </c>
      <c r="AC117" s="261"/>
      <c r="AD117" s="598">
        <f>Tabla_query__2[[#This Row],[Número
Semanas]]*Tabla_query__2[[#This Row],[Número
Personas]]*Tabla_query__2[[#This Row],[Costo
Mano Obra/semana]]</f>
        <v>3300</v>
      </c>
      <c r="AE117" s="261"/>
      <c r="AF117" s="267"/>
      <c r="AG117" s="267"/>
      <c r="AH117" s="467"/>
      <c r="AI117" s="468"/>
      <c r="AJ117" s="469" t="e">
        <v>#REF!</v>
      </c>
      <c r="AK117" s="467"/>
      <c r="AL117" s="468"/>
      <c r="AM117" s="469">
        <v>0</v>
      </c>
      <c r="AN117" s="467"/>
      <c r="AO117" s="468"/>
      <c r="AP117" s="384"/>
      <c r="AQ117" s="384"/>
      <c r="AR117" s="511">
        <v>0</v>
      </c>
      <c r="AS117"/>
      <c r="AT117" s="261"/>
      <c r="AX117" t="s">
        <v>341</v>
      </c>
    </row>
    <row r="118" spans="1:50" ht="19.5" customHeight="1">
      <c r="A118" s="318">
        <v>2024</v>
      </c>
      <c r="B118" s="262" t="s">
        <v>131</v>
      </c>
      <c r="C118" s="262"/>
      <c r="D118" s="266" t="s">
        <v>424</v>
      </c>
      <c r="E118" s="262"/>
      <c r="F118" s="259"/>
      <c r="G118" s="259"/>
      <c r="H118" s="259" t="s">
        <v>204</v>
      </c>
      <c r="I118" s="262"/>
      <c r="J118" s="262" t="s">
        <v>78</v>
      </c>
      <c r="K118" s="262"/>
      <c r="L118" s="262"/>
      <c r="M118" s="318" t="s">
        <v>206</v>
      </c>
      <c r="N118" s="262" t="s">
        <v>47</v>
      </c>
      <c r="O118" t="s">
        <v>305</v>
      </c>
      <c r="P118" s="262" t="s">
        <v>45</v>
      </c>
      <c r="Q118" s="262" t="s">
        <v>423</v>
      </c>
      <c r="R118" s="262" t="s">
        <v>144</v>
      </c>
      <c r="S118" s="261"/>
      <c r="T118" s="591"/>
      <c r="U118" s="261"/>
      <c r="V118" s="261"/>
      <c r="W118" s="261"/>
      <c r="X118" s="547">
        <v>10</v>
      </c>
      <c r="Y118" s="547">
        <f>Tabla_query__2[[#This Row],[Número
Semanas]]*5*8</f>
        <v>400</v>
      </c>
      <c r="Z118" s="598">
        <v>13.75</v>
      </c>
      <c r="AA118" s="261">
        <v>2</v>
      </c>
      <c r="AB118" s="261">
        <f t="shared" si="5"/>
        <v>550</v>
      </c>
      <c r="AC118" s="261"/>
      <c r="AD118" s="598">
        <f>Tabla_query__2[[#This Row],[Número
Semanas]]*Tabla_query__2[[#This Row],[Número
Personas]]*Tabla_query__2[[#This Row],[Costo
Mano Obra/semana]]</f>
        <v>11000</v>
      </c>
      <c r="AE118" s="261"/>
      <c r="AF118" s="267"/>
      <c r="AG118" s="466" t="s">
        <v>191</v>
      </c>
      <c r="AH118" s="666"/>
      <c r="AI118" s="677"/>
      <c r="AJ118" s="469" t="e">
        <f>#REF!</f>
        <v>#REF!</v>
      </c>
      <c r="AK118" s="671"/>
      <c r="AL118" s="681"/>
      <c r="AM118" s="469">
        <f t="shared" ref="AM118:AM129" si="6">AL118+ ((AK118*7))</f>
        <v>0</v>
      </c>
      <c r="AN118" s="671"/>
      <c r="AO118" s="681"/>
      <c r="AP118" s="384"/>
      <c r="AQ118" s="384"/>
      <c r="AR118" s="511">
        <f>Tabla_query__2[[#This Row],[Número
Semanas]]/4</f>
        <v>2.5</v>
      </c>
      <c r="AS118" s="269">
        <f>Tabla_query__2[[#This Row],[FinDes2]]-Tabla_query__2[[#This Row],[InicioDes2]]</f>
        <v>0</v>
      </c>
      <c r="AT118" s="261"/>
      <c r="AX118" t="s">
        <v>341</v>
      </c>
    </row>
    <row r="119" spans="1:50" ht="20.25" customHeight="1">
      <c r="A119" s="318">
        <v>2024</v>
      </c>
      <c r="B119" s="262" t="s">
        <v>131</v>
      </c>
      <c r="C119" s="262"/>
      <c r="D119" s="271" t="s">
        <v>425</v>
      </c>
      <c r="E119" s="262"/>
      <c r="F119" s="259" t="s">
        <v>426</v>
      </c>
      <c r="G119" s="259"/>
      <c r="H119" s="259" t="s">
        <v>204</v>
      </c>
      <c r="I119" s="262"/>
      <c r="J119" s="262" t="s">
        <v>78</v>
      </c>
      <c r="K119" s="262"/>
      <c r="L119" s="262"/>
      <c r="M119" s="318" t="s">
        <v>206</v>
      </c>
      <c r="N119" s="262" t="s">
        <v>47</v>
      </c>
      <c r="O119" t="s">
        <v>305</v>
      </c>
      <c r="P119" s="262" t="s">
        <v>45</v>
      </c>
      <c r="Q119" s="262" t="s">
        <v>423</v>
      </c>
      <c r="R119" s="262" t="s">
        <v>179</v>
      </c>
      <c r="S119" s="261"/>
      <c r="T119" s="591" t="s">
        <v>145</v>
      </c>
      <c r="U119" s="261"/>
      <c r="V119" s="261"/>
      <c r="W119" s="261"/>
      <c r="X119" s="547">
        <v>5</v>
      </c>
      <c r="Y119" s="547">
        <f>Tabla_query__2[[#This Row],[Número
Semanas]]*5*8</f>
        <v>200</v>
      </c>
      <c r="Z119" s="598">
        <v>13.75</v>
      </c>
      <c r="AA119" s="261">
        <v>2</v>
      </c>
      <c r="AB119" s="261">
        <f t="shared" si="5"/>
        <v>550</v>
      </c>
      <c r="AC119" s="261"/>
      <c r="AD119" s="598">
        <f>Tabla_query__2[[#This Row],[Número
Semanas]]*Tabla_query__2[[#This Row],[Número
Personas]]*Tabla_query__2[[#This Row],[Costo
Mano Obra/semana]]</f>
        <v>5500</v>
      </c>
      <c r="AE119" s="261"/>
      <c r="AF119" s="267"/>
      <c r="AG119" s="466" t="s">
        <v>191</v>
      </c>
      <c r="AH119" s="417">
        <v>45421</v>
      </c>
      <c r="AI119" s="681"/>
      <c r="AJ119" s="469" t="e">
        <f>#REF!</f>
        <v>#REF!</v>
      </c>
      <c r="AK119" s="671"/>
      <c r="AL119" s="681"/>
      <c r="AM119" s="469">
        <f t="shared" si="6"/>
        <v>0</v>
      </c>
      <c r="AN119" s="671"/>
      <c r="AO119" s="681"/>
      <c r="AP119" s="384"/>
      <c r="AQ119" s="384"/>
      <c r="AR119" s="511">
        <f>Tabla_query__2[[#This Row],[Número
Semanas]]/4</f>
        <v>1.25</v>
      </c>
      <c r="AS119" s="269">
        <f>Tabla_query__2[[#This Row],[FinDes2]]-Tabla_query__2[[#This Row],[InicioDes2]]</f>
        <v>0</v>
      </c>
      <c r="AT119" s="261"/>
      <c r="AX119" t="s">
        <v>341</v>
      </c>
    </row>
    <row r="120" spans="1:50" ht="28.5" customHeight="1">
      <c r="A120" s="318">
        <v>2024</v>
      </c>
      <c r="B120" s="262" t="s">
        <v>131</v>
      </c>
      <c r="C120" s="262"/>
      <c r="D120" s="262" t="s">
        <v>427</v>
      </c>
      <c r="E120" s="262" t="s">
        <v>428</v>
      </c>
      <c r="F120" s="259"/>
      <c r="G120" s="259"/>
      <c r="H120" s="259" t="s">
        <v>204</v>
      </c>
      <c r="I120" s="262"/>
      <c r="J120" s="262" t="s">
        <v>78</v>
      </c>
      <c r="K120" s="262"/>
      <c r="L120" s="262"/>
      <c r="M120" s="318" t="s">
        <v>206</v>
      </c>
      <c r="N120" s="262" t="s">
        <v>47</v>
      </c>
      <c r="O120" t="s">
        <v>305</v>
      </c>
      <c r="P120" s="262" t="s">
        <v>45</v>
      </c>
      <c r="Q120" s="262" t="s">
        <v>423</v>
      </c>
      <c r="R120" s="262" t="s">
        <v>144</v>
      </c>
      <c r="S120" s="261"/>
      <c r="T120" s="591"/>
      <c r="U120" s="261"/>
      <c r="V120" s="261"/>
      <c r="W120" s="261"/>
      <c r="X120" s="547">
        <v>5</v>
      </c>
      <c r="Y120" s="547">
        <f>Tabla_query__2[[#This Row],[Número
Semanas]]*5*8</f>
        <v>200</v>
      </c>
      <c r="Z120" s="598">
        <v>13.75</v>
      </c>
      <c r="AA120" s="261">
        <v>2</v>
      </c>
      <c r="AB120" s="261">
        <f t="shared" si="5"/>
        <v>550</v>
      </c>
      <c r="AC120" s="261"/>
      <c r="AD120" s="598">
        <f>Tabla_query__2[[#This Row],[Número
Semanas]]*Tabla_query__2[[#This Row],[Número
Personas]]*Tabla_query__2[[#This Row],[Costo
Mano Obra/semana]]</f>
        <v>5500</v>
      </c>
      <c r="AE120" s="261"/>
      <c r="AF120" s="267"/>
      <c r="AG120" s="267"/>
      <c r="AH120" s="467"/>
      <c r="AI120" s="468"/>
      <c r="AJ120" s="469" t="e">
        <f>#REF!</f>
        <v>#REF!</v>
      </c>
      <c r="AK120" s="467"/>
      <c r="AL120" s="468"/>
      <c r="AM120" s="469">
        <f t="shared" si="6"/>
        <v>0</v>
      </c>
      <c r="AN120" s="467"/>
      <c r="AO120" s="468"/>
      <c r="AP120" s="384"/>
      <c r="AQ120" s="384"/>
      <c r="AR120" s="511">
        <f>Tabla_query__2[[#This Row],[Número
Semanas]]/4</f>
        <v>1.25</v>
      </c>
      <c r="AS120" s="269">
        <f>Tabla_query__2[[#This Row],[FinDes2]]-Tabla_query__2[[#This Row],[InicioDes2]]</f>
        <v>0</v>
      </c>
      <c r="AT120" s="261"/>
      <c r="AX120" t="s">
        <v>341</v>
      </c>
    </row>
    <row r="121" spans="1:50" ht="20.25" customHeight="1">
      <c r="A121" s="318">
        <v>2024</v>
      </c>
      <c r="B121" s="262" t="s">
        <v>131</v>
      </c>
      <c r="C121" s="262"/>
      <c r="D121" s="277" t="s">
        <v>429</v>
      </c>
      <c r="E121" s="262"/>
      <c r="F121" s="259"/>
      <c r="G121" s="259"/>
      <c r="H121" s="259" t="s">
        <v>204</v>
      </c>
      <c r="I121" s="262"/>
      <c r="J121" s="262" t="s">
        <v>78</v>
      </c>
      <c r="K121" s="262"/>
      <c r="L121" s="262"/>
      <c r="M121" s="318" t="s">
        <v>329</v>
      </c>
      <c r="N121" s="262" t="s">
        <v>47</v>
      </c>
      <c r="O121" t="s">
        <v>305</v>
      </c>
      <c r="P121" s="262" t="s">
        <v>45</v>
      </c>
      <c r="Q121" s="262" t="s">
        <v>423</v>
      </c>
      <c r="R121" s="262" t="s">
        <v>144</v>
      </c>
      <c r="S121" s="261"/>
      <c r="T121" s="591"/>
      <c r="U121" s="261"/>
      <c r="V121" s="261"/>
      <c r="W121" s="261"/>
      <c r="X121" s="547">
        <v>3</v>
      </c>
      <c r="Y121" s="547">
        <f>Tabla_query__2[[#This Row],[Número
Semanas]]*5*8</f>
        <v>120</v>
      </c>
      <c r="Z121" s="598">
        <v>13.75</v>
      </c>
      <c r="AA121" s="261">
        <v>2</v>
      </c>
      <c r="AB121" s="261">
        <f t="shared" si="5"/>
        <v>550</v>
      </c>
      <c r="AC121" s="261"/>
      <c r="AD121" s="598">
        <f>Tabla_query__2[[#This Row],[Número
Semanas]]*Tabla_query__2[[#This Row],[Número
Personas]]*Tabla_query__2[[#This Row],[Costo
Mano Obra/semana]]</f>
        <v>3300</v>
      </c>
      <c r="AE121" s="261"/>
      <c r="AF121" s="267"/>
      <c r="AG121" s="267"/>
      <c r="AH121" s="467"/>
      <c r="AI121" s="468"/>
      <c r="AJ121" s="469" t="e">
        <f>#REF!</f>
        <v>#REF!</v>
      </c>
      <c r="AK121" s="467"/>
      <c r="AL121" s="468"/>
      <c r="AM121" s="469">
        <f t="shared" si="6"/>
        <v>0</v>
      </c>
      <c r="AN121" s="467"/>
      <c r="AO121" s="468"/>
      <c r="AP121" s="384"/>
      <c r="AQ121" s="384"/>
      <c r="AR121" s="511">
        <f>Tabla_query__2[[#This Row],[Número
Semanas]]/4</f>
        <v>0.75</v>
      </c>
      <c r="AS121" s="269">
        <f>Tabla_query__2[[#This Row],[FinDes2]]-Tabla_query__2[[#This Row],[InicioDes2]]</f>
        <v>0</v>
      </c>
      <c r="AT121" s="261"/>
      <c r="AX121" t="s">
        <v>341</v>
      </c>
    </row>
    <row r="122" spans="1:50" ht="20.25" customHeight="1">
      <c r="A122" s="318">
        <v>2024</v>
      </c>
      <c r="B122" s="262" t="s">
        <v>131</v>
      </c>
      <c r="C122" s="262"/>
      <c r="D122" s="262" t="s">
        <v>430</v>
      </c>
      <c r="E122" s="266"/>
      <c r="F122" s="259"/>
      <c r="G122" s="259"/>
      <c r="H122" s="259" t="s">
        <v>137</v>
      </c>
      <c r="I122" s="262"/>
      <c r="J122" s="262" t="s">
        <v>78</v>
      </c>
      <c r="K122" s="262"/>
      <c r="L122" s="262"/>
      <c r="M122" s="318" t="s">
        <v>206</v>
      </c>
      <c r="N122" s="262" t="s">
        <v>47</v>
      </c>
      <c r="O122" t="s">
        <v>305</v>
      </c>
      <c r="P122" s="262" t="s">
        <v>45</v>
      </c>
      <c r="Q122" s="262" t="s">
        <v>423</v>
      </c>
      <c r="R122" s="262" t="s">
        <v>144</v>
      </c>
      <c r="S122" s="261"/>
      <c r="T122" s="591"/>
      <c r="U122" s="261"/>
      <c r="V122" s="261"/>
      <c r="W122" s="261"/>
      <c r="X122" s="547">
        <v>4</v>
      </c>
      <c r="Y122" s="547">
        <f>Tabla_query__2[[#This Row],[Número
Semanas]]*5*8</f>
        <v>160</v>
      </c>
      <c r="Z122" s="598">
        <v>13.75</v>
      </c>
      <c r="AA122" s="261">
        <v>2</v>
      </c>
      <c r="AB122" s="261">
        <f t="shared" si="5"/>
        <v>550</v>
      </c>
      <c r="AC122" s="261"/>
      <c r="AD122" s="598">
        <f>Tabla_query__2[[#This Row],[Número
Semanas]]*Tabla_query__2[[#This Row],[Número
Personas]]*Tabla_query__2[[#This Row],[Costo
Mano Obra/semana]]</f>
        <v>4400</v>
      </c>
      <c r="AE122" s="261"/>
      <c r="AF122" s="267"/>
      <c r="AG122" s="267"/>
      <c r="AH122" s="467"/>
      <c r="AI122" s="468"/>
      <c r="AJ122" s="469" t="e">
        <f>#REF!</f>
        <v>#REF!</v>
      </c>
      <c r="AK122" s="467"/>
      <c r="AL122" s="468"/>
      <c r="AM122" s="469">
        <f t="shared" si="6"/>
        <v>0</v>
      </c>
      <c r="AN122" s="467"/>
      <c r="AO122" s="468"/>
      <c r="AP122" s="384"/>
      <c r="AQ122" s="384"/>
      <c r="AR122" s="511">
        <f>Tabla_query__2[[#This Row],[Número
Semanas]]/4</f>
        <v>1</v>
      </c>
      <c r="AS122" s="269">
        <f>Tabla_query__2[[#This Row],[FinDes2]]-Tabla_query__2[[#This Row],[InicioDes2]]</f>
        <v>0</v>
      </c>
      <c r="AT122" s="261"/>
      <c r="AX122" t="s">
        <v>341</v>
      </c>
    </row>
    <row r="123" spans="1:50" ht="20.25" customHeight="1">
      <c r="A123" s="318">
        <v>2024</v>
      </c>
      <c r="B123" s="262" t="s">
        <v>131</v>
      </c>
      <c r="C123" s="262"/>
      <c r="D123" s="262" t="s">
        <v>430</v>
      </c>
      <c r="E123" s="266"/>
      <c r="F123" s="259"/>
      <c r="G123" s="259"/>
      <c r="H123" s="259" t="s">
        <v>137</v>
      </c>
      <c r="I123" s="262"/>
      <c r="J123" s="262" t="s">
        <v>78</v>
      </c>
      <c r="K123" s="262"/>
      <c r="L123" s="262"/>
      <c r="M123" s="318" t="s">
        <v>328</v>
      </c>
      <c r="N123" s="262" t="s">
        <v>47</v>
      </c>
      <c r="O123" t="s">
        <v>305</v>
      </c>
      <c r="P123" s="262" t="s">
        <v>45</v>
      </c>
      <c r="Q123" s="262" t="s">
        <v>423</v>
      </c>
      <c r="R123" s="262" t="s">
        <v>144</v>
      </c>
      <c r="S123" s="261"/>
      <c r="T123" s="591"/>
      <c r="U123" s="261"/>
      <c r="V123" s="261"/>
      <c r="W123" s="261"/>
      <c r="X123" s="547">
        <v>3</v>
      </c>
      <c r="Y123" s="547">
        <f>Tabla_query__2[[#This Row],[Número
Semanas]]*5*8</f>
        <v>120</v>
      </c>
      <c r="Z123" s="598">
        <v>13.75</v>
      </c>
      <c r="AA123" s="261">
        <v>2</v>
      </c>
      <c r="AB123" s="261">
        <f t="shared" si="5"/>
        <v>550</v>
      </c>
      <c r="AC123" s="261"/>
      <c r="AD123" s="598">
        <f>Tabla_query__2[[#This Row],[Número
Semanas]]*Tabla_query__2[[#This Row],[Número
Personas]]*Tabla_query__2[[#This Row],[Costo
Mano Obra/semana]]</f>
        <v>3300</v>
      </c>
      <c r="AE123" s="261"/>
      <c r="AF123" s="267"/>
      <c r="AG123" s="267"/>
      <c r="AH123" s="467"/>
      <c r="AI123" s="468"/>
      <c r="AJ123" s="469" t="e">
        <f>#REF!</f>
        <v>#REF!</v>
      </c>
      <c r="AK123" s="467"/>
      <c r="AL123" s="468"/>
      <c r="AM123" s="469">
        <f t="shared" si="6"/>
        <v>0</v>
      </c>
      <c r="AN123" s="467"/>
      <c r="AO123" s="468"/>
      <c r="AP123" s="384"/>
      <c r="AQ123" s="384"/>
      <c r="AR123" s="511">
        <f>Tabla_query__2[[#This Row],[Número
Semanas]]/4</f>
        <v>0.75</v>
      </c>
      <c r="AS123" s="269">
        <f>Tabla_query__2[[#This Row],[FinDes2]]-Tabla_query__2[[#This Row],[InicioDes2]]</f>
        <v>0</v>
      </c>
      <c r="AT123" s="261"/>
      <c r="AX123" t="s">
        <v>341</v>
      </c>
    </row>
    <row r="124" spans="1:50" ht="20.25" customHeight="1">
      <c r="A124" s="318">
        <v>2024</v>
      </c>
      <c r="B124" s="262" t="s">
        <v>131</v>
      </c>
      <c r="C124" s="262"/>
      <c r="D124" s="262" t="s">
        <v>430</v>
      </c>
      <c r="E124" s="266"/>
      <c r="F124" s="259"/>
      <c r="G124" s="259"/>
      <c r="H124" s="259" t="s">
        <v>137</v>
      </c>
      <c r="I124" s="262"/>
      <c r="J124" s="262" t="s">
        <v>78</v>
      </c>
      <c r="K124" s="262"/>
      <c r="L124" s="262"/>
      <c r="M124" s="318" t="s">
        <v>329</v>
      </c>
      <c r="N124" s="262" t="s">
        <v>47</v>
      </c>
      <c r="O124" t="s">
        <v>305</v>
      </c>
      <c r="P124" s="262" t="s">
        <v>45</v>
      </c>
      <c r="Q124" s="262" t="s">
        <v>423</v>
      </c>
      <c r="R124" s="262" t="s">
        <v>144</v>
      </c>
      <c r="S124" s="261"/>
      <c r="T124" s="591"/>
      <c r="U124" s="261"/>
      <c r="V124" s="261"/>
      <c r="W124" s="261"/>
      <c r="X124" s="547">
        <v>3</v>
      </c>
      <c r="Y124" s="547">
        <f>Tabla_query__2[[#This Row],[Número
Semanas]]*5*8</f>
        <v>120</v>
      </c>
      <c r="Z124" s="598">
        <v>13.75</v>
      </c>
      <c r="AA124" s="261">
        <v>2</v>
      </c>
      <c r="AB124" s="261">
        <f t="shared" si="5"/>
        <v>550</v>
      </c>
      <c r="AC124" s="261"/>
      <c r="AD124" s="598">
        <f>Tabla_query__2[[#This Row],[Número
Semanas]]*Tabla_query__2[[#This Row],[Número
Personas]]*Tabla_query__2[[#This Row],[Costo
Mano Obra/semana]]</f>
        <v>3300</v>
      </c>
      <c r="AE124" s="261"/>
      <c r="AF124" s="267"/>
      <c r="AG124" s="267"/>
      <c r="AH124" s="467"/>
      <c r="AI124" s="468"/>
      <c r="AJ124" s="469" t="e">
        <f>#REF!</f>
        <v>#REF!</v>
      </c>
      <c r="AK124" s="467"/>
      <c r="AL124" s="468"/>
      <c r="AM124" s="469">
        <f t="shared" si="6"/>
        <v>0</v>
      </c>
      <c r="AN124" s="467"/>
      <c r="AO124" s="468"/>
      <c r="AP124" s="384"/>
      <c r="AQ124" s="384"/>
      <c r="AR124" s="511">
        <f>Tabla_query__2[[#This Row],[Número
Semanas]]/4</f>
        <v>0.75</v>
      </c>
      <c r="AS124" s="269">
        <f>Tabla_query__2[[#This Row],[FinDes2]]-Tabla_query__2[[#This Row],[InicioDes2]]</f>
        <v>0</v>
      </c>
      <c r="AT124" s="261"/>
      <c r="AX124" t="s">
        <v>341</v>
      </c>
    </row>
    <row r="125" spans="1:50" ht="19.5" customHeight="1">
      <c r="A125" s="318">
        <v>2024</v>
      </c>
      <c r="B125" s="262" t="s">
        <v>131</v>
      </c>
      <c r="C125" s="262"/>
      <c r="D125" s="262" t="s">
        <v>430</v>
      </c>
      <c r="E125" s="266"/>
      <c r="F125" s="259"/>
      <c r="G125" s="259"/>
      <c r="H125" s="259" t="s">
        <v>137</v>
      </c>
      <c r="I125" s="262"/>
      <c r="J125" s="262" t="s">
        <v>78</v>
      </c>
      <c r="K125" s="262"/>
      <c r="L125" s="262"/>
      <c r="M125" s="318" t="s">
        <v>330</v>
      </c>
      <c r="N125" s="262" t="s">
        <v>47</v>
      </c>
      <c r="O125" t="s">
        <v>305</v>
      </c>
      <c r="P125" s="262" t="s">
        <v>45</v>
      </c>
      <c r="Q125" s="262" t="s">
        <v>423</v>
      </c>
      <c r="R125" s="262" t="s">
        <v>144</v>
      </c>
      <c r="S125" s="261"/>
      <c r="T125" s="591"/>
      <c r="U125" s="261"/>
      <c r="V125" s="261"/>
      <c r="W125" s="261"/>
      <c r="X125" s="547">
        <v>3</v>
      </c>
      <c r="Y125" s="547">
        <f>Tabla_query__2[[#This Row],[Número
Semanas]]*5*8</f>
        <v>120</v>
      </c>
      <c r="Z125" s="598">
        <v>13.75</v>
      </c>
      <c r="AA125" s="261">
        <v>2</v>
      </c>
      <c r="AB125" s="261">
        <f t="shared" si="5"/>
        <v>550</v>
      </c>
      <c r="AC125" s="261"/>
      <c r="AD125" s="598">
        <f>Tabla_query__2[[#This Row],[Número
Semanas]]*Tabla_query__2[[#This Row],[Número
Personas]]*Tabla_query__2[[#This Row],[Costo
Mano Obra/semana]]</f>
        <v>3300</v>
      </c>
      <c r="AE125" s="261"/>
      <c r="AF125" s="267"/>
      <c r="AG125" s="267"/>
      <c r="AH125" s="467"/>
      <c r="AI125" s="468"/>
      <c r="AJ125" s="469" t="e">
        <f>#REF!</f>
        <v>#REF!</v>
      </c>
      <c r="AK125" s="467"/>
      <c r="AL125" s="468"/>
      <c r="AM125" s="469">
        <f t="shared" si="6"/>
        <v>0</v>
      </c>
      <c r="AN125" s="467"/>
      <c r="AO125" s="468"/>
      <c r="AP125" s="384"/>
      <c r="AQ125" s="384"/>
      <c r="AR125" s="511">
        <f>Tabla_query__2[[#This Row],[Número
Semanas]]/4</f>
        <v>0.75</v>
      </c>
      <c r="AS125" s="269">
        <f>Tabla_query__2[[#This Row],[FinDes2]]-Tabla_query__2[[#This Row],[InicioDes2]]</f>
        <v>0</v>
      </c>
      <c r="AT125" s="261"/>
      <c r="AX125" t="s">
        <v>341</v>
      </c>
    </row>
    <row r="126" spans="1:50" ht="50.25" customHeight="1">
      <c r="A126" s="318">
        <v>2024</v>
      </c>
      <c r="B126" s="262" t="s">
        <v>131</v>
      </c>
      <c r="C126" s="262"/>
      <c r="D126" s="647" t="s">
        <v>430</v>
      </c>
      <c r="E126" s="266"/>
      <c r="F126" s="259"/>
      <c r="G126" s="259"/>
      <c r="H126" s="259" t="s">
        <v>137</v>
      </c>
      <c r="I126" s="262"/>
      <c r="J126" s="262" t="s">
        <v>78</v>
      </c>
      <c r="K126" s="262"/>
      <c r="L126" s="262"/>
      <c r="M126" s="318" t="s">
        <v>140</v>
      </c>
      <c r="N126" s="262" t="s">
        <v>47</v>
      </c>
      <c r="O126" t="s">
        <v>305</v>
      </c>
      <c r="P126" s="262" t="s">
        <v>45</v>
      </c>
      <c r="Q126" s="262" t="s">
        <v>423</v>
      </c>
      <c r="R126" s="262" t="s">
        <v>144</v>
      </c>
      <c r="S126" s="261"/>
      <c r="T126" s="261"/>
      <c r="U126" s="261"/>
      <c r="V126" s="261"/>
      <c r="W126" s="261"/>
      <c r="X126" s="547">
        <v>3</v>
      </c>
      <c r="Y126" s="547">
        <f>Tabla_query__2[[#This Row],[Número
Semanas]]*5*8</f>
        <v>120</v>
      </c>
      <c r="Z126" s="598">
        <v>13.75</v>
      </c>
      <c r="AA126" s="261">
        <v>2</v>
      </c>
      <c r="AB126" s="261">
        <f t="shared" si="5"/>
        <v>550</v>
      </c>
      <c r="AC126" s="261"/>
      <c r="AD126" s="598">
        <f>Tabla_query__2[[#This Row],[Número
Semanas]]*Tabla_query__2[[#This Row],[Número
Personas]]*Tabla_query__2[[#This Row],[Costo
Mano Obra/semana]]</f>
        <v>3300</v>
      </c>
      <c r="AE126" s="261"/>
      <c r="AF126" s="267"/>
      <c r="AG126" s="267"/>
      <c r="AH126" s="671"/>
      <c r="AI126" s="681"/>
      <c r="AJ126" s="469" t="e">
        <f>#REF!</f>
        <v>#REF!</v>
      </c>
      <c r="AK126" s="671"/>
      <c r="AL126" s="681"/>
      <c r="AM126" s="469">
        <f t="shared" si="6"/>
        <v>0</v>
      </c>
      <c r="AN126" s="671"/>
      <c r="AO126" s="681"/>
      <c r="AP126" s="384"/>
      <c r="AQ126" s="384"/>
      <c r="AR126" s="511">
        <f>Tabla_query__2[[#This Row],[Número
Semanas]]/4</f>
        <v>0.75</v>
      </c>
      <c r="AS126" s="269">
        <f>Tabla_query__2[[#This Row],[FinDes2]]-Tabla_query__2[[#This Row],[InicioDes2]]</f>
        <v>0</v>
      </c>
      <c r="AT126" s="261"/>
      <c r="AX126" t="s">
        <v>341</v>
      </c>
    </row>
    <row r="127" spans="1:50" ht="64.5" customHeight="1">
      <c r="A127" s="318" t="s">
        <v>130</v>
      </c>
      <c r="B127" s="262" t="s">
        <v>131</v>
      </c>
      <c r="C127" s="262" t="s">
        <v>175</v>
      </c>
      <c r="D127" s="262" t="s">
        <v>431</v>
      </c>
      <c r="E127" s="262" t="s">
        <v>164</v>
      </c>
      <c r="F127" s="259" t="s">
        <v>432</v>
      </c>
      <c r="G127" s="259" t="s">
        <v>146</v>
      </c>
      <c r="H127" s="259" t="s">
        <v>204</v>
      </c>
      <c r="I127" s="262" t="s">
        <v>266</v>
      </c>
      <c r="J127" s="262" t="s">
        <v>139</v>
      </c>
      <c r="K127" s="262"/>
      <c r="L127" s="262"/>
      <c r="M127" s="266" t="s">
        <v>329</v>
      </c>
      <c r="N127" s="262" t="s">
        <v>433</v>
      </c>
      <c r="O127" s="582" t="s">
        <v>434</v>
      </c>
      <c r="P127" s="262" t="s">
        <v>178</v>
      </c>
      <c r="Q127" s="262" t="s">
        <v>143</v>
      </c>
      <c r="R127" s="262" t="s">
        <v>144</v>
      </c>
      <c r="S127" s="261"/>
      <c r="T127" s="584" t="s">
        <v>145</v>
      </c>
      <c r="U127" s="261" t="s">
        <v>435</v>
      </c>
      <c r="V127" s="261" t="s">
        <v>136</v>
      </c>
      <c r="W127" s="261"/>
      <c r="X127" s="261">
        <v>10</v>
      </c>
      <c r="Y127" s="261">
        <f>Tabla_query__2[[#This Row],[Número
Semanas]]*5*8</f>
        <v>400</v>
      </c>
      <c r="Z127" s="268">
        <f>Tabla_query__2[[#This Row],[TOTAL]]/Tabla_query__2[[#This Row],[Número de Horas]]/2</f>
        <v>14.55</v>
      </c>
      <c r="AA127" s="261">
        <v>2</v>
      </c>
      <c r="AB127" s="261">
        <v>550</v>
      </c>
      <c r="AC127" s="261"/>
      <c r="AD127" s="268">
        <f>Tabla_query__2[[#This Row],[Número
Semanas]]*Tabla_query__2[[#This Row],[Número
Personas]]*Tabla_query__2[[#This Row],[Costo
Mano Obra/semana]] + 640</f>
        <v>11640</v>
      </c>
      <c r="AE127" s="261"/>
      <c r="AF127" s="261"/>
      <c r="AG127" s="291" t="s">
        <v>154</v>
      </c>
      <c r="AH127" s="458">
        <v>45383</v>
      </c>
      <c r="AI127" s="458">
        <v>45411</v>
      </c>
      <c r="AJ127" s="281">
        <f>Tabla_query__2[[#This Row],[FinDes]]-Tabla_query__2[[#This Row],[InicioDes]]</f>
        <v>28</v>
      </c>
      <c r="AK127" s="458">
        <v>45411</v>
      </c>
      <c r="AL127" s="458">
        <v>45425</v>
      </c>
      <c r="AM127" s="281">
        <f t="shared" si="6"/>
        <v>363302</v>
      </c>
      <c r="AN127" s="458">
        <v>45425</v>
      </c>
      <c r="AO127" s="458">
        <v>45453</v>
      </c>
      <c r="AP127" s="281">
        <v>45413</v>
      </c>
      <c r="AQ127" s="281">
        <f>Tabla_query__2[[#This Row],[Inicio Real]]+(Tabla_query__2[[#This Row],[Número
Semanas]]*7)</f>
        <v>45483</v>
      </c>
      <c r="AR127" s="462">
        <f>Tabla_query__2[[#This Row],[Número
Semanas]]/4</f>
        <v>2.5</v>
      </c>
      <c r="AS127" s="587">
        <f>Tabla_query__2[[#This Row],[FinDes2]]-Tabla_query__2[[#This Row],[InicioDes2]]</f>
        <v>28</v>
      </c>
      <c r="AT127" s="259" t="s">
        <v>436</v>
      </c>
      <c r="AV127" s="439" t="s">
        <v>148</v>
      </c>
      <c r="AX127" t="s">
        <v>341</v>
      </c>
    </row>
    <row r="128" spans="1:50" ht="19.5" customHeight="1">
      <c r="A128" s="318" t="s">
        <v>130</v>
      </c>
      <c r="B128" s="262" t="s">
        <v>131</v>
      </c>
      <c r="C128" s="262" t="s">
        <v>162</v>
      </c>
      <c r="D128" s="262" t="s">
        <v>183</v>
      </c>
      <c r="E128" s="262" t="s">
        <v>164</v>
      </c>
      <c r="F128" s="259" t="s">
        <v>184</v>
      </c>
      <c r="G128" s="259" t="s">
        <v>136</v>
      </c>
      <c r="H128" s="259" t="s">
        <v>137</v>
      </c>
      <c r="I128" s="262" t="s">
        <v>138</v>
      </c>
      <c r="J128" s="262" t="s">
        <v>139</v>
      </c>
      <c r="K128" s="262"/>
      <c r="L128" s="262"/>
      <c r="M128" s="266" t="s">
        <v>329</v>
      </c>
      <c r="N128" s="262" t="s">
        <v>433</v>
      </c>
      <c r="O128" s="582" t="s">
        <v>434</v>
      </c>
      <c r="P128" s="262" t="s">
        <v>139</v>
      </c>
      <c r="Q128" s="262" t="s">
        <v>143</v>
      </c>
      <c r="R128" s="262" t="s">
        <v>144</v>
      </c>
      <c r="S128" s="261" t="s">
        <v>152</v>
      </c>
      <c r="T128" s="584" t="s">
        <v>152</v>
      </c>
      <c r="U128" s="261" t="s">
        <v>185</v>
      </c>
      <c r="V128" s="261" t="s">
        <v>146</v>
      </c>
      <c r="W128" s="261">
        <v>1</v>
      </c>
      <c r="X128" s="261">
        <v>2</v>
      </c>
      <c r="Y128" s="261">
        <f>Tabla_query__2[[#This Row],[Número
Semanas]]*5*8</f>
        <v>80</v>
      </c>
      <c r="Z128" s="268">
        <f>Tabla_query__2[[#This Row],[TOTAL]]/Tabla_query__2[[#This Row],[Número de Horas]]/2</f>
        <v>7.875</v>
      </c>
      <c r="AA128" s="261">
        <v>1</v>
      </c>
      <c r="AB128" s="261">
        <v>550</v>
      </c>
      <c r="AC128" s="261"/>
      <c r="AD128" s="387">
        <v>1260</v>
      </c>
      <c r="AE128" s="261"/>
      <c r="AF128" s="261"/>
      <c r="AG128" s="591" t="s">
        <v>159</v>
      </c>
      <c r="AH128" s="458">
        <v>45355</v>
      </c>
      <c r="AI128" s="458">
        <v>45383</v>
      </c>
      <c r="AJ128" s="281">
        <f>Tabla_query__2[[#This Row],[FinDes]]-Tabla_query__2[[#This Row],[InicioDes]]</f>
        <v>28</v>
      </c>
      <c r="AK128" s="458">
        <v>45383</v>
      </c>
      <c r="AL128" s="458">
        <v>45390</v>
      </c>
      <c r="AM128" s="281">
        <f t="shared" si="6"/>
        <v>363071</v>
      </c>
      <c r="AN128" s="458">
        <v>45390</v>
      </c>
      <c r="AO128" s="458">
        <v>45443</v>
      </c>
      <c r="AP128" s="281">
        <v>45413</v>
      </c>
      <c r="AQ128" s="281">
        <f>Tabla_query__2[[#This Row],[Inicio Real]]+(Tabla_query__2[[#This Row],[Número
Semanas]]*7)</f>
        <v>45427</v>
      </c>
      <c r="AR128" s="462">
        <f>Tabla_query__2[[#This Row],[Número
Semanas]]/4</f>
        <v>0.5</v>
      </c>
      <c r="AS128" s="587">
        <f>Tabla_query__2[[#This Row],[FinDes2]]-Tabla_query__2[[#This Row],[InicioDes2]]</f>
        <v>53</v>
      </c>
      <c r="AT128" s="261" t="s">
        <v>155</v>
      </c>
      <c r="AV128" s="446" t="s">
        <v>148</v>
      </c>
      <c r="AX128" t="s">
        <v>341</v>
      </c>
    </row>
    <row r="129" spans="1:50" ht="20.25" customHeight="1">
      <c r="A129" s="318" t="s">
        <v>130</v>
      </c>
      <c r="B129" s="262" t="s">
        <v>131</v>
      </c>
      <c r="C129" s="262" t="s">
        <v>149</v>
      </c>
      <c r="D129" s="277" t="s">
        <v>437</v>
      </c>
      <c r="E129" s="262" t="s">
        <v>164</v>
      </c>
      <c r="F129" s="259" t="s">
        <v>438</v>
      </c>
      <c r="G129" s="259" t="s">
        <v>146</v>
      </c>
      <c r="H129" s="259" t="s">
        <v>204</v>
      </c>
      <c r="I129" s="262" t="s">
        <v>138</v>
      </c>
      <c r="J129" s="262" t="s">
        <v>139</v>
      </c>
      <c r="K129" s="262"/>
      <c r="L129" s="262"/>
      <c r="M129" s="262" t="s">
        <v>329</v>
      </c>
      <c r="N129" s="262" t="s">
        <v>433</v>
      </c>
      <c r="O129" s="582" t="s">
        <v>434</v>
      </c>
      <c r="P129" s="262" t="s">
        <v>178</v>
      </c>
      <c r="Q129" s="262" t="s">
        <v>143</v>
      </c>
      <c r="R129" s="262" t="s">
        <v>144</v>
      </c>
      <c r="S129" s="261"/>
      <c r="T129" s="584" t="s">
        <v>221</v>
      </c>
      <c r="U129" s="261"/>
      <c r="V129" s="261" t="s">
        <v>136</v>
      </c>
      <c r="W129" s="261">
        <v>1</v>
      </c>
      <c r="X129" s="261">
        <v>10</v>
      </c>
      <c r="Y129" s="261">
        <f>Tabla_query__2[[#This Row],[Número
Semanas]]*5*8</f>
        <v>400</v>
      </c>
      <c r="Z129" s="268">
        <f>Tabla_query__2[[#This Row],[TOTAL]]/Tabla_query__2[[#This Row],[Número de Horas]]/2</f>
        <v>23.4375</v>
      </c>
      <c r="AA129" s="261">
        <v>3</v>
      </c>
      <c r="AB129" s="261">
        <v>625</v>
      </c>
      <c r="AC129" s="261"/>
      <c r="AD129" s="388">
        <f>Tabla_query__2[[#This Row],[Número
Semanas]]*Tabla_query__2[[#This Row],[Número
Personas]]*Tabla_query__2[[#This Row],[Costo
Mano Obra/semana]]</f>
        <v>18750</v>
      </c>
      <c r="AE129" s="261"/>
      <c r="AF129" s="261"/>
      <c r="AG129" s="591" t="s">
        <v>154</v>
      </c>
      <c r="AH129" s="458">
        <v>45488</v>
      </c>
      <c r="AI129" s="458">
        <v>45495</v>
      </c>
      <c r="AJ129" s="281">
        <f>Tabla_query__2[[#This Row],[FinDes]]-Tabla_query__2[[#This Row],[InicioDes]]</f>
        <v>7</v>
      </c>
      <c r="AK129" s="458">
        <v>45495</v>
      </c>
      <c r="AL129" s="458">
        <v>45502</v>
      </c>
      <c r="AM129" s="281">
        <f t="shared" si="6"/>
        <v>363967</v>
      </c>
      <c r="AN129" s="458">
        <v>45502</v>
      </c>
      <c r="AO129" s="458">
        <v>45523</v>
      </c>
      <c r="AP129" s="281">
        <v>45444</v>
      </c>
      <c r="AQ129" s="281">
        <f>Tabla_query__2[[#This Row],[Inicio Real]]+(Tabla_query__2[[#This Row],[Número
Semanas]]*7)</f>
        <v>45514</v>
      </c>
      <c r="AR129" s="462">
        <f>Tabla_query__2[[#This Row],[Número
Semanas]]/4</f>
        <v>2.5</v>
      </c>
      <c r="AS129" s="587">
        <f>Tabla_query__2[[#This Row],[FinDes2]]-Tabla_query__2[[#This Row],[InicioDes2]]</f>
        <v>21</v>
      </c>
      <c r="AT129" s="261"/>
      <c r="AX129" t="s">
        <v>341</v>
      </c>
    </row>
    <row r="130" spans="1:50" ht="18" customHeight="1">
      <c r="A130" s="318" t="s">
        <v>251</v>
      </c>
      <c r="B130" s="277" t="s">
        <v>212</v>
      </c>
      <c r="C130" s="277"/>
      <c r="D130" s="277" t="s">
        <v>439</v>
      </c>
      <c r="E130" s="262"/>
      <c r="F130" s="259" t="s">
        <v>440</v>
      </c>
      <c r="G130" s="259"/>
      <c r="H130" s="259" t="s">
        <v>204</v>
      </c>
      <c r="I130" s="277" t="s">
        <v>233</v>
      </c>
      <c r="J130" s="277" t="s">
        <v>4</v>
      </c>
      <c r="K130" s="277"/>
      <c r="L130" s="277"/>
      <c r="M130" s="277" t="s">
        <v>206</v>
      </c>
      <c r="N130" s="277" t="s">
        <v>441</v>
      </c>
      <c r="O130" t="s">
        <v>442</v>
      </c>
      <c r="P130" s="277" t="s">
        <v>11</v>
      </c>
      <c r="Q130" s="262" t="s">
        <v>143</v>
      </c>
      <c r="R130" s="409" t="s">
        <v>179</v>
      </c>
      <c r="S130" s="259" t="s">
        <v>145</v>
      </c>
      <c r="T130" s="259" t="s">
        <v>145</v>
      </c>
      <c r="U130" s="259"/>
      <c r="V130" s="259" t="s">
        <v>146</v>
      </c>
      <c r="W130" s="259">
        <v>1</v>
      </c>
      <c r="X130" s="259"/>
      <c r="Y130" s="259">
        <f>Tabla_query__2[[#This Row],[Número
Semanas]]*5*8</f>
        <v>0</v>
      </c>
      <c r="Z130" s="387" t="e">
        <f>Tabla_query__2[[#This Row],[TOTAL]]/Tabla_query__2[[#This Row],[Número de Horas]]/2</f>
        <v>#DIV/0!</v>
      </c>
      <c r="AA130" s="259"/>
      <c r="AB130" s="259"/>
      <c r="AC130" s="259"/>
      <c r="AD130" s="403">
        <f>Tabla_query__2[[#This Row],[Número
Semanas]]*Tabla_query__2[[#This Row],[Número
Personas]]*Tabla_query__2[[#This Row],[Costo
Mano Obra/semana]]</f>
        <v>0</v>
      </c>
      <c r="AE130" s="259"/>
      <c r="AF130" s="259"/>
      <c r="AG130" s="259"/>
      <c r="AH130" s="404">
        <v>45343</v>
      </c>
      <c r="AI130" s="404">
        <v>45403</v>
      </c>
      <c r="AJ130" s="451">
        <f>Tabla_query__2[[#This Row],[FinDes]]-Tabla_query__2[[#This Row],[InicioDes]]</f>
        <v>60</v>
      </c>
      <c r="AK130" s="404">
        <v>45403</v>
      </c>
      <c r="AL130" s="404">
        <v>45419</v>
      </c>
      <c r="AM130" s="405">
        <f>Tabla_query__2[[#This Row],[FinPil]]-Tabla_query__2[[#This Row],[InicioPil]]</f>
        <v>16</v>
      </c>
      <c r="AN130" s="404">
        <v>45419</v>
      </c>
      <c r="AO130" s="404">
        <v>45426</v>
      </c>
      <c r="AP130" s="384">
        <f>Tabla_query__2[[#This Row],[InicioDes]]</f>
        <v>45343</v>
      </c>
      <c r="AQ130" s="384">
        <f>Tabla_query__2[[#This Row],[FinDes2]]</f>
        <v>45426</v>
      </c>
      <c r="AR130" s="462">
        <f>Tabla_query__2[[#This Row],[Número
Semanas]]/4</f>
        <v>0</v>
      </c>
      <c r="AS130" s="405">
        <f>Tabla_query__2[[#This Row],[FinDes2]]-Tabla_query__2[[#This Row],[InicioDes2]]</f>
        <v>7</v>
      </c>
      <c r="AT130" s="259"/>
      <c r="AU130" s="407"/>
      <c r="AV130" s="329"/>
      <c r="AX130" t="s">
        <v>341</v>
      </c>
    </row>
    <row r="131" spans="1:50" ht="25.5" customHeight="1">
      <c r="A131" s="318" t="s">
        <v>130</v>
      </c>
      <c r="B131" s="262" t="s">
        <v>218</v>
      </c>
      <c r="C131" s="262"/>
      <c r="D131" s="493" t="s">
        <v>443</v>
      </c>
      <c r="E131" s="495"/>
      <c r="F131" s="259" t="s">
        <v>444</v>
      </c>
      <c r="G131" s="259"/>
      <c r="H131" s="259" t="s">
        <v>204</v>
      </c>
      <c r="I131" s="262" t="s">
        <v>445</v>
      </c>
      <c r="J131" s="262" t="s">
        <v>4</v>
      </c>
      <c r="K131" s="262"/>
      <c r="L131" s="262"/>
      <c r="M131" s="262" t="s">
        <v>206</v>
      </c>
      <c r="N131" s="262" t="s">
        <v>12</v>
      </c>
      <c r="O131" t="s">
        <v>442</v>
      </c>
      <c r="P131" s="262" t="s">
        <v>11</v>
      </c>
      <c r="Q131" s="262" t="s">
        <v>208</v>
      </c>
      <c r="R131" s="262" t="s">
        <v>144</v>
      </c>
      <c r="S131" s="261" t="s">
        <v>146</v>
      </c>
      <c r="T131" s="261" t="s">
        <v>221</v>
      </c>
      <c r="U131" s="291"/>
      <c r="V131" s="261" t="s">
        <v>210</v>
      </c>
      <c r="W131" s="261"/>
      <c r="X131" s="291">
        <v>2</v>
      </c>
      <c r="Y131" s="291">
        <f>Tabla_query__2[[#This Row],[Número
Semanas]]*5*8</f>
        <v>80</v>
      </c>
      <c r="Z131" s="292">
        <f>Tabla_query__2[[#This Row],[TOTAL]]/Tabla_query__2[[#This Row],[Número de Horas]]/2</f>
        <v>14</v>
      </c>
      <c r="AA131" s="291">
        <v>2</v>
      </c>
      <c r="AB131" s="291">
        <v>400</v>
      </c>
      <c r="AC131" s="261"/>
      <c r="AD131" s="292">
        <f>Tabla_query__2[[#This Row],[Número
Semanas]]*Tabla_query__2[[#This Row],[Número
Personas]]*Tabla_query__2[[#This Row],[Costo
Mano Obra/semana]] + 640</f>
        <v>2240</v>
      </c>
      <c r="AE131" s="291"/>
      <c r="AF131" s="261"/>
      <c r="AG131" s="261"/>
      <c r="AH131" s="466">
        <v>45460</v>
      </c>
      <c r="AI131" s="466">
        <v>45471</v>
      </c>
      <c r="AJ131" s="282" t="e">
        <f>#REF!</f>
        <v>#REF!</v>
      </c>
      <c r="AK131" s="466">
        <v>45475</v>
      </c>
      <c r="AL131" s="466">
        <v>45544</v>
      </c>
      <c r="AM131" s="282">
        <f>AL131+ ((AK131*7))</f>
        <v>363869</v>
      </c>
      <c r="AN131" s="291"/>
      <c r="AO131" s="291"/>
      <c r="AP131" s="384">
        <f>Tabla_query__2[[#This Row],[InicioDes]]</f>
        <v>45460</v>
      </c>
      <c r="AQ131" s="384">
        <f>Tabla_query__2[[#This Row],[FinDes2]]</f>
        <v>0</v>
      </c>
      <c r="AR131" s="462">
        <f>Tabla_query__2[[#This Row],[Número
Semanas]]/4</f>
        <v>0.5</v>
      </c>
      <c r="AS131" s="269">
        <f>Tabla_query__2[[#This Row],[FinDes2]]-Tabla_query__2[[#This Row],[InicioDes2]]</f>
        <v>0</v>
      </c>
      <c r="AT131" s="291"/>
      <c r="AX131" t="s">
        <v>341</v>
      </c>
    </row>
    <row r="132" spans="1:50" ht="22.5" customHeight="1">
      <c r="A132" s="318" t="s">
        <v>130</v>
      </c>
      <c r="B132" s="262" t="s">
        <v>212</v>
      </c>
      <c r="C132" s="262"/>
      <c r="D132" s="262" t="s">
        <v>446</v>
      </c>
      <c r="E132" s="262"/>
      <c r="F132" s="259" t="s">
        <v>447</v>
      </c>
      <c r="G132" s="259"/>
      <c r="H132" s="259" t="s">
        <v>137</v>
      </c>
      <c r="I132" s="262" t="s">
        <v>448</v>
      </c>
      <c r="J132" s="262" t="s">
        <v>4</v>
      </c>
      <c r="K132" s="262"/>
      <c r="L132" s="262"/>
      <c r="M132" s="262" t="s">
        <v>206</v>
      </c>
      <c r="N132" s="262" t="s">
        <v>12</v>
      </c>
      <c r="O132" t="s">
        <v>442</v>
      </c>
      <c r="P132" s="262" t="s">
        <v>11</v>
      </c>
      <c r="Q132" s="262" t="s">
        <v>208</v>
      </c>
      <c r="R132" s="262" t="s">
        <v>144</v>
      </c>
      <c r="S132" s="261" t="s">
        <v>145</v>
      </c>
      <c r="T132" s="261" t="s">
        <v>145</v>
      </c>
      <c r="U132" s="261"/>
      <c r="V132" s="259" t="s">
        <v>146</v>
      </c>
      <c r="W132" s="261">
        <v>1</v>
      </c>
      <c r="X132" s="261">
        <v>8</v>
      </c>
      <c r="Y132" s="261">
        <f>Tabla_query__2[[#This Row],[Número
Semanas]]*5*8</f>
        <v>320</v>
      </c>
      <c r="Z132" s="268">
        <f>Tabla_query__2[[#This Row],[TOTAL]]/Tabla_query__2[[#This Row],[Número de Horas]]/2</f>
        <v>94.375</v>
      </c>
      <c r="AA132" s="261">
        <v>4</v>
      </c>
      <c r="AB132" s="261">
        <f>20400/8/4</f>
        <v>637.5</v>
      </c>
      <c r="AC132" s="261">
        <v>40000</v>
      </c>
      <c r="AD132" s="387">
        <f>((X132*AA132*AB132)+AC132)*W132</f>
        <v>60400</v>
      </c>
      <c r="AE132" s="268">
        <f>40000</f>
        <v>40000</v>
      </c>
      <c r="AF132" s="261"/>
      <c r="AG132" s="261"/>
      <c r="AH132" s="267">
        <v>45389</v>
      </c>
      <c r="AI132" s="267">
        <v>45426</v>
      </c>
      <c r="AJ132" s="451">
        <f>Tabla_query__2[[#This Row],[FinDes]]-Tabla_query__2[[#This Row],[InicioDes]]</f>
        <v>37</v>
      </c>
      <c r="AK132" s="267"/>
      <c r="AL132" s="267"/>
      <c r="AM132" s="282">
        <f>AL132+ ((AK132*7))</f>
        <v>0</v>
      </c>
      <c r="AN132" s="267"/>
      <c r="AO132" s="267"/>
      <c r="AP132" s="384">
        <f>Tabla_query__2[[#This Row],[InicioDes]]</f>
        <v>45389</v>
      </c>
      <c r="AQ132" s="384">
        <f>Tabla_query__2[[#This Row],[FinDes2]]</f>
        <v>0</v>
      </c>
      <c r="AR132" s="462">
        <f>Tabla_query__2[[#This Row],[Número
Semanas]]/4</f>
        <v>2</v>
      </c>
      <c r="AS132" s="269">
        <f>Tabla_query__2[[#This Row],[FinDes2]]-Tabla_query__2[[#This Row],[InicioDes2]]</f>
        <v>0</v>
      </c>
      <c r="AT132" s="261"/>
      <c r="AX132" t="s">
        <v>341</v>
      </c>
    </row>
    <row r="133" spans="1:50" ht="29.25" customHeight="1">
      <c r="A133" s="318" t="s">
        <v>130</v>
      </c>
      <c r="B133" s="262" t="s">
        <v>218</v>
      </c>
      <c r="C133" s="262"/>
      <c r="D133" s="277" t="s">
        <v>449</v>
      </c>
      <c r="E133" s="277" t="s">
        <v>450</v>
      </c>
      <c r="F133" s="259" t="s">
        <v>451</v>
      </c>
      <c r="G133" s="259"/>
      <c r="H133" s="259" t="s">
        <v>204</v>
      </c>
      <c r="I133" s="262" t="s">
        <v>445</v>
      </c>
      <c r="J133" s="262" t="s">
        <v>4</v>
      </c>
      <c r="K133" s="262"/>
      <c r="L133" s="262"/>
      <c r="M133" s="262" t="s">
        <v>206</v>
      </c>
      <c r="N133" s="262" t="s">
        <v>12</v>
      </c>
      <c r="O133" t="s">
        <v>442</v>
      </c>
      <c r="P133" s="262" t="s">
        <v>11</v>
      </c>
      <c r="Q133" s="262" t="s">
        <v>208</v>
      </c>
      <c r="R133" s="262" t="s">
        <v>144</v>
      </c>
      <c r="S133" s="261" t="s">
        <v>136</v>
      </c>
      <c r="T133" s="261" t="s">
        <v>145</v>
      </c>
      <c r="U133" s="291"/>
      <c r="V133" s="261" t="s">
        <v>146</v>
      </c>
      <c r="W133" s="261"/>
      <c r="X133" s="280">
        <v>5</v>
      </c>
      <c r="Y133" s="280">
        <f>Tabla_query__2[[#This Row],[Número
Semanas]]*5*8</f>
        <v>200</v>
      </c>
      <c r="Z133" s="642">
        <f>Tabla_query__2[[#This Row],[TOTAL]]/Tabla_query__2[[#This Row],[Número de Horas]]/2</f>
        <v>12.85</v>
      </c>
      <c r="AA133" s="291">
        <v>2</v>
      </c>
      <c r="AB133" s="291">
        <v>450</v>
      </c>
      <c r="AC133" s="261"/>
      <c r="AD133" s="292">
        <f>Tabla_query__2[[#This Row],[Número
Semanas]]*Tabla_query__2[[#This Row],[Número
Personas]]*Tabla_query__2[[#This Row],[Costo
Mano Obra/semana]] + 640</f>
        <v>5140</v>
      </c>
      <c r="AE133" s="291"/>
      <c r="AF133" s="261"/>
      <c r="AG133" s="547" t="s">
        <v>154</v>
      </c>
      <c r="AH133" s="267">
        <v>45439</v>
      </c>
      <c r="AI133" s="267"/>
      <c r="AJ133" s="282" t="e">
        <f>#REF!</f>
        <v>#REF!</v>
      </c>
      <c r="AK133" s="267"/>
      <c r="AL133" s="267"/>
      <c r="AM133" s="282">
        <f>AL133+ ((AK133*7))</f>
        <v>0</v>
      </c>
      <c r="AN133" s="261"/>
      <c r="AO133" s="267"/>
      <c r="AP133" s="384">
        <f>Tabla_query__2[[#This Row],[InicioDes]]</f>
        <v>45439</v>
      </c>
      <c r="AQ133" s="384">
        <f>Tabla_query__2[[#This Row],[FinDes2]]</f>
        <v>0</v>
      </c>
      <c r="AR133" s="462">
        <f>Tabla_query__2[[#This Row],[Número
Semanas]]/4</f>
        <v>1.25</v>
      </c>
      <c r="AS133" s="269">
        <f>Tabla_query__2[[#This Row],[FinDes2]]-Tabla_query__2[[#This Row],[InicioDes2]]</f>
        <v>0</v>
      </c>
      <c r="AT133" s="291"/>
      <c r="AX133" t="s">
        <v>341</v>
      </c>
    </row>
    <row r="134" spans="1:50" ht="20.25" customHeight="1">
      <c r="A134" s="318" t="s">
        <v>251</v>
      </c>
      <c r="B134" s="277" t="s">
        <v>212</v>
      </c>
      <c r="C134" s="277"/>
      <c r="D134" s="262" t="s">
        <v>452</v>
      </c>
      <c r="E134" s="262"/>
      <c r="F134" s="259"/>
      <c r="G134" s="259"/>
      <c r="H134" s="259" t="s">
        <v>204</v>
      </c>
      <c r="I134" s="277" t="s">
        <v>453</v>
      </c>
      <c r="J134" s="277" t="s">
        <v>4</v>
      </c>
      <c r="K134" s="277"/>
      <c r="L134" s="277"/>
      <c r="M134" s="277" t="s">
        <v>206</v>
      </c>
      <c r="N134" s="277" t="s">
        <v>12</v>
      </c>
      <c r="O134" s="490" t="s">
        <v>442</v>
      </c>
      <c r="P134" s="277" t="s">
        <v>11</v>
      </c>
      <c r="Q134" s="262" t="s">
        <v>143</v>
      </c>
      <c r="R134" s="277" t="s">
        <v>179</v>
      </c>
      <c r="S134" s="259" t="s">
        <v>145</v>
      </c>
      <c r="T134" s="259" t="s">
        <v>145</v>
      </c>
      <c r="U134" s="259"/>
      <c r="V134" s="261" t="s">
        <v>136</v>
      </c>
      <c r="W134" s="259">
        <v>1</v>
      </c>
      <c r="X134" s="259"/>
      <c r="Y134" s="259">
        <f>Tabla_query__2[[#This Row],[Número
Semanas]]*5*8</f>
        <v>0</v>
      </c>
      <c r="Z134" s="387" t="e">
        <f>Tabla_query__2[[#This Row],[TOTAL]]/Tabla_query__2[[#This Row],[Número de Horas]]/2</f>
        <v>#DIV/0!</v>
      </c>
      <c r="AA134" s="259"/>
      <c r="AB134" s="259"/>
      <c r="AC134" s="259"/>
      <c r="AD134" s="403">
        <f>Tabla_query__2[[#This Row],[Número
Semanas]]*Tabla_query__2[[#This Row],[Número
Personas]]*Tabla_query__2[[#This Row],[Costo
Mano Obra/semana]]</f>
        <v>0</v>
      </c>
      <c r="AE134" s="259"/>
      <c r="AF134" s="259"/>
      <c r="AG134" s="259"/>
      <c r="AH134" s="404"/>
      <c r="AI134" s="404"/>
      <c r="AJ134" s="451">
        <f>Tabla_query__2[[#This Row],[FinDes]]-Tabla_query__2[[#This Row],[InicioDes]]</f>
        <v>0</v>
      </c>
      <c r="AK134" s="404"/>
      <c r="AL134" s="404"/>
      <c r="AM134" s="405">
        <f>Tabla_query__2[[#This Row],[FinPil]]-Tabla_query__2[[#This Row],[InicioPil]]</f>
        <v>0</v>
      </c>
      <c r="AN134" s="404"/>
      <c r="AO134" s="404"/>
      <c r="AP134" s="384">
        <f>Tabla_query__2[[#This Row],[InicioDes]]</f>
        <v>0</v>
      </c>
      <c r="AQ134" s="384">
        <f>Tabla_query__2[[#This Row],[FinDes2]]</f>
        <v>0</v>
      </c>
      <c r="AR134" s="404">
        <f>Tabla_query__2[[#This Row],[Número
Semanas]]/4</f>
        <v>0</v>
      </c>
      <c r="AS134" s="405">
        <f>Tabla_query__2[[#This Row],[FinDes2]]-Tabla_query__2[[#This Row],[InicioDes2]]</f>
        <v>0</v>
      </c>
      <c r="AT134" s="259"/>
      <c r="AU134" s="329"/>
      <c r="AV134" s="329"/>
      <c r="AX134" t="s">
        <v>341</v>
      </c>
    </row>
    <row r="135" spans="1:50" ht="29.25" customHeight="1">
      <c r="A135" s="318" t="s">
        <v>251</v>
      </c>
      <c r="B135" s="262" t="s">
        <v>218</v>
      </c>
      <c r="C135" s="262"/>
      <c r="D135" s="262" t="s">
        <v>454</v>
      </c>
      <c r="E135" s="262" t="s">
        <v>455</v>
      </c>
      <c r="F135" s="259"/>
      <c r="G135" s="259"/>
      <c r="H135" s="259" t="s">
        <v>204</v>
      </c>
      <c r="I135" s="262" t="s">
        <v>456</v>
      </c>
      <c r="J135" s="262" t="s">
        <v>4</v>
      </c>
      <c r="K135" s="262"/>
      <c r="L135" s="262"/>
      <c r="M135" s="262" t="s">
        <v>206</v>
      </c>
      <c r="N135" s="262" t="s">
        <v>12</v>
      </c>
      <c r="O135" t="s">
        <v>442</v>
      </c>
      <c r="P135" s="262" t="s">
        <v>11</v>
      </c>
      <c r="Q135" s="262" t="s">
        <v>143</v>
      </c>
      <c r="R135" s="262" t="s">
        <v>179</v>
      </c>
      <c r="S135" s="261"/>
      <c r="T135" s="261" t="s">
        <v>145</v>
      </c>
      <c r="U135" s="261"/>
      <c r="V135" s="261" t="s">
        <v>136</v>
      </c>
      <c r="W135" s="261"/>
      <c r="X135" s="261">
        <v>1</v>
      </c>
      <c r="Y135" s="261">
        <f>Tabla_query__2[[#This Row],[Número
Semanas]]*5*8</f>
        <v>40</v>
      </c>
      <c r="Z135" s="268">
        <f>Tabla_query__2[[#This Row],[TOTAL]]/Tabla_query__2[[#This Row],[Número de Horas]]/2</f>
        <v>27.5</v>
      </c>
      <c r="AA135" s="261">
        <v>4</v>
      </c>
      <c r="AB135" s="261">
        <v>550</v>
      </c>
      <c r="AC135" s="261"/>
      <c r="AD135" s="268">
        <v>2200</v>
      </c>
      <c r="AE135" s="261"/>
      <c r="AF135" s="261"/>
      <c r="AG135" s="547" t="s">
        <v>211</v>
      </c>
      <c r="AH135" s="267">
        <v>45306</v>
      </c>
      <c r="AI135" s="267">
        <v>45317</v>
      </c>
      <c r="AJ135" s="282" t="e">
        <f>#REF!</f>
        <v>#REF!</v>
      </c>
      <c r="AK135" s="267">
        <v>45352</v>
      </c>
      <c r="AL135" s="267">
        <v>45359</v>
      </c>
      <c r="AM135" s="282">
        <f>AL135+ ((AK135*7))</f>
        <v>362823</v>
      </c>
      <c r="AN135" s="267">
        <v>45412</v>
      </c>
      <c r="AO135" s="261"/>
      <c r="AP135" s="384">
        <f>Tabla_query__2[[#This Row],[InicioDes]]</f>
        <v>45306</v>
      </c>
      <c r="AQ135" s="384">
        <f>Tabla_query__2[[#This Row],[FinDes2]]</f>
        <v>0</v>
      </c>
      <c r="AR135" s="462">
        <f>Tabla_query__2[[#This Row],[Número
Semanas]]/4</f>
        <v>0.25</v>
      </c>
      <c r="AS135" s="269">
        <f>Tabla_query__2[[#This Row],[FinDes2]]-Tabla_query__2[[#This Row],[InicioDes2]]</f>
        <v>-45412</v>
      </c>
      <c r="AT135" s="261"/>
      <c r="AX135" t="s">
        <v>341</v>
      </c>
    </row>
    <row r="136" spans="1:50" ht="19.5" customHeight="1">
      <c r="A136" s="318" t="s">
        <v>130</v>
      </c>
      <c r="B136" s="262" t="s">
        <v>457</v>
      </c>
      <c r="C136" s="262"/>
      <c r="D136" s="262" t="s">
        <v>458</v>
      </c>
      <c r="E136" s="262"/>
      <c r="F136" s="259" t="s">
        <v>459</v>
      </c>
      <c r="G136" s="259"/>
      <c r="H136" s="259" t="s">
        <v>204</v>
      </c>
      <c r="I136" s="262" t="s">
        <v>460</v>
      </c>
      <c r="J136" s="262" t="s">
        <v>4</v>
      </c>
      <c r="K136" s="262"/>
      <c r="L136" s="262"/>
      <c r="M136" s="262" t="s">
        <v>206</v>
      </c>
      <c r="N136" s="262" t="s">
        <v>12</v>
      </c>
      <c r="O136" t="s">
        <v>442</v>
      </c>
      <c r="P136" s="262" t="s">
        <v>11</v>
      </c>
      <c r="Q136" s="262" t="s">
        <v>208</v>
      </c>
      <c r="R136" s="262" t="s">
        <v>144</v>
      </c>
      <c r="S136" s="261" t="s">
        <v>145</v>
      </c>
      <c r="T136" s="261" t="s">
        <v>145</v>
      </c>
      <c r="U136" s="261"/>
      <c r="V136" s="261" t="s">
        <v>146</v>
      </c>
      <c r="W136" s="261"/>
      <c r="X136" s="261">
        <v>10</v>
      </c>
      <c r="Y136" s="261">
        <f>Tabla_query__2[[#This Row],[Número
Semanas]]*5*8</f>
        <v>400</v>
      </c>
      <c r="Z136" s="268">
        <f>Tabla_query__2[[#This Row],[TOTAL]]/Tabla_query__2[[#This Row],[Número de Horas]]/2</f>
        <v>6.875</v>
      </c>
      <c r="AA136" s="261">
        <v>1</v>
      </c>
      <c r="AB136" s="261">
        <v>550</v>
      </c>
      <c r="AC136" s="261"/>
      <c r="AD136" s="268">
        <f>Tabla_query__2[[#This Row],[Número
Semanas]]*Tabla_query__2[[#This Row],[Número
Personas]]*Tabla_query__2[[#This Row],[Costo
Mano Obra/semana]]</f>
        <v>5500</v>
      </c>
      <c r="AE136" s="261"/>
      <c r="AF136" s="261"/>
      <c r="AG136" s="261"/>
      <c r="AH136" s="321"/>
      <c r="AI136" s="321"/>
      <c r="AJ136" s="282" t="e">
        <f>#REF!</f>
        <v>#REF!</v>
      </c>
      <c r="AK136" s="321"/>
      <c r="AL136" s="321"/>
      <c r="AM136" s="282">
        <f>AL136+ ((AK136*7))</f>
        <v>0</v>
      </c>
      <c r="AN136" s="321"/>
      <c r="AO136" s="321"/>
      <c r="AP136" s="384">
        <f>Tabla_query__2[[#This Row],[InicioDes]]</f>
        <v>0</v>
      </c>
      <c r="AQ136" s="384">
        <f>Tabla_query__2[[#This Row],[FinDes2]]</f>
        <v>0</v>
      </c>
      <c r="AR136" s="462">
        <f>Tabla_query__2[[#This Row],[Número
Semanas]]/4</f>
        <v>2.5</v>
      </c>
      <c r="AS136" s="269">
        <f>Tabla_query__2[[#This Row],[FinDes2]]-Tabla_query__2[[#This Row],[InicioDes2]]</f>
        <v>0</v>
      </c>
      <c r="AT136" s="261"/>
      <c r="AX136" t="s">
        <v>341</v>
      </c>
    </row>
    <row r="137" spans="1:50" ht="49.5" customHeight="1">
      <c r="A137" s="318" t="s">
        <v>130</v>
      </c>
      <c r="B137" s="277" t="s">
        <v>212</v>
      </c>
      <c r="C137" s="277"/>
      <c r="D137" s="277" t="s">
        <v>461</v>
      </c>
      <c r="E137" s="277"/>
      <c r="F137" s="259" t="s">
        <v>462</v>
      </c>
      <c r="G137" s="259"/>
      <c r="H137" s="259" t="s">
        <v>204</v>
      </c>
      <c r="I137" s="277" t="s">
        <v>463</v>
      </c>
      <c r="J137" s="277" t="s">
        <v>72</v>
      </c>
      <c r="K137" s="277"/>
      <c r="L137" s="277"/>
      <c r="M137" s="277" t="s">
        <v>206</v>
      </c>
      <c r="N137" s="277" t="s">
        <v>12</v>
      </c>
      <c r="O137" t="s">
        <v>442</v>
      </c>
      <c r="P137" s="277" t="s">
        <v>11</v>
      </c>
      <c r="Q137" s="262" t="s">
        <v>208</v>
      </c>
      <c r="R137" s="277" t="s">
        <v>144</v>
      </c>
      <c r="S137" s="259" t="s">
        <v>145</v>
      </c>
      <c r="T137" s="259" t="s">
        <v>145</v>
      </c>
      <c r="U137" s="259"/>
      <c r="V137" s="259" t="s">
        <v>146</v>
      </c>
      <c r="W137" s="259">
        <v>1</v>
      </c>
      <c r="X137" s="259">
        <v>3</v>
      </c>
      <c r="Y137" s="259">
        <f>Tabla_query__2[[#This Row],[Número
Semanas]]*5*8</f>
        <v>120</v>
      </c>
      <c r="Z137" s="387">
        <f>Tabla_query__2[[#This Row],[TOTAL]]/Tabla_query__2[[#This Row],[Número de Horas]]/2</f>
        <v>13.75</v>
      </c>
      <c r="AA137" s="259">
        <v>1</v>
      </c>
      <c r="AB137" s="259">
        <f>40*27.5</f>
        <v>1100</v>
      </c>
      <c r="AC137" s="259"/>
      <c r="AD137" s="403">
        <f>Tabla_query__2[[#This Row],[Número
Semanas]]*Tabla_query__2[[#This Row],[Número
Personas]]*Tabla_query__2[[#This Row],[Costo
Mano Obra/semana]]</f>
        <v>3300</v>
      </c>
      <c r="AE137" s="259"/>
      <c r="AF137" s="259"/>
      <c r="AG137" s="259"/>
      <c r="AH137" s="404"/>
      <c r="AI137" s="404"/>
      <c r="AJ137" s="451">
        <f>Tabla_query__2[[#This Row],[FinDes]]-Tabla_query__2[[#This Row],[InicioDes]]</f>
        <v>0</v>
      </c>
      <c r="AK137" s="404"/>
      <c r="AL137" s="404"/>
      <c r="AM137" s="405">
        <f>Tabla_query__2[[#This Row],[FinPil]]-Tabla_query__2[[#This Row],[InicioPil]]</f>
        <v>0</v>
      </c>
      <c r="AN137" s="404"/>
      <c r="AO137" s="404"/>
      <c r="AP137" s="384">
        <f>Tabla_query__2[[#This Row],[InicioDes]]</f>
        <v>0</v>
      </c>
      <c r="AQ137" s="384">
        <f>Tabla_query__2[[#This Row],[FinDes2]]</f>
        <v>0</v>
      </c>
      <c r="AR137" s="462">
        <f>Tabla_query__2[[#This Row],[Número
Semanas]]/4</f>
        <v>0.75</v>
      </c>
      <c r="AS137" s="405">
        <f>Tabla_query__2[[#This Row],[FinDes2]]-Tabla_query__2[[#This Row],[InicioDes2]]</f>
        <v>0</v>
      </c>
      <c r="AT137" s="259"/>
      <c r="AU137" s="329"/>
      <c r="AV137" s="407"/>
      <c r="AX137" t="s">
        <v>341</v>
      </c>
    </row>
    <row r="138" spans="1:50" ht="20.25" customHeight="1">
      <c r="A138" s="318" t="s">
        <v>130</v>
      </c>
      <c r="B138" s="277" t="s">
        <v>212</v>
      </c>
      <c r="C138" s="277"/>
      <c r="D138" s="262" t="s">
        <v>464</v>
      </c>
      <c r="E138" s="262"/>
      <c r="F138" s="259" t="s">
        <v>465</v>
      </c>
      <c r="G138" s="259"/>
      <c r="H138" s="259" t="s">
        <v>204</v>
      </c>
      <c r="I138" s="277" t="s">
        <v>466</v>
      </c>
      <c r="J138" s="277" t="s">
        <v>4</v>
      </c>
      <c r="K138" s="277"/>
      <c r="L138" s="277"/>
      <c r="M138" s="277" t="s">
        <v>206</v>
      </c>
      <c r="N138" s="277" t="s">
        <v>13</v>
      </c>
      <c r="O138" t="s">
        <v>442</v>
      </c>
      <c r="P138" s="277" t="s">
        <v>11</v>
      </c>
      <c r="Q138" s="262" t="s">
        <v>208</v>
      </c>
      <c r="R138" s="277" t="s">
        <v>144</v>
      </c>
      <c r="S138" s="259" t="s">
        <v>145</v>
      </c>
      <c r="T138" s="259" t="s">
        <v>145</v>
      </c>
      <c r="U138" s="259"/>
      <c r="V138" s="259" t="s">
        <v>146</v>
      </c>
      <c r="W138" s="259">
        <v>1</v>
      </c>
      <c r="X138" s="259">
        <v>4</v>
      </c>
      <c r="Y138" s="259">
        <f>Tabla_query__2[[#This Row],[Número
Semanas]]*5*8</f>
        <v>160</v>
      </c>
      <c r="Z138" s="387">
        <f>Tabla_query__2[[#This Row],[TOTAL]]/Tabla_query__2[[#This Row],[Número de Horas]]/2</f>
        <v>20</v>
      </c>
      <c r="AA138" s="259">
        <v>1</v>
      </c>
      <c r="AB138" s="259">
        <v>1600</v>
      </c>
      <c r="AC138" s="259"/>
      <c r="AD138" s="403">
        <f>Tabla_query__2[[#This Row],[Número
Semanas]]*Tabla_query__2[[#This Row],[Número
Personas]]*Tabla_query__2[[#This Row],[Costo
Mano Obra/semana]]</f>
        <v>6400</v>
      </c>
      <c r="AE138" s="259"/>
      <c r="AF138" s="259"/>
      <c r="AG138" s="259"/>
      <c r="AH138" s="404">
        <v>45389</v>
      </c>
      <c r="AI138" s="404">
        <v>45419</v>
      </c>
      <c r="AJ138" s="451">
        <f>Tabla_query__2[[#This Row],[FinDes]]-Tabla_query__2[[#This Row],[InicioDes]]</f>
        <v>30</v>
      </c>
      <c r="AK138" s="404">
        <v>45419</v>
      </c>
      <c r="AL138" s="404">
        <v>45419</v>
      </c>
      <c r="AM138" s="405">
        <f>Tabla_query__2[[#This Row],[FinPil]]-Tabla_query__2[[#This Row],[InicioPil]]</f>
        <v>0</v>
      </c>
      <c r="AN138" s="404">
        <v>45419</v>
      </c>
      <c r="AO138" s="404">
        <v>45433</v>
      </c>
      <c r="AP138" s="384">
        <f>Tabla_query__2[[#This Row],[InicioDes]]</f>
        <v>45389</v>
      </c>
      <c r="AQ138" s="384">
        <f>Tabla_query__2[[#This Row],[FinDes2]]</f>
        <v>45433</v>
      </c>
      <c r="AR138" s="462">
        <f>Tabla_query__2[[#This Row],[Número
Semanas]]/4</f>
        <v>1</v>
      </c>
      <c r="AS138" s="405">
        <f>Tabla_query__2[[#This Row],[FinDes2]]-Tabla_query__2[[#This Row],[InicioDes2]]</f>
        <v>14</v>
      </c>
      <c r="AT138" s="259"/>
      <c r="AU138" s="329"/>
      <c r="AV138" s="329"/>
      <c r="AX138" t="s">
        <v>341</v>
      </c>
    </row>
    <row r="139" spans="1:50" ht="20.25" customHeight="1">
      <c r="A139" s="318" t="s">
        <v>130</v>
      </c>
      <c r="B139" s="277" t="s">
        <v>212</v>
      </c>
      <c r="C139" s="277"/>
      <c r="D139" s="277" t="s">
        <v>467</v>
      </c>
      <c r="E139" s="277"/>
      <c r="F139" s="259" t="s">
        <v>468</v>
      </c>
      <c r="G139" s="259"/>
      <c r="H139" s="259" t="s">
        <v>204</v>
      </c>
      <c r="I139" s="277" t="s">
        <v>463</v>
      </c>
      <c r="J139" s="277" t="s">
        <v>72</v>
      </c>
      <c r="K139" s="277"/>
      <c r="L139" s="277"/>
      <c r="M139" s="277" t="s">
        <v>206</v>
      </c>
      <c r="N139" s="277" t="s">
        <v>13</v>
      </c>
      <c r="O139" t="s">
        <v>442</v>
      </c>
      <c r="P139" s="277" t="s">
        <v>11</v>
      </c>
      <c r="Q139" s="262" t="s">
        <v>208</v>
      </c>
      <c r="R139" s="409" t="s">
        <v>144</v>
      </c>
      <c r="S139" s="259" t="s">
        <v>145</v>
      </c>
      <c r="T139" s="259" t="s">
        <v>145</v>
      </c>
      <c r="U139" s="259"/>
      <c r="V139" s="259" t="s">
        <v>146</v>
      </c>
      <c r="W139" s="259">
        <v>1</v>
      </c>
      <c r="X139" s="259">
        <v>3</v>
      </c>
      <c r="Y139" s="259">
        <f>Tabla_query__2[[#This Row],[Número
Semanas]]*5*8</f>
        <v>120</v>
      </c>
      <c r="Z139" s="387">
        <f>Tabla_query__2[[#This Row],[TOTAL]]/Tabla_query__2[[#This Row],[Número de Horas]]/2</f>
        <v>13.75</v>
      </c>
      <c r="AA139" s="259">
        <v>1</v>
      </c>
      <c r="AB139" s="259">
        <f>40*27.5</f>
        <v>1100</v>
      </c>
      <c r="AC139" s="259"/>
      <c r="AD139" s="403">
        <f>Tabla_query__2[[#This Row],[Número
Semanas]]*Tabla_query__2[[#This Row],[Número
Personas]]*Tabla_query__2[[#This Row],[Costo
Mano Obra/semana]]</f>
        <v>3300</v>
      </c>
      <c r="AE139" s="259"/>
      <c r="AF139" s="259"/>
      <c r="AG139" s="259"/>
      <c r="AH139" s="404">
        <v>45348</v>
      </c>
      <c r="AI139" s="404">
        <v>45376</v>
      </c>
      <c r="AJ139" s="451">
        <f>Tabla_query__2[[#This Row],[FinDes]]-Tabla_query__2[[#This Row],[InicioDes]]</f>
        <v>28</v>
      </c>
      <c r="AK139" s="404">
        <v>45376</v>
      </c>
      <c r="AL139" s="404">
        <v>45383</v>
      </c>
      <c r="AM139" s="405">
        <f>Tabla_query__2[[#This Row],[FinPil]]-Tabla_query__2[[#This Row],[InicioPil]]</f>
        <v>7</v>
      </c>
      <c r="AN139" s="404"/>
      <c r="AO139" s="404"/>
      <c r="AP139" s="384">
        <f>Tabla_query__2[[#This Row],[InicioDes]]</f>
        <v>45348</v>
      </c>
      <c r="AQ139" s="384">
        <f>Tabla_query__2[[#This Row],[FinDes2]]</f>
        <v>0</v>
      </c>
      <c r="AR139" s="462">
        <f>Tabla_query__2[[#This Row],[Número
Semanas]]/4</f>
        <v>0.75</v>
      </c>
      <c r="AS139" s="405">
        <f>Tabla_query__2[[#This Row],[FinDes2]]-Tabla_query__2[[#This Row],[InicioDes2]]</f>
        <v>0</v>
      </c>
      <c r="AT139" s="259"/>
      <c r="AU139" s="329"/>
      <c r="AV139" s="329"/>
      <c r="AX139" t="s">
        <v>341</v>
      </c>
    </row>
    <row r="140" spans="1:50" ht="20.25" customHeight="1">
      <c r="A140" s="318" t="s">
        <v>130</v>
      </c>
      <c r="B140" s="277" t="s">
        <v>212</v>
      </c>
      <c r="C140" s="277"/>
      <c r="D140" s="277" t="s">
        <v>469</v>
      </c>
      <c r="E140" s="277"/>
      <c r="F140" s="259" t="s">
        <v>470</v>
      </c>
      <c r="G140" s="259"/>
      <c r="H140" s="259" t="s">
        <v>204</v>
      </c>
      <c r="I140" s="277" t="s">
        <v>463</v>
      </c>
      <c r="J140" s="277" t="s">
        <v>72</v>
      </c>
      <c r="K140" s="277"/>
      <c r="L140" s="277"/>
      <c r="M140" s="277" t="s">
        <v>206</v>
      </c>
      <c r="N140" s="277" t="s">
        <v>13</v>
      </c>
      <c r="O140" t="s">
        <v>442</v>
      </c>
      <c r="P140" s="277" t="s">
        <v>11</v>
      </c>
      <c r="Q140" s="262" t="s">
        <v>208</v>
      </c>
      <c r="R140" s="277" t="s">
        <v>144</v>
      </c>
      <c r="S140" s="259" t="s">
        <v>145</v>
      </c>
      <c r="T140" s="259" t="s">
        <v>145</v>
      </c>
      <c r="U140" s="259"/>
      <c r="V140" s="259" t="s">
        <v>146</v>
      </c>
      <c r="W140" s="259">
        <v>1</v>
      </c>
      <c r="X140" s="259">
        <v>2</v>
      </c>
      <c r="Y140" s="259">
        <f>Tabla_query__2[[#This Row],[Número
Semanas]]*5*8</f>
        <v>80</v>
      </c>
      <c r="Z140" s="387">
        <f>Tabla_query__2[[#This Row],[TOTAL]]/Tabla_query__2[[#This Row],[Número de Horas]]/2</f>
        <v>13.75</v>
      </c>
      <c r="AA140" s="259">
        <v>1</v>
      </c>
      <c r="AB140" s="259">
        <f>40*27.5</f>
        <v>1100</v>
      </c>
      <c r="AC140" s="259"/>
      <c r="AD140" s="403">
        <f>Tabla_query__2[[#This Row],[Número
Semanas]]*Tabla_query__2[[#This Row],[Número
Personas]]*Tabla_query__2[[#This Row],[Costo
Mano Obra/semana]]</f>
        <v>2200</v>
      </c>
      <c r="AE140" s="259"/>
      <c r="AF140" s="259"/>
      <c r="AG140" s="259"/>
      <c r="AH140" s="404"/>
      <c r="AI140" s="404"/>
      <c r="AJ140" s="451">
        <f>Tabla_query__2[[#This Row],[FinDes]]-Tabla_query__2[[#This Row],[InicioDes]]</f>
        <v>0</v>
      </c>
      <c r="AK140" s="404"/>
      <c r="AL140" s="404"/>
      <c r="AM140" s="405">
        <f>Tabla_query__2[[#This Row],[FinPil]]-Tabla_query__2[[#This Row],[InicioPil]]</f>
        <v>0</v>
      </c>
      <c r="AN140" s="404"/>
      <c r="AO140" s="404"/>
      <c r="AP140" s="384">
        <f>Tabla_query__2[[#This Row],[InicioDes]]</f>
        <v>0</v>
      </c>
      <c r="AQ140" s="384">
        <f>Tabla_query__2[[#This Row],[FinDes2]]</f>
        <v>0</v>
      </c>
      <c r="AR140" s="462">
        <f>Tabla_query__2[[#This Row],[Número
Semanas]]/4</f>
        <v>0.5</v>
      </c>
      <c r="AS140" s="405">
        <f>Tabla_query__2[[#This Row],[FinDes2]]-Tabla_query__2[[#This Row],[InicioDes2]]</f>
        <v>0</v>
      </c>
      <c r="AT140" s="259"/>
      <c r="AU140" s="329"/>
      <c r="AV140" s="407"/>
      <c r="AX140" t="s">
        <v>341</v>
      </c>
    </row>
    <row r="141" spans="1:50" ht="19.5" customHeight="1">
      <c r="A141" s="318" t="s">
        <v>130</v>
      </c>
      <c r="B141" s="277" t="s">
        <v>212</v>
      </c>
      <c r="C141" s="277"/>
      <c r="D141" s="277" t="s">
        <v>471</v>
      </c>
      <c r="E141" s="277"/>
      <c r="F141" s="259" t="s">
        <v>472</v>
      </c>
      <c r="G141" s="259"/>
      <c r="H141" s="259" t="s">
        <v>204</v>
      </c>
      <c r="I141" s="277" t="s">
        <v>473</v>
      </c>
      <c r="J141" s="277" t="s">
        <v>72</v>
      </c>
      <c r="K141" s="277"/>
      <c r="L141" s="277"/>
      <c r="M141" s="277" t="s">
        <v>206</v>
      </c>
      <c r="N141" s="277" t="s">
        <v>13</v>
      </c>
      <c r="O141" t="s">
        <v>442</v>
      </c>
      <c r="P141" s="277" t="s">
        <v>74</v>
      </c>
      <c r="Q141" s="262" t="s">
        <v>208</v>
      </c>
      <c r="R141" s="277" t="s">
        <v>144</v>
      </c>
      <c r="S141" s="259" t="s">
        <v>145</v>
      </c>
      <c r="T141" s="259" t="s">
        <v>145</v>
      </c>
      <c r="U141" s="259"/>
      <c r="V141" s="259" t="s">
        <v>146</v>
      </c>
      <c r="W141" s="259">
        <v>1</v>
      </c>
      <c r="X141" s="259">
        <v>1</v>
      </c>
      <c r="Y141" s="259">
        <f>Tabla_query__2[[#This Row],[Número
Semanas]]*5*8</f>
        <v>40</v>
      </c>
      <c r="Z141" s="387">
        <f>Tabla_query__2[[#This Row],[TOTAL]]/Tabla_query__2[[#This Row],[Número de Horas]]/2</f>
        <v>27.5</v>
      </c>
      <c r="AA141" s="259">
        <v>2</v>
      </c>
      <c r="AB141" s="259">
        <f>40*27.5</f>
        <v>1100</v>
      </c>
      <c r="AC141" s="259"/>
      <c r="AD141" s="403">
        <f>Tabla_query__2[[#This Row],[Número
Semanas]]*Tabla_query__2[[#This Row],[Número
Personas]]*Tabla_query__2[[#This Row],[Costo
Mano Obra/semana]]</f>
        <v>2200</v>
      </c>
      <c r="AE141" s="259"/>
      <c r="AF141" s="259"/>
      <c r="AG141" s="259"/>
      <c r="AH141" s="404">
        <v>45329</v>
      </c>
      <c r="AI141" s="404">
        <v>45358</v>
      </c>
      <c r="AJ141" s="451">
        <f>Tabla_query__2[[#This Row],[FinDes]]-Tabla_query__2[[#This Row],[InicioDes]]</f>
        <v>29</v>
      </c>
      <c r="AK141" s="404">
        <v>45358</v>
      </c>
      <c r="AL141" s="404">
        <v>45365</v>
      </c>
      <c r="AM141" s="405">
        <f>Tabla_query__2[[#This Row],[FinPil]]-Tabla_query__2[[#This Row],[InicioPil]]</f>
        <v>7</v>
      </c>
      <c r="AN141" s="404">
        <v>45365</v>
      </c>
      <c r="AO141" s="404">
        <v>45372</v>
      </c>
      <c r="AP141" s="384">
        <f>Tabla_query__2[[#This Row],[InicioDes]]</f>
        <v>45329</v>
      </c>
      <c r="AQ141" s="384">
        <f>Tabla_query__2[[#This Row],[FinDes2]]</f>
        <v>45372</v>
      </c>
      <c r="AR141" s="462">
        <f>Tabla_query__2[[#This Row],[Número
Semanas]]/4</f>
        <v>0.25</v>
      </c>
      <c r="AS141" s="405">
        <f>Tabla_query__2[[#This Row],[FinDes2]]-Tabla_query__2[[#This Row],[InicioDes2]]</f>
        <v>7</v>
      </c>
      <c r="AT141" s="259"/>
      <c r="AU141" s="329"/>
      <c r="AV141" s="329"/>
      <c r="AX141" t="s">
        <v>341</v>
      </c>
    </row>
    <row r="142" spans="1:50" ht="41.25" customHeight="1">
      <c r="A142" s="318" t="s">
        <v>130</v>
      </c>
      <c r="B142" s="277" t="s">
        <v>457</v>
      </c>
      <c r="C142" s="277"/>
      <c r="D142" s="262" t="s">
        <v>474</v>
      </c>
      <c r="E142" s="262"/>
      <c r="F142" s="259" t="s">
        <v>475</v>
      </c>
      <c r="G142" s="259"/>
      <c r="H142" s="259" t="s">
        <v>204</v>
      </c>
      <c r="I142" s="277" t="s">
        <v>476</v>
      </c>
      <c r="J142" s="277" t="s">
        <v>72</v>
      </c>
      <c r="K142" s="277"/>
      <c r="L142" s="277"/>
      <c r="M142" s="277" t="s">
        <v>206</v>
      </c>
      <c r="N142" s="277" t="s">
        <v>13</v>
      </c>
      <c r="O142" t="s">
        <v>442</v>
      </c>
      <c r="P142" s="277" t="s">
        <v>11</v>
      </c>
      <c r="Q142" s="262" t="s">
        <v>298</v>
      </c>
      <c r="R142" s="277" t="s">
        <v>144</v>
      </c>
      <c r="S142" s="259"/>
      <c r="T142" s="259" t="s">
        <v>221</v>
      </c>
      <c r="U142" s="259"/>
      <c r="V142" s="261" t="s">
        <v>146</v>
      </c>
      <c r="W142" s="259">
        <v>1</v>
      </c>
      <c r="X142" s="259">
        <v>5</v>
      </c>
      <c r="Y142" s="259">
        <f>Tabla_query__2[[#This Row],[Número
Semanas]]*5*8</f>
        <v>200</v>
      </c>
      <c r="Z142" s="387">
        <f>Tabla_query__2[[#This Row],[TOTAL]]/Tabla_query__2[[#This Row],[Número de Horas]]/2</f>
        <v>6.875</v>
      </c>
      <c r="AA142" s="259">
        <v>1</v>
      </c>
      <c r="AB142" s="261">
        <v>550</v>
      </c>
      <c r="AC142" s="259"/>
      <c r="AD142" s="268">
        <f>Tabla_query__2[[#This Row],[Número
Semanas]]*Tabla_query__2[[#This Row],[Número
Personas]]*Tabla_query__2[[#This Row],[Costo
Mano Obra/semana]]</f>
        <v>2750</v>
      </c>
      <c r="AE142" s="259"/>
      <c r="AF142" s="259"/>
      <c r="AG142" s="259"/>
      <c r="AH142" s="406">
        <v>45474</v>
      </c>
      <c r="AI142" s="406">
        <v>45505</v>
      </c>
      <c r="AJ142" s="451">
        <f>Tabla_query__2[[#This Row],[FinDes]]-Tabla_query__2[[#This Row],[InicioDes]]</f>
        <v>31</v>
      </c>
      <c r="AK142" s="406">
        <v>45505</v>
      </c>
      <c r="AL142" s="406">
        <v>45511</v>
      </c>
      <c r="AM142" s="405">
        <f>Tabla_query__2[[#This Row],[FinPil]]-Tabla_query__2[[#This Row],[InicioPil]]</f>
        <v>6</v>
      </c>
      <c r="AN142" s="406">
        <v>45511</v>
      </c>
      <c r="AO142" s="406">
        <v>45518</v>
      </c>
      <c r="AP142" s="384">
        <f>Tabla_query__2[[#This Row],[InicioDes]]</f>
        <v>45474</v>
      </c>
      <c r="AQ142" s="384">
        <f>Tabla_query__2[[#This Row],[FinDes2]]</f>
        <v>45518</v>
      </c>
      <c r="AR142" s="462">
        <f>Tabla_query__2[[#This Row],[Número
Semanas]]/4</f>
        <v>1.25</v>
      </c>
      <c r="AS142" s="405">
        <f>Tabla_query__2[[#This Row],[FinDes2]]-Tabla_query__2[[#This Row],[InicioDes2]]</f>
        <v>7</v>
      </c>
      <c r="AT142" s="259"/>
      <c r="AU142" s="329"/>
      <c r="AV142" s="329"/>
      <c r="AX142" t="s">
        <v>341</v>
      </c>
    </row>
    <row r="143" spans="1:50" ht="49.5" customHeight="1">
      <c r="A143" s="318" t="s">
        <v>130</v>
      </c>
      <c r="B143" s="277" t="s">
        <v>212</v>
      </c>
      <c r="C143" s="277"/>
      <c r="D143" s="277" t="s">
        <v>477</v>
      </c>
      <c r="E143" s="277"/>
      <c r="F143" s="259" t="s">
        <v>478</v>
      </c>
      <c r="G143" s="259"/>
      <c r="H143" s="259" t="s">
        <v>204</v>
      </c>
      <c r="I143" s="277" t="s">
        <v>463</v>
      </c>
      <c r="J143" s="277" t="s">
        <v>72</v>
      </c>
      <c r="K143" s="277"/>
      <c r="L143" s="277"/>
      <c r="M143" s="277" t="s">
        <v>206</v>
      </c>
      <c r="N143" s="277" t="s">
        <v>13</v>
      </c>
      <c r="O143" t="s">
        <v>442</v>
      </c>
      <c r="P143" s="277" t="s">
        <v>73</v>
      </c>
      <c r="Q143" s="262" t="s">
        <v>208</v>
      </c>
      <c r="R143" s="277" t="s">
        <v>144</v>
      </c>
      <c r="S143" s="259" t="s">
        <v>145</v>
      </c>
      <c r="T143" s="259" t="s">
        <v>221</v>
      </c>
      <c r="U143" s="259"/>
      <c r="V143" s="259" t="s">
        <v>146</v>
      </c>
      <c r="W143" s="259">
        <v>1</v>
      </c>
      <c r="X143" s="259">
        <v>3</v>
      </c>
      <c r="Y143" s="259">
        <f>Tabla_query__2[[#This Row],[Número
Semanas]]*5*8</f>
        <v>120</v>
      </c>
      <c r="Z143" s="387">
        <f>Tabla_query__2[[#This Row],[TOTAL]]/Tabla_query__2[[#This Row],[Número de Horas]]/2</f>
        <v>27.5</v>
      </c>
      <c r="AA143" s="259">
        <v>2</v>
      </c>
      <c r="AB143" s="259">
        <f>40*27.5</f>
        <v>1100</v>
      </c>
      <c r="AC143" s="259"/>
      <c r="AD143" s="403">
        <f>Tabla_query__2[[#This Row],[Número
Semanas]]*Tabla_query__2[[#This Row],[Número
Personas]]*Tabla_query__2[[#This Row],[Costo
Mano Obra/semana]]</f>
        <v>6600</v>
      </c>
      <c r="AE143" s="259"/>
      <c r="AF143" s="259"/>
      <c r="AG143" s="259"/>
      <c r="AH143" s="406"/>
      <c r="AI143" s="406"/>
      <c r="AJ143" s="451">
        <f>Tabla_query__2[[#This Row],[FinDes]]-Tabla_query__2[[#This Row],[InicioDes]]</f>
        <v>0</v>
      </c>
      <c r="AK143" s="406"/>
      <c r="AL143" s="406"/>
      <c r="AM143" s="405">
        <f>Tabla_query__2[[#This Row],[FinPil]]-Tabla_query__2[[#This Row],[InicioPil]]</f>
        <v>0</v>
      </c>
      <c r="AN143" s="406"/>
      <c r="AO143" s="406"/>
      <c r="AP143" s="384">
        <f>Tabla_query__2[[#This Row],[InicioDes]]</f>
        <v>0</v>
      </c>
      <c r="AQ143" s="384">
        <f>Tabla_query__2[[#This Row],[FinDes2]]</f>
        <v>0</v>
      </c>
      <c r="AR143" s="462">
        <f>Tabla_query__2[[#This Row],[Número
Semanas]]/4</f>
        <v>0.75</v>
      </c>
      <c r="AS143" s="405">
        <f>Tabla_query__2[[#This Row],[FinDes2]]-Tabla_query__2[[#This Row],[InicioDes2]]</f>
        <v>0</v>
      </c>
      <c r="AT143" s="259"/>
      <c r="AU143" s="329"/>
      <c r="AV143" s="329"/>
      <c r="AX143" t="s">
        <v>341</v>
      </c>
    </row>
    <row r="144" spans="1:50" ht="93.75" customHeight="1">
      <c r="A144" s="318" t="s">
        <v>130</v>
      </c>
      <c r="B144" s="277" t="s">
        <v>212</v>
      </c>
      <c r="C144" s="277"/>
      <c r="D144" s="277" t="s">
        <v>479</v>
      </c>
      <c r="E144" s="277"/>
      <c r="F144" s="259" t="s">
        <v>480</v>
      </c>
      <c r="G144" s="259"/>
      <c r="H144" s="259" t="s">
        <v>204</v>
      </c>
      <c r="I144" s="277" t="s">
        <v>481</v>
      </c>
      <c r="J144" s="277" t="s">
        <v>72</v>
      </c>
      <c r="K144" s="277"/>
      <c r="L144" s="277"/>
      <c r="M144" s="277" t="s">
        <v>206</v>
      </c>
      <c r="N144" s="277" t="s">
        <v>13</v>
      </c>
      <c r="O144" t="s">
        <v>442</v>
      </c>
      <c r="P144" s="277" t="s">
        <v>77</v>
      </c>
      <c r="Q144" s="262" t="s">
        <v>208</v>
      </c>
      <c r="R144" s="277" t="s">
        <v>144</v>
      </c>
      <c r="S144" s="259" t="s">
        <v>221</v>
      </c>
      <c r="T144" s="259" t="s">
        <v>221</v>
      </c>
      <c r="U144" s="259"/>
      <c r="V144" s="259" t="s">
        <v>146</v>
      </c>
      <c r="W144" s="259">
        <v>1</v>
      </c>
      <c r="X144" s="259">
        <v>6</v>
      </c>
      <c r="Y144" s="259">
        <f>Tabla_query__2[[#This Row],[Número
Semanas]]*5*8</f>
        <v>240</v>
      </c>
      <c r="Z144" s="387">
        <f>Tabla_query__2[[#This Row],[TOTAL]]/Tabla_query__2[[#This Row],[Número de Horas]]/2</f>
        <v>13.75</v>
      </c>
      <c r="AA144" s="259">
        <v>1</v>
      </c>
      <c r="AB144" s="259">
        <v>1100</v>
      </c>
      <c r="AC144" s="259"/>
      <c r="AD144" s="403">
        <f>Tabla_query__2[[#This Row],[Número
Semanas]]*Tabla_query__2[[#This Row],[Número
Personas]]*Tabla_query__2[[#This Row],[Costo
Mano Obra/semana]]</f>
        <v>6600</v>
      </c>
      <c r="AE144" s="259"/>
      <c r="AF144" s="259"/>
      <c r="AG144" s="259"/>
      <c r="AH144" s="404">
        <v>45389</v>
      </c>
      <c r="AI144" s="404">
        <v>45440</v>
      </c>
      <c r="AJ144" s="451">
        <f>Tabla_query__2[[#This Row],[FinDes]]-Tabla_query__2[[#This Row],[InicioDes]]</f>
        <v>51</v>
      </c>
      <c r="AK144" s="404">
        <v>45440</v>
      </c>
      <c r="AL144" s="404">
        <v>45440</v>
      </c>
      <c r="AM144" s="405">
        <f>Tabla_query__2[[#This Row],[FinPil]]-Tabla_query__2[[#This Row],[InicioPil]]</f>
        <v>0</v>
      </c>
      <c r="AN144" s="404">
        <v>45440</v>
      </c>
      <c r="AO144" s="404">
        <v>45471</v>
      </c>
      <c r="AP144" s="384">
        <f>Tabla_query__2[[#This Row],[InicioDes]]</f>
        <v>45389</v>
      </c>
      <c r="AQ144" s="384">
        <f>Tabla_query__2[[#This Row],[FinDes2]]</f>
        <v>45471</v>
      </c>
      <c r="AR144" s="462">
        <f>Tabla_query__2[[#This Row],[Número
Semanas]]/4</f>
        <v>1.5</v>
      </c>
      <c r="AS144" s="405">
        <f>Tabla_query__2[[#This Row],[FinDes2]]-Tabla_query__2[[#This Row],[InicioDes2]]</f>
        <v>31</v>
      </c>
      <c r="AT144" s="259"/>
      <c r="AU144" s="329"/>
      <c r="AV144" s="329"/>
      <c r="AX144" t="s">
        <v>341</v>
      </c>
    </row>
    <row r="145" spans="1:50" s="329" customFormat="1" ht="25.5" customHeight="1">
      <c r="A145" s="318" t="s">
        <v>130</v>
      </c>
      <c r="B145" s="277" t="s">
        <v>212</v>
      </c>
      <c r="C145" s="277"/>
      <c r="D145" s="277" t="s">
        <v>482</v>
      </c>
      <c r="E145" s="277"/>
      <c r="F145" s="259" t="s">
        <v>483</v>
      </c>
      <c r="G145" s="259"/>
      <c r="H145" s="259" t="s">
        <v>204</v>
      </c>
      <c r="I145" s="277" t="s">
        <v>463</v>
      </c>
      <c r="J145" s="277" t="s">
        <v>72</v>
      </c>
      <c r="K145" s="277"/>
      <c r="L145" s="277"/>
      <c r="M145" s="277" t="s">
        <v>206</v>
      </c>
      <c r="N145" s="277" t="s">
        <v>13</v>
      </c>
      <c r="O145" t="s">
        <v>442</v>
      </c>
      <c r="P145" s="277" t="s">
        <v>73</v>
      </c>
      <c r="Q145" s="262" t="s">
        <v>208</v>
      </c>
      <c r="R145" s="277" t="s">
        <v>144</v>
      </c>
      <c r="S145" s="259" t="s">
        <v>145</v>
      </c>
      <c r="T145" s="259" t="s">
        <v>145</v>
      </c>
      <c r="U145" s="259"/>
      <c r="V145" s="259" t="s">
        <v>146</v>
      </c>
      <c r="W145" s="259">
        <v>1</v>
      </c>
      <c r="X145" s="259">
        <v>3</v>
      </c>
      <c r="Y145" s="259">
        <f>Tabla_query__2[[#This Row],[Número
Semanas]]*5*8</f>
        <v>120</v>
      </c>
      <c r="Z145" s="387">
        <f>Tabla_query__2[[#This Row],[TOTAL]]/Tabla_query__2[[#This Row],[Número de Horas]]/2</f>
        <v>13.75</v>
      </c>
      <c r="AA145" s="259">
        <v>1</v>
      </c>
      <c r="AB145" s="259">
        <v>1100</v>
      </c>
      <c r="AC145" s="259"/>
      <c r="AD145" s="403">
        <f>Tabla_query__2[[#This Row],[Número
Semanas]]*Tabla_query__2[[#This Row],[Número
Personas]]*Tabla_query__2[[#This Row],[Costo
Mano Obra/semana]]</f>
        <v>3300</v>
      </c>
      <c r="AE145" s="259"/>
      <c r="AF145" s="259"/>
      <c r="AG145" s="259"/>
      <c r="AH145" s="404">
        <v>45329</v>
      </c>
      <c r="AI145" s="404">
        <v>45358</v>
      </c>
      <c r="AJ145" s="451">
        <f>Tabla_query__2[[#This Row],[FinDes]]-Tabla_query__2[[#This Row],[InicioDes]]</f>
        <v>29</v>
      </c>
      <c r="AK145" s="404">
        <v>45365</v>
      </c>
      <c r="AL145" s="404">
        <v>45365</v>
      </c>
      <c r="AM145" s="405">
        <f>Tabla_query__2[[#This Row],[FinPil]]-Tabla_query__2[[#This Row],[InicioPil]]</f>
        <v>0</v>
      </c>
      <c r="AN145" s="404">
        <v>45365</v>
      </c>
      <c r="AO145" s="404">
        <v>45372</v>
      </c>
      <c r="AP145" s="384">
        <f>Tabla_query__2[[#This Row],[InicioDes]]</f>
        <v>45329</v>
      </c>
      <c r="AQ145" s="384">
        <f>Tabla_query__2[[#This Row],[FinDes2]]</f>
        <v>45372</v>
      </c>
      <c r="AR145" s="462">
        <f>Tabla_query__2[[#This Row],[Número
Semanas]]/4</f>
        <v>0.75</v>
      </c>
      <c r="AS145" s="405">
        <f>Tabla_query__2[[#This Row],[FinDes2]]-Tabla_query__2[[#This Row],[InicioDes2]]</f>
        <v>7</v>
      </c>
      <c r="AT145" s="259"/>
      <c r="AX145" t="s">
        <v>341</v>
      </c>
    </row>
    <row r="146" spans="1:50" s="5" customFormat="1" ht="61.5" customHeight="1">
      <c r="A146" s="318" t="s">
        <v>130</v>
      </c>
      <c r="B146" s="277" t="s">
        <v>212</v>
      </c>
      <c r="C146" s="277"/>
      <c r="D146" s="277" t="s">
        <v>484</v>
      </c>
      <c r="E146" s="277"/>
      <c r="F146" s="259" t="s">
        <v>485</v>
      </c>
      <c r="G146" s="259"/>
      <c r="H146" s="259" t="s">
        <v>204</v>
      </c>
      <c r="I146" s="277" t="s">
        <v>463</v>
      </c>
      <c r="J146" s="277" t="s">
        <v>72</v>
      </c>
      <c r="K146" s="277"/>
      <c r="L146" s="277"/>
      <c r="M146" s="277" t="s">
        <v>206</v>
      </c>
      <c r="N146" s="277" t="s">
        <v>13</v>
      </c>
      <c r="O146" t="s">
        <v>442</v>
      </c>
      <c r="P146" s="277" t="s">
        <v>11</v>
      </c>
      <c r="Q146" s="262" t="s">
        <v>208</v>
      </c>
      <c r="R146" s="277" t="s">
        <v>144</v>
      </c>
      <c r="S146" s="259" t="s">
        <v>145</v>
      </c>
      <c r="T146" s="259" t="s">
        <v>145</v>
      </c>
      <c r="U146" s="259"/>
      <c r="V146" s="259" t="s">
        <v>146</v>
      </c>
      <c r="W146" s="259">
        <v>1</v>
      </c>
      <c r="X146" s="259">
        <v>1</v>
      </c>
      <c r="Y146" s="259">
        <f>Tabla_query__2[[#This Row],[Número
Semanas]]*5*8</f>
        <v>40</v>
      </c>
      <c r="Z146" s="387">
        <f>Tabla_query__2[[#This Row],[TOTAL]]/Tabla_query__2[[#This Row],[Número de Horas]]/2</f>
        <v>13.75</v>
      </c>
      <c r="AA146" s="259">
        <v>1</v>
      </c>
      <c r="AB146" s="259">
        <f>40*27.5</f>
        <v>1100</v>
      </c>
      <c r="AC146" s="259"/>
      <c r="AD146" s="403">
        <f>Tabla_query__2[[#This Row],[Número
Semanas]]*Tabla_query__2[[#This Row],[Número
Personas]]*Tabla_query__2[[#This Row],[Costo
Mano Obra/semana]]</f>
        <v>1100</v>
      </c>
      <c r="AE146" s="259"/>
      <c r="AF146" s="259"/>
      <c r="AG146" s="259"/>
      <c r="AH146" s="404"/>
      <c r="AI146" s="404"/>
      <c r="AJ146" s="451">
        <f>Tabla_query__2[[#This Row],[FinDes]]-Tabla_query__2[[#This Row],[InicioDes]]</f>
        <v>0</v>
      </c>
      <c r="AK146" s="404"/>
      <c r="AL146" s="404"/>
      <c r="AM146" s="405">
        <f>Tabla_query__2[[#This Row],[FinPil]]-Tabla_query__2[[#This Row],[InicioPil]]</f>
        <v>0</v>
      </c>
      <c r="AN146" s="404"/>
      <c r="AO146" s="404"/>
      <c r="AP146" s="384">
        <f>Tabla_query__2[[#This Row],[InicioDes]]</f>
        <v>0</v>
      </c>
      <c r="AQ146" s="384">
        <f>Tabla_query__2[[#This Row],[FinDes2]]</f>
        <v>0</v>
      </c>
      <c r="AR146" s="404">
        <f>Tabla_query__2[[#This Row],[Número
Semanas]]/4</f>
        <v>0.25</v>
      </c>
      <c r="AS146" s="405">
        <f>Tabla_query__2[[#This Row],[FinDes2]]-Tabla_query__2[[#This Row],[InicioDes2]]</f>
        <v>0</v>
      </c>
      <c r="AT146" s="259"/>
      <c r="AU146" s="329"/>
      <c r="AV146" s="329"/>
      <c r="AX146" t="s">
        <v>341</v>
      </c>
    </row>
    <row r="147" spans="1:50" s="407" customFormat="1" ht="61.5" customHeight="1">
      <c r="A147" s="318" t="s">
        <v>130</v>
      </c>
      <c r="B147" s="262" t="s">
        <v>457</v>
      </c>
      <c r="C147" s="262"/>
      <c r="D147" s="277" t="s">
        <v>486</v>
      </c>
      <c r="E147" s="262"/>
      <c r="F147" s="259" t="s">
        <v>487</v>
      </c>
      <c r="G147" s="259"/>
      <c r="H147" s="259" t="s">
        <v>204</v>
      </c>
      <c r="I147" s="262" t="s">
        <v>488</v>
      </c>
      <c r="J147" s="277" t="s">
        <v>72</v>
      </c>
      <c r="K147" s="277"/>
      <c r="L147" s="277"/>
      <c r="M147" s="277" t="s">
        <v>206</v>
      </c>
      <c r="N147" s="277" t="s">
        <v>13</v>
      </c>
      <c r="O147" t="s">
        <v>442</v>
      </c>
      <c r="P147" s="277" t="s">
        <v>11</v>
      </c>
      <c r="Q147" s="262" t="s">
        <v>208</v>
      </c>
      <c r="R147" s="277" t="s">
        <v>144</v>
      </c>
      <c r="S147" s="259"/>
      <c r="T147" s="261" t="s">
        <v>320</v>
      </c>
      <c r="U147" s="261"/>
      <c r="V147" s="261" t="s">
        <v>136</v>
      </c>
      <c r="W147" s="261"/>
      <c r="X147" s="261">
        <v>7</v>
      </c>
      <c r="Y147" s="261">
        <f>Tabla_query__2[[#This Row],[Número
Semanas]]*5*8</f>
        <v>280</v>
      </c>
      <c r="Z147" s="268">
        <f>Tabla_query__2[[#This Row],[TOTAL]]/Tabla_query__2[[#This Row],[Número de Horas]]/2</f>
        <v>10.446428571428571</v>
      </c>
      <c r="AA147" s="261">
        <v>1</v>
      </c>
      <c r="AB147" s="261">
        <v>550</v>
      </c>
      <c r="AC147" s="261"/>
      <c r="AD147" s="268">
        <f>Tabla_query__2[[#This Row],[Número
Semanas]]*Tabla_query__2[[#This Row],[Número
Personas]]*Tabla_query__2[[#This Row],[Costo
Mano Obra/semana]]+(40*50)</f>
        <v>5850</v>
      </c>
      <c r="AE147" s="261"/>
      <c r="AF147" s="261"/>
      <c r="AG147" s="261"/>
      <c r="AH147" s="267"/>
      <c r="AI147" s="267"/>
      <c r="AJ147" s="282" t="e">
        <f>#REF!</f>
        <v>#REF!</v>
      </c>
      <c r="AK147" s="267"/>
      <c r="AL147" s="267"/>
      <c r="AM147" s="282">
        <f>AL147+ ((AK147*7))</f>
        <v>0</v>
      </c>
      <c r="AN147" s="267"/>
      <c r="AO147" s="267"/>
      <c r="AP147" s="384">
        <f>Tabla_query__2[[#This Row],[InicioDes]]</f>
        <v>0</v>
      </c>
      <c r="AQ147" s="384">
        <f>Tabla_query__2[[#This Row],[FinDes2]]</f>
        <v>0</v>
      </c>
      <c r="AR147" s="462">
        <f>Tabla_query__2[[#This Row],[Número
Semanas]]/4</f>
        <v>1.75</v>
      </c>
      <c r="AS147" s="269">
        <f>Tabla_query__2[[#This Row],[FinDes2]]-Tabla_query__2[[#This Row],[InicioDes2]]</f>
        <v>0</v>
      </c>
      <c r="AT147" s="261"/>
      <c r="AU147"/>
      <c r="AV147"/>
      <c r="AX147" t="s">
        <v>341</v>
      </c>
    </row>
    <row r="148" spans="1:50" s="407" customFormat="1" ht="58.15">
      <c r="A148" s="318" t="s">
        <v>130</v>
      </c>
      <c r="B148" s="277" t="s">
        <v>212</v>
      </c>
      <c r="C148" s="277"/>
      <c r="D148" s="277" t="s">
        <v>489</v>
      </c>
      <c r="E148" s="277"/>
      <c r="F148" s="259" t="s">
        <v>490</v>
      </c>
      <c r="G148" s="259"/>
      <c r="H148" s="259" t="s">
        <v>204</v>
      </c>
      <c r="I148" s="277" t="s">
        <v>463</v>
      </c>
      <c r="J148" s="277" t="s">
        <v>72</v>
      </c>
      <c r="K148" s="277"/>
      <c r="L148" s="277"/>
      <c r="M148" s="277" t="s">
        <v>206</v>
      </c>
      <c r="N148" s="277" t="s">
        <v>13</v>
      </c>
      <c r="O148" t="s">
        <v>442</v>
      </c>
      <c r="P148" s="277" t="s">
        <v>11</v>
      </c>
      <c r="Q148" s="262" t="s">
        <v>208</v>
      </c>
      <c r="R148" s="277" t="s">
        <v>144</v>
      </c>
      <c r="S148" s="259" t="s">
        <v>145</v>
      </c>
      <c r="T148" s="259" t="s">
        <v>145</v>
      </c>
      <c r="U148" s="259"/>
      <c r="V148" s="259" t="s">
        <v>146</v>
      </c>
      <c r="W148" s="259">
        <v>1</v>
      </c>
      <c r="X148" s="259">
        <v>1</v>
      </c>
      <c r="Y148" s="259">
        <f>Tabla_query__2[[#This Row],[Número
Semanas]]*5*8</f>
        <v>40</v>
      </c>
      <c r="Z148" s="387">
        <f>Tabla_query__2[[#This Row],[TOTAL]]/Tabla_query__2[[#This Row],[Número de Horas]]/2</f>
        <v>13.75</v>
      </c>
      <c r="AA148" s="259">
        <v>1</v>
      </c>
      <c r="AB148" s="259">
        <f>40*27.5</f>
        <v>1100</v>
      </c>
      <c r="AC148" s="259"/>
      <c r="AD148" s="403">
        <f>Tabla_query__2[[#This Row],[Número
Semanas]]*Tabla_query__2[[#This Row],[Número
Personas]]*Tabla_query__2[[#This Row],[Costo
Mano Obra/semana]]</f>
        <v>1100</v>
      </c>
      <c r="AE148" s="259"/>
      <c r="AF148" s="259"/>
      <c r="AG148" s="259"/>
      <c r="AH148" s="404"/>
      <c r="AI148" s="404"/>
      <c r="AJ148" s="451">
        <f>Tabla_query__2[[#This Row],[FinDes]]-Tabla_query__2[[#This Row],[InicioDes]]</f>
        <v>0</v>
      </c>
      <c r="AK148" s="404"/>
      <c r="AL148" s="404"/>
      <c r="AM148" s="405">
        <f>Tabla_query__2[[#This Row],[FinPil]]-Tabla_query__2[[#This Row],[InicioPil]]</f>
        <v>0</v>
      </c>
      <c r="AN148" s="404"/>
      <c r="AO148" s="404"/>
      <c r="AP148" s="384">
        <f>Tabla_query__2[[#This Row],[InicioDes]]</f>
        <v>0</v>
      </c>
      <c r="AQ148" s="384">
        <f>Tabla_query__2[[#This Row],[FinDes2]]</f>
        <v>0</v>
      </c>
      <c r="AR148" s="462">
        <f>Tabla_query__2[[#This Row],[Número
Semanas]]/4</f>
        <v>0.25</v>
      </c>
      <c r="AS148" s="405">
        <f>Tabla_query__2[[#This Row],[FinDes2]]-Tabla_query__2[[#This Row],[InicioDes2]]</f>
        <v>0</v>
      </c>
      <c r="AT148" s="259"/>
      <c r="AU148" s="329"/>
      <c r="AV148" s="329"/>
      <c r="AX148" t="s">
        <v>341</v>
      </c>
    </row>
    <row r="149" spans="1:50" s="407" customFormat="1" ht="61.5" customHeight="1">
      <c r="A149" s="318" t="s">
        <v>130</v>
      </c>
      <c r="B149" s="262" t="s">
        <v>457</v>
      </c>
      <c r="C149" s="262"/>
      <c r="D149" s="262" t="s">
        <v>491</v>
      </c>
      <c r="E149" s="262"/>
      <c r="F149" s="422" t="s">
        <v>492</v>
      </c>
      <c r="G149" s="259"/>
      <c r="H149" s="259" t="s">
        <v>204</v>
      </c>
      <c r="I149" s="262" t="s">
        <v>493</v>
      </c>
      <c r="J149" s="262" t="s">
        <v>4</v>
      </c>
      <c r="K149" s="262"/>
      <c r="L149" s="262"/>
      <c r="M149" s="262" t="s">
        <v>206</v>
      </c>
      <c r="N149" s="262" t="s">
        <v>14</v>
      </c>
      <c r="O149" t="s">
        <v>442</v>
      </c>
      <c r="P149" s="262" t="s">
        <v>11</v>
      </c>
      <c r="Q149" s="262" t="s">
        <v>208</v>
      </c>
      <c r="R149" s="262" t="s">
        <v>144</v>
      </c>
      <c r="S149" s="533"/>
      <c r="T149" s="261" t="s">
        <v>145</v>
      </c>
      <c r="U149" s="261"/>
      <c r="V149" s="261" t="s">
        <v>146</v>
      </c>
      <c r="W149" s="261"/>
      <c r="X149" s="261">
        <v>6</v>
      </c>
      <c r="Y149" s="261">
        <f>Tabla_query__2[[#This Row],[Número
Semanas]]*5*8</f>
        <v>240</v>
      </c>
      <c r="Z149" s="268">
        <f>Tabla_query__2[[#This Row],[TOTAL]]/Tabla_query__2[[#This Row],[Número de Horas]]/2</f>
        <v>8.125</v>
      </c>
      <c r="AA149" s="261">
        <v>1</v>
      </c>
      <c r="AB149" s="261">
        <v>550</v>
      </c>
      <c r="AC149" s="261"/>
      <c r="AD149" s="268">
        <f>Tabla_query__2[[#This Row],[Número
Semanas]]*Tabla_query__2[[#This Row],[Número
Personas]]*Tabla_query__2[[#This Row],[Costo
Mano Obra/semana]] + (40*15)</f>
        <v>3900</v>
      </c>
      <c r="AE149" s="261"/>
      <c r="AF149" s="261"/>
      <c r="AG149" s="261"/>
      <c r="AH149" s="267"/>
      <c r="AI149" s="267"/>
      <c r="AJ149" s="282" t="e">
        <f>#REF!</f>
        <v>#REF!</v>
      </c>
      <c r="AK149" s="267"/>
      <c r="AL149" s="267"/>
      <c r="AM149" s="282">
        <f>AL149+ ((AK149*7))</f>
        <v>0</v>
      </c>
      <c r="AN149" s="267"/>
      <c r="AO149" s="267"/>
      <c r="AP149" s="384">
        <f>Tabla_query__2[[#This Row],[InicioDes]]</f>
        <v>0</v>
      </c>
      <c r="AQ149" s="384">
        <f>Tabla_query__2[[#This Row],[FinDes2]]</f>
        <v>0</v>
      </c>
      <c r="AR149" s="462">
        <f>Tabla_query__2[[#This Row],[Número
Semanas]]/4</f>
        <v>1.5</v>
      </c>
      <c r="AS149" s="269">
        <f>Tabla_query__2[[#This Row],[FinDes2]]-Tabla_query__2[[#This Row],[InicioDes2]]</f>
        <v>0</v>
      </c>
      <c r="AT149" s="261"/>
      <c r="AU149"/>
      <c r="AV149"/>
    </row>
    <row r="150" spans="1:50" s="407" customFormat="1" ht="61.5" customHeight="1">
      <c r="A150" s="318" t="s">
        <v>130</v>
      </c>
      <c r="B150" s="262" t="s">
        <v>218</v>
      </c>
      <c r="C150" s="262"/>
      <c r="D150" s="262" t="s">
        <v>494</v>
      </c>
      <c r="E150" s="262"/>
      <c r="F150" s="259" t="s">
        <v>495</v>
      </c>
      <c r="G150" s="259"/>
      <c r="H150" s="259" t="s">
        <v>204</v>
      </c>
      <c r="I150" s="262" t="s">
        <v>445</v>
      </c>
      <c r="J150" s="262" t="s">
        <v>4</v>
      </c>
      <c r="K150" s="262"/>
      <c r="L150" s="262"/>
      <c r="M150" s="262" t="s">
        <v>206</v>
      </c>
      <c r="N150" s="262" t="s">
        <v>14</v>
      </c>
      <c r="O150" s="730" t="s">
        <v>442</v>
      </c>
      <c r="P150" s="262" t="s">
        <v>11</v>
      </c>
      <c r="Q150" s="262" t="s">
        <v>208</v>
      </c>
      <c r="R150" s="262" t="s">
        <v>144</v>
      </c>
      <c r="S150" s="261" t="s">
        <v>136</v>
      </c>
      <c r="T150" s="261" t="s">
        <v>145</v>
      </c>
      <c r="U150" s="261"/>
      <c r="V150" s="261" t="s">
        <v>146</v>
      </c>
      <c r="W150" s="261"/>
      <c r="X150" s="261">
        <v>4</v>
      </c>
      <c r="Y150" s="261">
        <f>Tabla_query__2[[#This Row],[Número
Semanas]]*5*8</f>
        <v>160</v>
      </c>
      <c r="Z150" s="268">
        <f>Tabla_query__2[[#This Row],[TOTAL]]/Tabla_query__2[[#This Row],[Número de Horas]]/2</f>
        <v>13.25</v>
      </c>
      <c r="AA150" s="261">
        <v>2</v>
      </c>
      <c r="AB150" s="261">
        <v>450</v>
      </c>
      <c r="AC150" s="261"/>
      <c r="AD150" s="268">
        <f>Tabla_query__2[[#This Row],[Número
Semanas]]*Tabla_query__2[[#This Row],[Número
Personas]]*Tabla_query__2[[#This Row],[Costo
Mano Obra/semana]] + 640</f>
        <v>4240</v>
      </c>
      <c r="AE150" s="261"/>
      <c r="AF150" s="261"/>
      <c r="AG150" s="547" t="s">
        <v>154</v>
      </c>
      <c r="AH150" s="267">
        <v>45439</v>
      </c>
      <c r="AI150" s="267"/>
      <c r="AJ150" s="282" t="e">
        <f>#REF!</f>
        <v>#REF!</v>
      </c>
      <c r="AK150" s="267"/>
      <c r="AL150" s="267"/>
      <c r="AM150" s="282">
        <f>AL150+ ((AK150*7))</f>
        <v>0</v>
      </c>
      <c r="AN150" s="267">
        <v>45468</v>
      </c>
      <c r="AO150" s="267">
        <v>45468</v>
      </c>
      <c r="AP150" s="384">
        <f>Tabla_query__2[[#This Row],[InicioDes]]</f>
        <v>45439</v>
      </c>
      <c r="AQ150" s="384">
        <f>Tabla_query__2[[#This Row],[FinDes2]]</f>
        <v>45468</v>
      </c>
      <c r="AR150" s="462">
        <f>Tabla_query__2[[#This Row],[Número
Semanas]]/4</f>
        <v>1</v>
      </c>
      <c r="AS150" s="269">
        <f>Tabla_query__2[[#This Row],[FinDes2]]-Tabla_query__2[[#This Row],[InicioDes2]]</f>
        <v>0</v>
      </c>
      <c r="AT150" s="261"/>
      <c r="AU150"/>
      <c r="AV150"/>
    </row>
    <row r="151" spans="1:50" s="407" customFormat="1" ht="61.5" customHeight="1">
      <c r="A151" s="318" t="s">
        <v>130</v>
      </c>
      <c r="B151" s="262" t="s">
        <v>218</v>
      </c>
      <c r="C151" s="262"/>
      <c r="D151" s="277" t="s">
        <v>496</v>
      </c>
      <c r="E151" s="262"/>
      <c r="F151" s="259" t="s">
        <v>497</v>
      </c>
      <c r="G151" s="259"/>
      <c r="H151" s="259" t="s">
        <v>204</v>
      </c>
      <c r="I151" s="262" t="s">
        <v>445</v>
      </c>
      <c r="J151" s="262" t="s">
        <v>4</v>
      </c>
      <c r="K151" s="262"/>
      <c r="L151" s="262"/>
      <c r="M151" s="262" t="s">
        <v>206</v>
      </c>
      <c r="N151" s="262" t="s">
        <v>14</v>
      </c>
      <c r="O151" s="730" t="s">
        <v>442</v>
      </c>
      <c r="P151" s="262" t="s">
        <v>11</v>
      </c>
      <c r="Q151" s="262" t="s">
        <v>208</v>
      </c>
      <c r="R151" s="262" t="s">
        <v>144</v>
      </c>
      <c r="S151" s="261" t="s">
        <v>146</v>
      </c>
      <c r="T151" s="261" t="s">
        <v>221</v>
      </c>
      <c r="U151" s="261"/>
      <c r="V151" s="261" t="s">
        <v>136</v>
      </c>
      <c r="W151" s="261"/>
      <c r="X151" s="261">
        <v>5</v>
      </c>
      <c r="Y151" s="261">
        <f>Tabla_query__2[[#This Row],[Número
Semanas]]*5*8</f>
        <v>200</v>
      </c>
      <c r="Z151" s="268">
        <f>Tabla_query__2[[#This Row],[TOTAL]]/Tabla_query__2[[#This Row],[Número de Horas]]/2</f>
        <v>12.85</v>
      </c>
      <c r="AA151" s="261">
        <v>2</v>
      </c>
      <c r="AB151" s="261">
        <v>450</v>
      </c>
      <c r="AC151" s="261"/>
      <c r="AD151" s="268">
        <f>Tabla_query__2[[#This Row],[Número
Semanas]]*Tabla_query__2[[#This Row],[Número
Personas]]*Tabla_query__2[[#This Row],[Costo
Mano Obra/semana]] + 640</f>
        <v>5140</v>
      </c>
      <c r="AE151" s="261"/>
      <c r="AF151" s="261"/>
      <c r="AG151" s="261"/>
      <c r="AH151" s="267">
        <v>45474</v>
      </c>
      <c r="AI151" s="267">
        <v>45506</v>
      </c>
      <c r="AJ151" s="282" t="e">
        <f>#REF!</f>
        <v>#REF!</v>
      </c>
      <c r="AK151" s="267">
        <v>45510</v>
      </c>
      <c r="AL151" s="267">
        <v>45517</v>
      </c>
      <c r="AM151" s="282">
        <f>AL151+ ((AK151*7))</f>
        <v>364087</v>
      </c>
      <c r="AN151" s="261"/>
      <c r="AO151" s="261"/>
      <c r="AP151" s="384">
        <f>Tabla_query__2[[#This Row],[InicioDes]]</f>
        <v>45474</v>
      </c>
      <c r="AQ151" s="384">
        <f>Tabla_query__2[[#This Row],[FinDes2]]</f>
        <v>0</v>
      </c>
      <c r="AR151" s="462">
        <f>Tabla_query__2[[#This Row],[Número
Semanas]]/4</f>
        <v>1.25</v>
      </c>
      <c r="AS151" s="269">
        <f>Tabla_query__2[[#This Row],[FinDes2]]-Tabla_query__2[[#This Row],[InicioDes2]]</f>
        <v>0</v>
      </c>
      <c r="AT151" s="261"/>
      <c r="AU151"/>
      <c r="AV151"/>
    </row>
    <row r="152" spans="1:50" s="407" customFormat="1" ht="61.5" customHeight="1">
      <c r="A152" s="318" t="s">
        <v>130</v>
      </c>
      <c r="B152" s="262" t="s">
        <v>134</v>
      </c>
      <c r="C152" s="262"/>
      <c r="D152" s="262" t="s">
        <v>498</v>
      </c>
      <c r="E152" s="262" t="s">
        <v>203</v>
      </c>
      <c r="F152" s="408" t="s">
        <v>499</v>
      </c>
      <c r="G152" s="259"/>
      <c r="H152" s="259" t="s">
        <v>204</v>
      </c>
      <c r="I152" s="262" t="s">
        <v>500</v>
      </c>
      <c r="J152" s="262" t="s">
        <v>53</v>
      </c>
      <c r="K152" s="262"/>
      <c r="L152" s="262"/>
      <c r="M152" s="262" t="s">
        <v>206</v>
      </c>
      <c r="N152" s="262" t="s">
        <v>63</v>
      </c>
      <c r="O152" t="s">
        <v>501</v>
      </c>
      <c r="P152" s="262" t="s">
        <v>61</v>
      </c>
      <c r="Q152" s="262" t="s">
        <v>208</v>
      </c>
      <c r="R152" s="262" t="s">
        <v>144</v>
      </c>
      <c r="S152" s="547"/>
      <c r="T152" s="261" t="str">
        <f>IF(MONTH(AH152)&lt;4, "Q1",IF(AND(MONTH(AH152)&gt;3,MONTH(AH152)&lt;=6),"Q2",IF(AND(MONTH(AH152)&gt;6,MONTH(AH152)&lt;=9),"Q3","Q4")))</f>
        <v>Q2</v>
      </c>
      <c r="U152" s="261"/>
      <c r="V152" s="261" t="s">
        <v>146</v>
      </c>
      <c r="W152" s="261"/>
      <c r="X152" s="261">
        <v>6</v>
      </c>
      <c r="Y152" s="261">
        <f>Tabla_query__2[[#This Row],[Número
Semanas]]*5*8</f>
        <v>240</v>
      </c>
      <c r="Z152" s="268">
        <f>Tabla_query__2[[#This Row],[TOTAL]]/Tabla_query__2[[#This Row],[Número de Horas]]/2</f>
        <v>8.0833333333333339</v>
      </c>
      <c r="AA152" s="261">
        <v>1</v>
      </c>
      <c r="AB152" s="261">
        <v>550</v>
      </c>
      <c r="AC152" s="261"/>
      <c r="AD152" s="388">
        <f>Tabla_query__2[[#This Row],[Número
Semanas]]*Tabla_query__2[[#This Row],[Número
Personas]]*Tabla_query__2[[#This Row],[Costo
Mano Obra/semana]]+580</f>
        <v>3880</v>
      </c>
      <c r="AE152" s="261"/>
      <c r="AF152" s="261"/>
      <c r="AG152" s="547" t="s">
        <v>154</v>
      </c>
      <c r="AH152" s="384">
        <v>45446</v>
      </c>
      <c r="AI152" s="384">
        <v>45488</v>
      </c>
      <c r="AJ152" s="282" t="e">
        <f>#REF!</f>
        <v>#REF!</v>
      </c>
      <c r="AK152" s="384">
        <v>45489</v>
      </c>
      <c r="AL152" s="384">
        <v>45503</v>
      </c>
      <c r="AM152" s="282"/>
      <c r="AN152" s="384">
        <v>45504</v>
      </c>
      <c r="AO152" s="384">
        <v>45518</v>
      </c>
      <c r="AP152" s="384">
        <f>Tabla_query__2[[#This Row],[InicioDes]]</f>
        <v>45446</v>
      </c>
      <c r="AQ152" s="384">
        <f>Tabla_query__2[[#This Row],[FinDes2]]</f>
        <v>45518</v>
      </c>
      <c r="AR152" s="462">
        <f>Tabla_query__2[[#This Row],[Número
Semanas]]/4</f>
        <v>1.5</v>
      </c>
      <c r="AS152" s="269">
        <f>Tabla_query__2[[#This Row],[FinDes2]]-Tabla_query__2[[#This Row],[InicioDes2]]</f>
        <v>14</v>
      </c>
      <c r="AT152" s="261"/>
      <c r="AU152"/>
      <c r="AV152"/>
    </row>
    <row r="153" spans="1:50" s="407" customFormat="1" ht="61.5" customHeight="1">
      <c r="A153" s="318">
        <v>2024</v>
      </c>
      <c r="B153" s="262" t="s">
        <v>212</v>
      </c>
      <c r="C153" s="262"/>
      <c r="D153" s="262" t="s">
        <v>502</v>
      </c>
      <c r="E153" s="262"/>
      <c r="F153" s="259" t="s">
        <v>503</v>
      </c>
      <c r="G153" s="259"/>
      <c r="H153" s="259" t="s">
        <v>204</v>
      </c>
      <c r="I153" s="277" t="s">
        <v>233</v>
      </c>
      <c r="J153" s="277" t="s">
        <v>4</v>
      </c>
      <c r="K153" s="277"/>
      <c r="L153" s="277"/>
      <c r="M153" s="262" t="s">
        <v>206</v>
      </c>
      <c r="N153" s="262" t="s">
        <v>504</v>
      </c>
      <c r="O153" t="s">
        <v>505</v>
      </c>
      <c r="P153" s="262" t="s">
        <v>139</v>
      </c>
      <c r="Q153" s="262" t="s">
        <v>143</v>
      </c>
      <c r="R153" s="262" t="s">
        <v>144</v>
      </c>
      <c r="S153" s="261" t="s">
        <v>221</v>
      </c>
      <c r="T153" s="261" t="s">
        <v>221</v>
      </c>
      <c r="U153" s="261"/>
      <c r="V153" s="261" t="s">
        <v>146</v>
      </c>
      <c r="W153" s="259">
        <v>0.8</v>
      </c>
      <c r="X153" s="261">
        <v>4</v>
      </c>
      <c r="Y153" s="261">
        <f>Tabla_query__2[[#This Row],[Número
Semanas]]*5*8</f>
        <v>160</v>
      </c>
      <c r="Z153" s="268">
        <f>Tabla_query__2[[#This Row],[TOTAL]]/Tabla_query__2[[#This Row],[Número de Horas]]/2</f>
        <v>22.9375</v>
      </c>
      <c r="AA153" s="261">
        <v>1</v>
      </c>
      <c r="AB153" s="261">
        <f>40*40</f>
        <v>1600</v>
      </c>
      <c r="AC153" s="261"/>
      <c r="AD153" s="387">
        <f>((X153*AA153*AB153)+AC153)*W153+2220</f>
        <v>7340</v>
      </c>
      <c r="AE153" s="261"/>
      <c r="AF153" s="267"/>
      <c r="AG153" s="267"/>
      <c r="AH153" s="267"/>
      <c r="AI153" s="269"/>
      <c r="AJ153" s="451">
        <f>Tabla_query__2[[#This Row],[FinDes]]-Tabla_query__2[[#This Row],[InicioDes]]</f>
        <v>0</v>
      </c>
      <c r="AK153" s="267"/>
      <c r="AL153" s="269"/>
      <c r="AM153" s="282">
        <f>AL153+ ((AK153*7))</f>
        <v>0</v>
      </c>
      <c r="AN153" s="267"/>
      <c r="AO153" s="269"/>
      <c r="AP153" s="384">
        <f>Tabla_query__2[[#This Row],[InicioDes]]</f>
        <v>0</v>
      </c>
      <c r="AQ153" s="384">
        <f>Tabla_query__2[[#This Row],[FinDes2]]</f>
        <v>0</v>
      </c>
      <c r="AR153" s="269">
        <f>Tabla_query__2[[#This Row],[Número
Semanas]]/4</f>
        <v>1</v>
      </c>
      <c r="AS153" s="269">
        <f>Tabla_query__2[[#This Row],[FinDes2]]-Tabla_query__2[[#This Row],[InicioDes2]]</f>
        <v>0</v>
      </c>
      <c r="AT153" s="261"/>
      <c r="AU153"/>
      <c r="AV153"/>
    </row>
    <row r="154" spans="1:50" s="407" customFormat="1" ht="33.75" customHeight="1">
      <c r="A154" s="318" t="s">
        <v>130</v>
      </c>
      <c r="B154" s="262" t="s">
        <v>131</v>
      </c>
      <c r="C154" s="262" t="s">
        <v>149</v>
      </c>
      <c r="D154" s="262" t="s">
        <v>150</v>
      </c>
      <c r="E154" s="262" t="s">
        <v>134</v>
      </c>
      <c r="F154" s="259" t="s">
        <v>151</v>
      </c>
      <c r="G154" s="259" t="s">
        <v>136</v>
      </c>
      <c r="H154" s="259" t="s">
        <v>137</v>
      </c>
      <c r="I154" s="262" t="s">
        <v>138</v>
      </c>
      <c r="J154" s="262" t="s">
        <v>139</v>
      </c>
      <c r="K154" s="262"/>
      <c r="L154" s="262"/>
      <c r="M154" s="266" t="s">
        <v>206</v>
      </c>
      <c r="N154" s="262" t="s">
        <v>504</v>
      </c>
      <c r="O154" t="s">
        <v>505</v>
      </c>
      <c r="P154" s="262" t="s">
        <v>139</v>
      </c>
      <c r="Q154" s="262" t="s">
        <v>143</v>
      </c>
      <c r="R154" s="262" t="s">
        <v>144</v>
      </c>
      <c r="S154" s="261"/>
      <c r="T154" s="584" t="s">
        <v>152</v>
      </c>
      <c r="U154" s="261" t="s">
        <v>153</v>
      </c>
      <c r="V154" s="261" t="s">
        <v>136</v>
      </c>
      <c r="W154" s="261">
        <v>1</v>
      </c>
      <c r="X154" s="261">
        <v>6</v>
      </c>
      <c r="Y154" s="261">
        <f>Tabla_query__2[[#This Row],[Número
Semanas]]*5*8</f>
        <v>240</v>
      </c>
      <c r="Z154" s="268">
        <f>Tabla_query__2[[#This Row],[TOTAL]]/Tabla_query__2[[#This Row],[Número de Horas]]/2</f>
        <v>8.2083333333333339</v>
      </c>
      <c r="AA154" s="261">
        <v>1</v>
      </c>
      <c r="AB154" s="261">
        <v>550</v>
      </c>
      <c r="AC154" s="261"/>
      <c r="AD154" s="387">
        <f>(Tabla_query__2[[#This Row],[Número
Semanas]]*Tabla_query__2[[#This Row],[Número
Personas]]*Tabla_query__2[[#This Row],[Costo
Mano Obra/semana]]+640)*Tabla_query__2[[#This Row],[Factor País]]</f>
        <v>3940</v>
      </c>
      <c r="AE154" s="261"/>
      <c r="AF154" s="261"/>
      <c r="AG154" s="261" t="s">
        <v>154</v>
      </c>
      <c r="AH154" s="464">
        <v>45355</v>
      </c>
      <c r="AI154" s="464">
        <v>45383</v>
      </c>
      <c r="AJ154" s="462">
        <f>Tabla_query__2[[#This Row],[FinDes]]-Tabla_query__2[[#This Row],[InicioDes]]</f>
        <v>28</v>
      </c>
      <c r="AK154" s="464">
        <v>45383</v>
      </c>
      <c r="AL154" s="464">
        <v>45390</v>
      </c>
      <c r="AM154" s="462">
        <f>AL154+ ((AK154*7))</f>
        <v>363071</v>
      </c>
      <c r="AN154" s="464">
        <v>45390</v>
      </c>
      <c r="AO154" s="464">
        <v>45397</v>
      </c>
      <c r="AP154" s="281">
        <v>45444</v>
      </c>
      <c r="AQ154" s="281">
        <f>Tabla_query__2[[#This Row],[Inicio Real]]+(Tabla_query__2[[#This Row],[Número
Semanas]]*7)</f>
        <v>45486</v>
      </c>
      <c r="AR154" s="462">
        <f>Tabla_query__2[[#This Row],[Número
Semanas]]/4</f>
        <v>1.5</v>
      </c>
      <c r="AS154" s="587">
        <f>Tabla_query__2[[#This Row],[FinDes2]]-Tabla_query__2[[#This Row],[InicioDes2]]</f>
        <v>7</v>
      </c>
      <c r="AT154" s="261" t="s">
        <v>155</v>
      </c>
      <c r="AU154"/>
      <c r="AV154"/>
    </row>
    <row r="155" spans="1:50" s="407" customFormat="1" ht="61.5" customHeight="1">
      <c r="A155" s="318" t="s">
        <v>130</v>
      </c>
      <c r="B155" s="262" t="s">
        <v>131</v>
      </c>
      <c r="C155" s="262" t="s">
        <v>149</v>
      </c>
      <c r="D155" s="262" t="s">
        <v>156</v>
      </c>
      <c r="E155" s="262" t="s">
        <v>134</v>
      </c>
      <c r="F155" s="259" t="s">
        <v>157</v>
      </c>
      <c r="G155" s="259" t="s">
        <v>136</v>
      </c>
      <c r="H155" s="259" t="s">
        <v>137</v>
      </c>
      <c r="I155" s="262" t="s">
        <v>138</v>
      </c>
      <c r="J155" s="262" t="s">
        <v>139</v>
      </c>
      <c r="K155" s="262"/>
      <c r="L155" s="262"/>
      <c r="M155" s="266" t="s">
        <v>206</v>
      </c>
      <c r="N155" s="262" t="s">
        <v>504</v>
      </c>
      <c r="O155" t="s">
        <v>505</v>
      </c>
      <c r="P155" s="262" t="s">
        <v>139</v>
      </c>
      <c r="Q155" s="262" t="s">
        <v>143</v>
      </c>
      <c r="R155" s="262" t="s">
        <v>144</v>
      </c>
      <c r="S155" s="261"/>
      <c r="T155" s="584" t="s">
        <v>152</v>
      </c>
      <c r="U155" s="261" t="s">
        <v>158</v>
      </c>
      <c r="V155" s="261" t="s">
        <v>136</v>
      </c>
      <c r="W155" s="261">
        <v>1</v>
      </c>
      <c r="X155" s="261">
        <v>6</v>
      </c>
      <c r="Y155" s="261">
        <f>Tabla_query__2[[#This Row],[Número
Semanas]]*5*8</f>
        <v>240</v>
      </c>
      <c r="Z155" s="268">
        <f>Tabla_query__2[[#This Row],[TOTAL]]/Tabla_query__2[[#This Row],[Número de Horas]]/2</f>
        <v>8.2083333333333339</v>
      </c>
      <c r="AA155" s="261">
        <v>1</v>
      </c>
      <c r="AB155" s="261">
        <v>550</v>
      </c>
      <c r="AC155" s="261"/>
      <c r="AD155" s="387">
        <f>(Tabla_query__2[[#This Row],[Número
Semanas]]*Tabla_query__2[[#This Row],[Número
Personas]]*Tabla_query__2[[#This Row],[Costo
Mano Obra/semana]]+640)*Tabla_query__2[[#This Row],[Factor País]]</f>
        <v>3940</v>
      </c>
      <c r="AE155" s="261"/>
      <c r="AF155" s="261"/>
      <c r="AG155" s="291" t="s">
        <v>154</v>
      </c>
      <c r="AH155" s="281">
        <v>45355</v>
      </c>
      <c r="AI155" s="281">
        <v>45369</v>
      </c>
      <c r="AJ155" s="281">
        <f>Tabla_query__2[[#This Row],[FinDes]]-Tabla_query__2[[#This Row],[InicioDes]]</f>
        <v>14</v>
      </c>
      <c r="AK155" s="281">
        <v>45369</v>
      </c>
      <c r="AL155" s="281">
        <v>45376</v>
      </c>
      <c r="AM155" s="281">
        <f>AL155+ ((AK155*7))</f>
        <v>362959</v>
      </c>
      <c r="AN155" s="281">
        <v>45376</v>
      </c>
      <c r="AO155" s="281">
        <v>45383</v>
      </c>
      <c r="AP155" s="281">
        <v>45413</v>
      </c>
      <c r="AQ155" s="281">
        <f>Tabla_query__2[[#This Row],[Inicio Real]]+(Tabla_query__2[[#This Row],[Número
Semanas]]*7)</f>
        <v>45455</v>
      </c>
      <c r="AR155" s="462">
        <f>Tabla_query__2[[#This Row],[Número
Semanas]]/4</f>
        <v>1.5</v>
      </c>
      <c r="AS155" s="587">
        <f>Tabla_query__2[[#This Row],[FinDes2]]-Tabla_query__2[[#This Row],[InicioDes2]]</f>
        <v>7</v>
      </c>
      <c r="AT155" s="261" t="s">
        <v>155</v>
      </c>
      <c r="AU155"/>
      <c r="AV155"/>
    </row>
    <row r="156" spans="1:50" s="407" customFormat="1" ht="3.75" customHeight="1">
      <c r="A156" s="318" t="s">
        <v>130</v>
      </c>
      <c r="B156" s="262" t="s">
        <v>131</v>
      </c>
      <c r="C156" s="262" t="s">
        <v>170</v>
      </c>
      <c r="D156" s="277" t="s">
        <v>506</v>
      </c>
      <c r="E156" s="262" t="s">
        <v>172</v>
      </c>
      <c r="F156" s="262" t="s">
        <v>507</v>
      </c>
      <c r="G156" s="262" t="s">
        <v>136</v>
      </c>
      <c r="H156" s="262" t="s">
        <v>137</v>
      </c>
      <c r="I156" s="262" t="s">
        <v>508</v>
      </c>
      <c r="J156" s="262" t="s">
        <v>139</v>
      </c>
      <c r="K156" s="262"/>
      <c r="L156" s="262"/>
      <c r="M156" s="266" t="s">
        <v>206</v>
      </c>
      <c r="N156" s="262" t="s">
        <v>504</v>
      </c>
      <c r="O156" t="s">
        <v>505</v>
      </c>
      <c r="P156" s="262" t="s">
        <v>139</v>
      </c>
      <c r="Q156" s="262" t="s">
        <v>143</v>
      </c>
      <c r="R156" s="262" t="s">
        <v>179</v>
      </c>
      <c r="S156" s="261"/>
      <c r="T156" s="584" t="s">
        <v>221</v>
      </c>
      <c r="U156" s="261" t="s">
        <v>509</v>
      </c>
      <c r="V156" s="261" t="s">
        <v>146</v>
      </c>
      <c r="W156" s="261">
        <v>0.28999999999999998</v>
      </c>
      <c r="X156" s="261">
        <v>1</v>
      </c>
      <c r="Y156" s="261">
        <f>Tabla_query__2[[#This Row],[Número
Semanas]]*5*8</f>
        <v>40</v>
      </c>
      <c r="Z156" s="268">
        <f>Tabla_query__2[[#This Row],[TOTAL]]/Tabla_query__2[[#This Row],[Número de Horas]]/2</f>
        <v>369.99649999999997</v>
      </c>
      <c r="AA156" s="261">
        <v>1</v>
      </c>
      <c r="AB156" s="261">
        <v>101428</v>
      </c>
      <c r="AC156" s="261"/>
      <c r="AD156" s="387">
        <f>(Tabla_query__2[[#This Row],[Número
Semanas]]*Tabla_query__2[[#This Row],[Número
Personas]]*Tabla_query__2[[#This Row],[Costo
Mano Obra/semana]]+640)*Tabla_query__2[[#This Row],[Factor País]]</f>
        <v>29599.719999999998</v>
      </c>
      <c r="AE156" s="261"/>
      <c r="AF156" s="261"/>
      <c r="AG156" s="547" t="s">
        <v>211</v>
      </c>
      <c r="AH156" s="281">
        <v>45376</v>
      </c>
      <c r="AI156" s="281"/>
      <c r="AJ156" s="281">
        <f>Tabla_query__2[[#This Row],[FinDes]]-Tabla_query__2[[#This Row],[InicioDes]]</f>
        <v>-45376</v>
      </c>
      <c r="AK156" s="281"/>
      <c r="AL156" s="281"/>
      <c r="AM156" s="281">
        <f>AL156+ ((AK156*7))</f>
        <v>0</v>
      </c>
      <c r="AN156" s="281"/>
      <c r="AO156" s="281">
        <v>45516</v>
      </c>
      <c r="AP156" s="281">
        <v>45376</v>
      </c>
      <c r="AQ156" s="281">
        <f>Tabla_query__2[[#This Row],[Inicio Real]]+(20*7)</f>
        <v>45516</v>
      </c>
      <c r="AR156" s="462">
        <f>20/4</f>
        <v>5</v>
      </c>
      <c r="AS156" s="587">
        <f>Tabla_query__2[[#This Row],[FinDes2]]-Tabla_query__2[[#This Row],[InicioDes2]]</f>
        <v>45516</v>
      </c>
      <c r="AT156" s="261" t="s">
        <v>155</v>
      </c>
      <c r="AU156"/>
      <c r="AV156"/>
    </row>
    <row r="157" spans="1:50" s="329" customFormat="1" ht="42.75" customHeight="1">
      <c r="A157" s="318" t="s">
        <v>130</v>
      </c>
      <c r="B157" s="262" t="s">
        <v>131</v>
      </c>
      <c r="C157" s="262" t="s">
        <v>192</v>
      </c>
      <c r="D157" s="262" t="s">
        <v>193</v>
      </c>
      <c r="E157" s="262" t="s">
        <v>164</v>
      </c>
      <c r="F157" s="259"/>
      <c r="G157" s="259" t="s">
        <v>136</v>
      </c>
      <c r="H157" s="259" t="s">
        <v>137</v>
      </c>
      <c r="I157" s="262" t="s">
        <v>138</v>
      </c>
      <c r="J157" s="262" t="s">
        <v>139</v>
      </c>
      <c r="K157" s="262"/>
      <c r="L157" s="262"/>
      <c r="M157" s="266" t="s">
        <v>206</v>
      </c>
      <c r="N157" s="262" t="s">
        <v>504</v>
      </c>
      <c r="O157" t="s">
        <v>505</v>
      </c>
      <c r="P157" s="262" t="s">
        <v>139</v>
      </c>
      <c r="Q157" s="262" t="s">
        <v>143</v>
      </c>
      <c r="R157" s="262" t="s">
        <v>179</v>
      </c>
      <c r="S157" s="261"/>
      <c r="T157" s="584" t="s">
        <v>152</v>
      </c>
      <c r="U157" s="261" t="s">
        <v>194</v>
      </c>
      <c r="V157" s="261" t="s">
        <v>136</v>
      </c>
      <c r="W157" s="261">
        <v>1</v>
      </c>
      <c r="X157" s="261">
        <v>3</v>
      </c>
      <c r="Y157" s="261">
        <f>Tabla_query__2[[#This Row],[Número
Semanas]]*5*8</f>
        <v>120</v>
      </c>
      <c r="Z157" s="268">
        <f>Tabla_query__2[[#This Row],[TOTAL]]/Tabla_query__2[[#This Row],[Número de Horas]]/2</f>
        <v>9.5416666666666661</v>
      </c>
      <c r="AA157" s="261">
        <v>1</v>
      </c>
      <c r="AB157" s="261">
        <v>550</v>
      </c>
      <c r="AC157" s="261"/>
      <c r="AD157" s="387">
        <f>(Tabla_query__2[[#This Row],[Número
Semanas]]*Tabla_query__2[[#This Row],[Número
Personas]]*Tabla_query__2[[#This Row],[Costo
Mano Obra/semana]]+640)*Tabla_query__2[[#This Row],[Factor País]]</f>
        <v>2290</v>
      </c>
      <c r="AE157" s="261"/>
      <c r="AF157" s="261"/>
      <c r="AG157" s="591" t="s">
        <v>154</v>
      </c>
      <c r="AH157" s="464">
        <v>45327</v>
      </c>
      <c r="AI157" s="464">
        <v>45327</v>
      </c>
      <c r="AJ157" s="462">
        <f>Tabla_query__2[[#This Row],[FinDes]]-Tabla_query__2[[#This Row],[InicioDes]]</f>
        <v>0</v>
      </c>
      <c r="AK157" s="464">
        <v>45327</v>
      </c>
      <c r="AL157" s="464">
        <v>45341</v>
      </c>
      <c r="AM157" s="462">
        <f>AL157+ ((AK157*7))</f>
        <v>362630</v>
      </c>
      <c r="AN157" s="464">
        <v>45341</v>
      </c>
      <c r="AO157" s="464">
        <v>45348</v>
      </c>
      <c r="AP157" s="281">
        <v>45413</v>
      </c>
      <c r="AQ157" s="281">
        <f>Tabla_query__2[[#This Row],[Inicio Real]]+(Tabla_query__2[[#This Row],[Número
Semanas]]*7)</f>
        <v>45434</v>
      </c>
      <c r="AR157" s="462">
        <f>Tabla_query__2[[#This Row],[Número
Semanas]]/4</f>
        <v>0.75</v>
      </c>
      <c r="AS157" s="587">
        <f>Tabla_query__2[[#This Row],[FinDes2]]-Tabla_query__2[[#This Row],[InicioDes2]]</f>
        <v>7</v>
      </c>
      <c r="AT157" s="261" t="s">
        <v>155</v>
      </c>
      <c r="AU157"/>
      <c r="AV157"/>
    </row>
    <row r="158" spans="1:50" s="329" customFormat="1" ht="129" customHeight="1">
      <c r="A158" s="318" t="s">
        <v>130</v>
      </c>
      <c r="B158" s="277" t="s">
        <v>212</v>
      </c>
      <c r="C158" s="277"/>
      <c r="D158" s="262" t="s">
        <v>510</v>
      </c>
      <c r="E158" s="262"/>
      <c r="F158" s="259" t="s">
        <v>511</v>
      </c>
      <c r="G158" s="259"/>
      <c r="H158" s="259"/>
      <c r="I158" s="277" t="s">
        <v>512</v>
      </c>
      <c r="J158" s="262" t="s">
        <v>139</v>
      </c>
      <c r="K158" s="262"/>
      <c r="L158" s="262"/>
      <c r="M158" s="277" t="s">
        <v>206</v>
      </c>
      <c r="N158" s="493" t="s">
        <v>504</v>
      </c>
      <c r="O158" t="s">
        <v>505</v>
      </c>
      <c r="P158" s="277" t="s">
        <v>139</v>
      </c>
      <c r="Q158" s="262" t="s">
        <v>208</v>
      </c>
      <c r="R158" s="277" t="s">
        <v>197</v>
      </c>
      <c r="S158" s="259" t="s">
        <v>145</v>
      </c>
      <c r="T158" s="259" t="s">
        <v>221</v>
      </c>
      <c r="U158" s="259"/>
      <c r="V158" s="261" t="s">
        <v>136</v>
      </c>
      <c r="W158" s="259">
        <v>0.8</v>
      </c>
      <c r="X158" s="259">
        <v>12</v>
      </c>
      <c r="Y158" s="259">
        <f>Tabla_query__2[[#This Row],[Número
Semanas]]*5*8</f>
        <v>480</v>
      </c>
      <c r="Z158" s="387">
        <f>Tabla_query__2[[#This Row],[TOTAL]]/Tabla_query__2[[#This Row],[Número de Horas]]/2</f>
        <v>122.1</v>
      </c>
      <c r="AA158" s="259">
        <v>10</v>
      </c>
      <c r="AB158" s="259">
        <v>1221</v>
      </c>
      <c r="AC158" s="259"/>
      <c r="AD158" s="387">
        <f>((X158*AA158*AB158)+AC158)*W158</f>
        <v>117216</v>
      </c>
      <c r="AE158" s="387">
        <f>135388*0.8</f>
        <v>108310.40000000001</v>
      </c>
      <c r="AF158" s="259"/>
      <c r="AG158" s="259"/>
      <c r="AH158" s="404">
        <v>45343</v>
      </c>
      <c r="AI158" s="404">
        <v>45433</v>
      </c>
      <c r="AJ158" s="451">
        <f>Tabla_query__2[[#This Row],[FinDes]]-Tabla_query__2[[#This Row],[InicioDes]]</f>
        <v>90</v>
      </c>
      <c r="AK158" s="404">
        <v>45372</v>
      </c>
      <c r="AL158" s="404">
        <v>45379</v>
      </c>
      <c r="AM158" s="405">
        <f>Tabla_query__2[[#This Row],[FinPil]]-Tabla_query__2[[#This Row],[InicioPil]]</f>
        <v>7</v>
      </c>
      <c r="AN158" s="404">
        <v>45372</v>
      </c>
      <c r="AO158" s="404">
        <v>45379</v>
      </c>
      <c r="AP158" s="384">
        <f>Tabla_query__2[[#This Row],[InicioDes]]</f>
        <v>45343</v>
      </c>
      <c r="AQ158" s="384">
        <f>Tabla_query__2[[#This Row],[FinDes2]]</f>
        <v>45379</v>
      </c>
      <c r="AR158" s="462">
        <f>Tabla_query__2[[#This Row],[Número
Semanas]]/4</f>
        <v>3</v>
      </c>
      <c r="AS158" s="405">
        <f>Tabla_query__2[[#This Row],[FinDes2]]-Tabla_query__2[[#This Row],[InicioDes2]]</f>
        <v>7</v>
      </c>
      <c r="AT158" s="259" t="s">
        <v>155</v>
      </c>
    </row>
    <row r="159" spans="1:50" s="329" customFormat="1" ht="22.5" customHeight="1">
      <c r="A159" s="318" t="s">
        <v>130</v>
      </c>
      <c r="B159" s="262" t="s">
        <v>131</v>
      </c>
      <c r="C159" s="262" t="s">
        <v>149</v>
      </c>
      <c r="D159" s="262" t="s">
        <v>150</v>
      </c>
      <c r="E159" s="262" t="s">
        <v>134</v>
      </c>
      <c r="F159" s="259" t="s">
        <v>151</v>
      </c>
      <c r="G159" s="259" t="s">
        <v>136</v>
      </c>
      <c r="H159" s="259" t="s">
        <v>137</v>
      </c>
      <c r="I159" s="262" t="s">
        <v>138</v>
      </c>
      <c r="J159" s="262" t="s">
        <v>139</v>
      </c>
      <c r="K159" s="262"/>
      <c r="L159" s="262"/>
      <c r="M159" s="266" t="s">
        <v>330</v>
      </c>
      <c r="N159" s="262" t="s">
        <v>513</v>
      </c>
      <c r="O159" t="s">
        <v>514</v>
      </c>
      <c r="P159" s="262" t="s">
        <v>139</v>
      </c>
      <c r="Q159" s="262" t="s">
        <v>143</v>
      </c>
      <c r="R159" s="262" t="s">
        <v>144</v>
      </c>
      <c r="S159" s="261"/>
      <c r="T159" s="584" t="s">
        <v>152</v>
      </c>
      <c r="U159" s="261" t="s">
        <v>153</v>
      </c>
      <c r="V159" s="261" t="s">
        <v>136</v>
      </c>
      <c r="W159" s="261">
        <v>1</v>
      </c>
      <c r="X159" s="261">
        <v>6</v>
      </c>
      <c r="Y159" s="261">
        <f>Tabla_query__2[[#This Row],[Número
Semanas]]*5*8</f>
        <v>240</v>
      </c>
      <c r="Z159" s="268">
        <f>Tabla_query__2[[#This Row],[TOTAL]]/Tabla_query__2[[#This Row],[Número de Horas]]/2</f>
        <v>8.2083333333333339</v>
      </c>
      <c r="AA159" s="261">
        <v>1</v>
      </c>
      <c r="AB159" s="261">
        <v>550</v>
      </c>
      <c r="AC159" s="261"/>
      <c r="AD159" s="387">
        <f>(Tabla_query__2[[#This Row],[Número
Semanas]]*Tabla_query__2[[#This Row],[Número
Personas]]*Tabla_query__2[[#This Row],[Costo
Mano Obra/semana]]+640)*Tabla_query__2[[#This Row],[Factor País]]</f>
        <v>3940</v>
      </c>
      <c r="AE159" s="261"/>
      <c r="AF159" s="261"/>
      <c r="AG159" s="261" t="s">
        <v>154</v>
      </c>
      <c r="AH159" s="464">
        <v>45355</v>
      </c>
      <c r="AI159" s="464">
        <v>45383</v>
      </c>
      <c r="AJ159" s="462">
        <f>Tabla_query__2[[#This Row],[FinDes]]-Tabla_query__2[[#This Row],[InicioDes]]</f>
        <v>28</v>
      </c>
      <c r="AK159" s="464">
        <v>45383</v>
      </c>
      <c r="AL159" s="464">
        <v>45390</v>
      </c>
      <c r="AM159" s="462">
        <f t="shared" ref="AM159:AM164" si="7">AL159+ ((AK159*7))</f>
        <v>363071</v>
      </c>
      <c r="AN159" s="464">
        <v>45390</v>
      </c>
      <c r="AO159" s="464">
        <v>45397</v>
      </c>
      <c r="AP159" s="281">
        <v>45444</v>
      </c>
      <c r="AQ159" s="281">
        <f>Tabla_query__2[[#This Row],[Inicio Real]]+(Tabla_query__2[[#This Row],[Número
Semanas]]*7)</f>
        <v>45486</v>
      </c>
      <c r="AR159" s="462">
        <f>Tabla_query__2[[#This Row],[Número
Semanas]]/4</f>
        <v>1.5</v>
      </c>
      <c r="AS159" s="587">
        <f>Tabla_query__2[[#This Row],[FinDes2]]-Tabla_query__2[[#This Row],[InicioDes2]]</f>
        <v>7</v>
      </c>
      <c r="AT159" s="261" t="s">
        <v>155</v>
      </c>
      <c r="AU159"/>
      <c r="AV159" s="444"/>
    </row>
    <row r="160" spans="1:50" s="329" customFormat="1" ht="23.25">
      <c r="A160" s="318" t="s">
        <v>130</v>
      </c>
      <c r="B160" s="262" t="s">
        <v>131</v>
      </c>
      <c r="C160" s="262" t="s">
        <v>170</v>
      </c>
      <c r="D160" s="262" t="s">
        <v>515</v>
      </c>
      <c r="E160" s="262" t="s">
        <v>172</v>
      </c>
      <c r="F160" s="259" t="s">
        <v>516</v>
      </c>
      <c r="G160" s="259" t="s">
        <v>210</v>
      </c>
      <c r="H160" s="259" t="s">
        <v>204</v>
      </c>
      <c r="I160" s="262" t="s">
        <v>266</v>
      </c>
      <c r="J160" s="262" t="s">
        <v>139</v>
      </c>
      <c r="K160" s="262"/>
      <c r="L160" s="262"/>
      <c r="M160" s="266" t="s">
        <v>330</v>
      </c>
      <c r="N160" s="262" t="s">
        <v>513</v>
      </c>
      <c r="O160" t="s">
        <v>514</v>
      </c>
      <c r="P160" s="262" t="s">
        <v>178</v>
      </c>
      <c r="Q160" s="262" t="s">
        <v>143</v>
      </c>
      <c r="R160" s="262" t="s">
        <v>144</v>
      </c>
      <c r="S160" s="261"/>
      <c r="T160" s="584" t="s">
        <v>145</v>
      </c>
      <c r="U160" s="261" t="s">
        <v>517</v>
      </c>
      <c r="V160" s="261" t="s">
        <v>146</v>
      </c>
      <c r="W160" s="261"/>
      <c r="X160" s="261">
        <v>2</v>
      </c>
      <c r="Y160" s="261">
        <f>Tabla_query__2[[#This Row],[Número
Semanas]]*5*8</f>
        <v>80</v>
      </c>
      <c r="Z160" s="268">
        <f>Tabla_query__2[[#This Row],[TOTAL]]/Tabla_query__2[[#This Row],[Número de Horas]]/2</f>
        <v>10.875</v>
      </c>
      <c r="AA160" s="261">
        <v>1</v>
      </c>
      <c r="AB160" s="261">
        <v>550</v>
      </c>
      <c r="AC160" s="261"/>
      <c r="AD160" s="268">
        <f>Tabla_query__2[[#This Row],[Número
Semanas]]*Tabla_query__2[[#This Row],[Número
Personas]]*Tabla_query__2[[#This Row],[Costo
Mano Obra/semana]] + 640</f>
        <v>1740</v>
      </c>
      <c r="AE160" s="261"/>
      <c r="AF160" s="261"/>
      <c r="AG160" s="261" t="s">
        <v>154</v>
      </c>
      <c r="AH160" s="281">
        <v>45440</v>
      </c>
      <c r="AI160" s="281">
        <v>45440</v>
      </c>
      <c r="AJ160" s="281">
        <f>Tabla_query__2[[#This Row],[FinDes]]-Tabla_query__2[[#This Row],[InicioDes]]</f>
        <v>0</v>
      </c>
      <c r="AK160" s="281">
        <v>45440</v>
      </c>
      <c r="AL160" s="281">
        <v>45447</v>
      </c>
      <c r="AM160" s="281">
        <f t="shared" si="7"/>
        <v>363527</v>
      </c>
      <c r="AN160" s="281">
        <v>45447</v>
      </c>
      <c r="AO160" s="281">
        <v>45454</v>
      </c>
      <c r="AP160" s="281">
        <v>45444</v>
      </c>
      <c r="AQ160" s="281">
        <f>Tabla_query__2[[#This Row],[Inicio Real]]+(Tabla_query__2[[#This Row],[Número
Semanas]]*7)</f>
        <v>45458</v>
      </c>
      <c r="AR160" s="462">
        <f>Tabla_query__2[[#This Row],[Número
Semanas]]/4</f>
        <v>0.5</v>
      </c>
      <c r="AS160" s="587">
        <f>Tabla_query__2[[#This Row],[FinDes2]]-Tabla_query__2[[#This Row],[InicioDes2]]</f>
        <v>7</v>
      </c>
      <c r="AT160" s="261"/>
      <c r="AU160"/>
      <c r="AV160"/>
    </row>
    <row r="161" spans="1:51" s="329" customFormat="1" ht="20.25" customHeight="1">
      <c r="A161" s="318" t="s">
        <v>130</v>
      </c>
      <c r="B161" s="262" t="s">
        <v>131</v>
      </c>
      <c r="C161" s="262" t="s">
        <v>162</v>
      </c>
      <c r="D161" s="262" t="s">
        <v>183</v>
      </c>
      <c r="E161" s="262" t="s">
        <v>164</v>
      </c>
      <c r="F161" s="259" t="s">
        <v>184</v>
      </c>
      <c r="G161" s="259" t="s">
        <v>136</v>
      </c>
      <c r="H161" s="259" t="s">
        <v>137</v>
      </c>
      <c r="I161" s="262" t="s">
        <v>138</v>
      </c>
      <c r="J161" s="262" t="s">
        <v>139</v>
      </c>
      <c r="K161" s="262"/>
      <c r="L161" s="262"/>
      <c r="M161" s="266" t="s">
        <v>330</v>
      </c>
      <c r="N161" s="262" t="s">
        <v>513</v>
      </c>
      <c r="O161" t="s">
        <v>514</v>
      </c>
      <c r="P161" s="262" t="s">
        <v>139</v>
      </c>
      <c r="Q161" s="262" t="s">
        <v>143</v>
      </c>
      <c r="R161" s="497" t="s">
        <v>179</v>
      </c>
      <c r="S161" s="261" t="s">
        <v>152</v>
      </c>
      <c r="T161" s="584" t="s">
        <v>145</v>
      </c>
      <c r="U161" s="261" t="s">
        <v>185</v>
      </c>
      <c r="V161" s="261" t="s">
        <v>146</v>
      </c>
      <c r="W161" s="261">
        <v>1</v>
      </c>
      <c r="X161" s="261">
        <v>2</v>
      </c>
      <c r="Y161" s="261">
        <f>Tabla_query__2[[#This Row],[Número
Semanas]]*5*8</f>
        <v>80</v>
      </c>
      <c r="Z161" s="268">
        <f>Tabla_query__2[[#This Row],[TOTAL]]/Tabla_query__2[[#This Row],[Número de Horas]]/2</f>
        <v>7.875</v>
      </c>
      <c r="AA161" s="261">
        <v>1</v>
      </c>
      <c r="AB161" s="261">
        <v>550</v>
      </c>
      <c r="AC161" s="261"/>
      <c r="AD161" s="387">
        <v>1260</v>
      </c>
      <c r="AE161" s="261"/>
      <c r="AF161" s="261"/>
      <c r="AG161" s="547" t="s">
        <v>211</v>
      </c>
      <c r="AH161" s="281">
        <v>45355</v>
      </c>
      <c r="AI161" s="281">
        <v>45383</v>
      </c>
      <c r="AJ161" s="281">
        <f>Tabla_query__2[[#This Row],[FinDes]]-Tabla_query__2[[#This Row],[InicioDes]]</f>
        <v>28</v>
      </c>
      <c r="AK161" s="281">
        <v>45383</v>
      </c>
      <c r="AL161" s="281">
        <v>45390</v>
      </c>
      <c r="AM161" s="281">
        <f t="shared" si="7"/>
        <v>363071</v>
      </c>
      <c r="AN161" s="281">
        <v>45390</v>
      </c>
      <c r="AO161" s="281">
        <v>45443</v>
      </c>
      <c r="AP161" s="281">
        <v>45383</v>
      </c>
      <c r="AQ161" s="281">
        <f>Tabla_query__2[[#This Row],[Inicio Real]]+(Tabla_query__2[[#This Row],[Número
Semanas]]*7)</f>
        <v>45397</v>
      </c>
      <c r="AR161" s="462">
        <f>Tabla_query__2[[#This Row],[Número
Semanas]]/4</f>
        <v>0.5</v>
      </c>
      <c r="AS161" s="587">
        <f>Tabla_query__2[[#This Row],[FinDes2]]-Tabla_query__2[[#This Row],[InicioDes2]]</f>
        <v>53</v>
      </c>
      <c r="AT161" s="261" t="s">
        <v>155</v>
      </c>
      <c r="AU161"/>
      <c r="AV161" s="446" t="s">
        <v>148</v>
      </c>
    </row>
    <row r="162" spans="1:51" s="329" customFormat="1" ht="20.25" customHeight="1">
      <c r="A162" s="318" t="s">
        <v>130</v>
      </c>
      <c r="B162" s="262" t="s">
        <v>131</v>
      </c>
      <c r="C162" s="262" t="s">
        <v>162</v>
      </c>
      <c r="D162" s="262" t="s">
        <v>168</v>
      </c>
      <c r="E162" s="262" t="s">
        <v>164</v>
      </c>
      <c r="F162" s="259" t="s">
        <v>518</v>
      </c>
      <c r="G162" s="259" t="s">
        <v>146</v>
      </c>
      <c r="H162" s="259" t="s">
        <v>137</v>
      </c>
      <c r="I162" s="262" t="s">
        <v>138</v>
      </c>
      <c r="J162" s="262" t="s">
        <v>139</v>
      </c>
      <c r="K162" s="262"/>
      <c r="L162" s="262"/>
      <c r="M162" s="266" t="s">
        <v>330</v>
      </c>
      <c r="N162" s="262" t="s">
        <v>513</v>
      </c>
      <c r="O162" t="s">
        <v>514</v>
      </c>
      <c r="P162" s="262" t="s">
        <v>139</v>
      </c>
      <c r="Q162" s="262" t="s">
        <v>143</v>
      </c>
      <c r="R162" s="262" t="s">
        <v>144</v>
      </c>
      <c r="S162" s="261"/>
      <c r="T162" s="584" t="s">
        <v>152</v>
      </c>
      <c r="U162" s="261"/>
      <c r="V162" s="261" t="s">
        <v>146</v>
      </c>
      <c r="W162" s="261">
        <v>1</v>
      </c>
      <c r="X162" s="261">
        <v>6</v>
      </c>
      <c r="Y162" s="261">
        <f>Tabla_query__2[[#This Row],[Número
Semanas]]*5*8</f>
        <v>240</v>
      </c>
      <c r="Z162" s="268">
        <f>Tabla_query__2[[#This Row],[TOTAL]]/Tabla_query__2[[#This Row],[Número de Horas]]/2</f>
        <v>8.2083333333333339</v>
      </c>
      <c r="AA162" s="261">
        <v>1</v>
      </c>
      <c r="AB162" s="261">
        <v>550</v>
      </c>
      <c r="AC162" s="261"/>
      <c r="AD162" s="387">
        <f>(Tabla_query__2[[#This Row],[Número
Semanas]]*Tabla_query__2[[#This Row],[Número
Personas]]*Tabla_query__2[[#This Row],[Costo
Mano Obra/semana]]+640)*Tabla_query__2[[#This Row],[Factor País]]</f>
        <v>3940</v>
      </c>
      <c r="AE162" s="261"/>
      <c r="AF162" s="261"/>
      <c r="AG162" s="591" t="s">
        <v>154</v>
      </c>
      <c r="AH162" s="281">
        <v>45355</v>
      </c>
      <c r="AI162" s="281">
        <v>45383</v>
      </c>
      <c r="AJ162" s="281">
        <f>Tabla_query__2[[#This Row],[FinDes]]-Tabla_query__2[[#This Row],[InicioDes]]</f>
        <v>28</v>
      </c>
      <c r="AK162" s="281">
        <v>45383</v>
      </c>
      <c r="AL162" s="281">
        <v>45390</v>
      </c>
      <c r="AM162" s="281">
        <f t="shared" si="7"/>
        <v>363071</v>
      </c>
      <c r="AN162" s="281">
        <v>45390</v>
      </c>
      <c r="AO162" s="281">
        <v>45688</v>
      </c>
      <c r="AP162" s="281">
        <v>45444</v>
      </c>
      <c r="AQ162" s="281">
        <f>Tabla_query__2[[#This Row],[Inicio Real]]+(Tabla_query__2[[#This Row],[Número
Semanas]]*7)</f>
        <v>45486</v>
      </c>
      <c r="AR162" s="462">
        <f>Tabla_query__2[[#This Row],[Número
Semanas]]/4</f>
        <v>1.5</v>
      </c>
      <c r="AS162" s="587">
        <f>Tabla_query__2[[#This Row],[FinDes2]]-Tabla_query__2[[#This Row],[InicioDes2]]</f>
        <v>298</v>
      </c>
      <c r="AT162" s="261" t="s">
        <v>155</v>
      </c>
      <c r="AU162"/>
      <c r="AV162" s="444"/>
    </row>
    <row r="163" spans="1:51" s="329" customFormat="1" ht="20.25" customHeight="1">
      <c r="A163" s="318" t="s">
        <v>130</v>
      </c>
      <c r="B163" s="262" t="s">
        <v>131</v>
      </c>
      <c r="C163" s="262" t="s">
        <v>519</v>
      </c>
      <c r="D163" s="262" t="s">
        <v>520</v>
      </c>
      <c r="E163" s="262" t="s">
        <v>303</v>
      </c>
      <c r="F163" s="259" t="s">
        <v>521</v>
      </c>
      <c r="G163" s="259" t="s">
        <v>136</v>
      </c>
      <c r="H163" s="259" t="s">
        <v>137</v>
      </c>
      <c r="I163" s="262" t="s">
        <v>266</v>
      </c>
      <c r="J163" s="262" t="s">
        <v>139</v>
      </c>
      <c r="K163" s="262"/>
      <c r="L163" s="262"/>
      <c r="M163" s="266" t="s">
        <v>330</v>
      </c>
      <c r="N163" s="262" t="s">
        <v>513</v>
      </c>
      <c r="O163" t="s">
        <v>514</v>
      </c>
      <c r="P163" s="262" t="s">
        <v>139</v>
      </c>
      <c r="Q163" s="262" t="s">
        <v>143</v>
      </c>
      <c r="R163" s="262" t="s">
        <v>179</v>
      </c>
      <c r="S163" s="261"/>
      <c r="T163" s="584" t="s">
        <v>221</v>
      </c>
      <c r="U163" s="261" t="s">
        <v>522</v>
      </c>
      <c r="V163" s="261" t="s">
        <v>136</v>
      </c>
      <c r="W163" s="261">
        <v>1</v>
      </c>
      <c r="X163" s="261">
        <v>1</v>
      </c>
      <c r="Y163" s="261">
        <f>Tabla_query__2[[#This Row],[Número
Semanas]]*5*8</f>
        <v>40</v>
      </c>
      <c r="Z163" s="268">
        <f>Tabla_query__2[[#This Row],[TOTAL]]/Tabla_query__2[[#This Row],[Número de Horas]]/2</f>
        <v>14.875</v>
      </c>
      <c r="AA163" s="261">
        <v>1</v>
      </c>
      <c r="AB163" s="261">
        <v>550</v>
      </c>
      <c r="AC163" s="261"/>
      <c r="AD163" s="488">
        <f>(Tabla_query__2[[#This Row],[Número
Semanas]]*Tabla_query__2[[#This Row],[Número
Personas]]*Tabla_query__2[[#This Row],[Costo
Mano Obra/semana]]+640)*Tabla_query__2[[#This Row],[Factor País]]</f>
        <v>1190</v>
      </c>
      <c r="AE163" s="261"/>
      <c r="AF163" s="322"/>
      <c r="AG163" s="322" t="s">
        <v>354</v>
      </c>
      <c r="AH163" s="464">
        <v>45327</v>
      </c>
      <c r="AI163" s="464">
        <v>45355</v>
      </c>
      <c r="AJ163" s="462">
        <f>Tabla_query__2[[#This Row],[FinDes]]-Tabla_query__2[[#This Row],[InicioDes]]</f>
        <v>28</v>
      </c>
      <c r="AK163" s="464">
        <v>45355</v>
      </c>
      <c r="AL163" s="464">
        <v>45362</v>
      </c>
      <c r="AM163" s="462">
        <f t="shared" si="7"/>
        <v>362847</v>
      </c>
      <c r="AN163" s="464">
        <v>45362</v>
      </c>
      <c r="AO163" s="464">
        <v>45376</v>
      </c>
      <c r="AP163" s="281">
        <v>45536</v>
      </c>
      <c r="AQ163" s="281">
        <f>Tabla_query__2[[#This Row],[Inicio Real]]+(Tabla_query__2[[#This Row],[Número
Semanas]]*7)</f>
        <v>45543</v>
      </c>
      <c r="AR163" s="462">
        <f>Tabla_query__2[[#This Row],[Número
Semanas]]/4</f>
        <v>0.25</v>
      </c>
      <c r="AS163" s="587">
        <f>Tabla_query__2[[#This Row],[FinDes2]]-Tabla_query__2[[#This Row],[InicioDes2]]</f>
        <v>14</v>
      </c>
      <c r="AT163" s="261" t="s">
        <v>155</v>
      </c>
      <c r="AU163"/>
      <c r="AV163" s="444"/>
      <c r="AW163" s="329" t="s">
        <v>523</v>
      </c>
    </row>
    <row r="164" spans="1:51" s="329" customFormat="1" ht="20.25" customHeight="1">
      <c r="A164" s="318" t="s">
        <v>130</v>
      </c>
      <c r="B164" s="262" t="s">
        <v>131</v>
      </c>
      <c r="C164" s="262" t="s">
        <v>192</v>
      </c>
      <c r="D164" s="277" t="s">
        <v>193</v>
      </c>
      <c r="E164" s="262" t="s">
        <v>164</v>
      </c>
      <c r="F164" s="259"/>
      <c r="G164" s="259" t="s">
        <v>136</v>
      </c>
      <c r="H164" s="259" t="s">
        <v>137</v>
      </c>
      <c r="I164" s="262" t="s">
        <v>138</v>
      </c>
      <c r="J164" s="262" t="s">
        <v>139</v>
      </c>
      <c r="K164" s="262"/>
      <c r="L164" s="262"/>
      <c r="M164" s="266" t="s">
        <v>330</v>
      </c>
      <c r="N164" s="262" t="s">
        <v>513</v>
      </c>
      <c r="O164" t="s">
        <v>514</v>
      </c>
      <c r="P164" s="262" t="s">
        <v>139</v>
      </c>
      <c r="Q164" s="262" t="s">
        <v>143</v>
      </c>
      <c r="R164" s="262" t="s">
        <v>144</v>
      </c>
      <c r="S164" s="261"/>
      <c r="T164" s="584" t="s">
        <v>152</v>
      </c>
      <c r="U164" s="261" t="s">
        <v>194</v>
      </c>
      <c r="V164" s="261" t="s">
        <v>136</v>
      </c>
      <c r="W164" s="261">
        <v>1</v>
      </c>
      <c r="X164" s="261">
        <v>3</v>
      </c>
      <c r="Y164" s="261">
        <f>Tabla_query__2[[#This Row],[Número
Semanas]]*5*8</f>
        <v>120</v>
      </c>
      <c r="Z164" s="268">
        <f>Tabla_query__2[[#This Row],[TOTAL]]/Tabla_query__2[[#This Row],[Número de Horas]]/2</f>
        <v>9.5416666666666661</v>
      </c>
      <c r="AA164" s="261">
        <v>1</v>
      </c>
      <c r="AB164" s="261">
        <v>550</v>
      </c>
      <c r="AC164" s="261"/>
      <c r="AD164" s="387">
        <f>(Tabla_query__2[[#This Row],[Número
Semanas]]*Tabla_query__2[[#This Row],[Número
Personas]]*Tabla_query__2[[#This Row],[Costo
Mano Obra/semana]]+640)*Tabla_query__2[[#This Row],[Factor País]]</f>
        <v>2290</v>
      </c>
      <c r="AE164" s="261"/>
      <c r="AF164" s="261"/>
      <c r="AG164" s="591" t="s">
        <v>154</v>
      </c>
      <c r="AH164" s="464">
        <v>45355</v>
      </c>
      <c r="AI164" s="464">
        <v>45355</v>
      </c>
      <c r="AJ164" s="462">
        <f>Tabla_query__2[[#This Row],[FinDes]]-Tabla_query__2[[#This Row],[InicioDes]]</f>
        <v>0</v>
      </c>
      <c r="AK164" s="464">
        <v>45355</v>
      </c>
      <c r="AL164" s="464">
        <v>45369</v>
      </c>
      <c r="AM164" s="462">
        <f t="shared" si="7"/>
        <v>362854</v>
      </c>
      <c r="AN164" s="464">
        <v>45369</v>
      </c>
      <c r="AO164" s="464">
        <v>45376</v>
      </c>
      <c r="AP164" s="281">
        <v>45444</v>
      </c>
      <c r="AQ164" s="281">
        <f>Tabla_query__2[[#This Row],[Inicio Real]]+(Tabla_query__2[[#This Row],[Número
Semanas]]*7)</f>
        <v>45465</v>
      </c>
      <c r="AR164" s="462">
        <f>Tabla_query__2[[#This Row],[Número
Semanas]]/4</f>
        <v>0.75</v>
      </c>
      <c r="AS164" s="587">
        <f>Tabla_query__2[[#This Row],[FinDes2]]-Tabla_query__2[[#This Row],[InicioDes2]]</f>
        <v>7</v>
      </c>
      <c r="AT164" s="261" t="s">
        <v>155</v>
      </c>
      <c r="AU164"/>
      <c r="AV164" s="437" t="s">
        <v>148</v>
      </c>
      <c r="AW164" s="329" t="s">
        <v>523</v>
      </c>
    </row>
    <row r="165" spans="1:51" s="329" customFormat="1" ht="22.5" customHeight="1">
      <c r="A165" s="318" t="s">
        <v>130</v>
      </c>
      <c r="B165" s="262" t="s">
        <v>134</v>
      </c>
      <c r="C165" s="262"/>
      <c r="D165" s="277" t="s">
        <v>524</v>
      </c>
      <c r="E165" s="262"/>
      <c r="F165" s="259" t="s">
        <v>525</v>
      </c>
      <c r="G165" s="259"/>
      <c r="H165" s="259" t="s">
        <v>204</v>
      </c>
      <c r="I165" s="262" t="s">
        <v>526</v>
      </c>
      <c r="J165" s="262" t="s">
        <v>53</v>
      </c>
      <c r="K165" s="262"/>
      <c r="L165" s="262"/>
      <c r="M165" s="262" t="s">
        <v>206</v>
      </c>
      <c r="N165" s="262" t="s">
        <v>57</v>
      </c>
      <c r="O165" s="730" t="s">
        <v>1744</v>
      </c>
      <c r="P165" s="262" t="s">
        <v>56</v>
      </c>
      <c r="Q165" s="262" t="s">
        <v>208</v>
      </c>
      <c r="R165" s="262" t="s">
        <v>144</v>
      </c>
      <c r="S165" s="547"/>
      <c r="T165" s="261" t="str">
        <f>IF(MONTH(AH165)&lt;4, "Q1",IF(AND(MONTH(AH165)&gt;3,MONTH(AH165)&lt;=6),"Q2",IF(AND(MONTH(AH165)&gt;6,MONTH(AH165)&lt;=9),"Q3","Q4")))</f>
        <v>Q3</v>
      </c>
      <c r="U165" s="261"/>
      <c r="V165" s="261" t="s">
        <v>146</v>
      </c>
      <c r="W165" s="261"/>
      <c r="X165" s="261">
        <v>5</v>
      </c>
      <c r="Y165" s="261">
        <f>Tabla_query__2[[#This Row],[Número
Semanas]]*5*8</f>
        <v>200</v>
      </c>
      <c r="Z165" s="268">
        <f>Tabla_query__2[[#This Row],[TOTAL]]/Tabla_query__2[[#This Row],[Número de Horas]]/2</f>
        <v>8.3249999999999993</v>
      </c>
      <c r="AA165" s="261">
        <v>1</v>
      </c>
      <c r="AB165" s="261">
        <v>550</v>
      </c>
      <c r="AC165" s="261"/>
      <c r="AD165" s="388">
        <f>Tabla_query__2[[#This Row],[Número
Semanas]]*Tabla_query__2[[#This Row],[Número
Personas]]*Tabla_query__2[[#This Row],[Costo
Mano Obra/semana]]+580</f>
        <v>3330</v>
      </c>
      <c r="AE165" s="261"/>
      <c r="AF165" s="261"/>
      <c r="AG165" s="547">
        <v>4</v>
      </c>
      <c r="AH165" s="515">
        <v>45474</v>
      </c>
      <c r="AI165" s="515">
        <v>45509</v>
      </c>
      <c r="AJ165" s="515">
        <v>45627</v>
      </c>
      <c r="AK165" s="515">
        <v>45510</v>
      </c>
      <c r="AL165" s="515">
        <v>45524</v>
      </c>
      <c r="AM165" s="515">
        <v>45633</v>
      </c>
      <c r="AN165" s="515">
        <v>45525</v>
      </c>
      <c r="AO165" s="515">
        <v>45539</v>
      </c>
      <c r="AP165" s="384">
        <f>Tabla_query__2[[#This Row],[InicioDes]]</f>
        <v>45474</v>
      </c>
      <c r="AQ165" s="384">
        <f>Tabla_query__2[[#This Row],[FinDes2]]</f>
        <v>45539</v>
      </c>
      <c r="AR165" s="462">
        <f>Tabla_query__2[[#This Row],[Número
Semanas]]/4</f>
        <v>1.25</v>
      </c>
      <c r="AS165" s="269">
        <f>Tabla_query__2[[#This Row],[FinDes2]]-Tabla_query__2[[#This Row],[InicioDes2]]</f>
        <v>14</v>
      </c>
      <c r="AT165" s="261" t="s">
        <v>527</v>
      </c>
      <c r="AU165"/>
      <c r="AV165"/>
      <c r="AW165" s="329" t="s">
        <v>523</v>
      </c>
    </row>
    <row r="166" spans="1:51" s="329" customFormat="1" ht="24.75" customHeight="1">
      <c r="A166" s="318" t="s">
        <v>130</v>
      </c>
      <c r="B166" s="262" t="s">
        <v>134</v>
      </c>
      <c r="C166" s="262"/>
      <c r="D166" s="277" t="s">
        <v>528</v>
      </c>
      <c r="E166" s="262"/>
      <c r="F166" s="259" t="s">
        <v>529</v>
      </c>
      <c r="G166" s="259"/>
      <c r="H166" s="259"/>
      <c r="I166" s="262" t="s">
        <v>220</v>
      </c>
      <c r="J166" s="262" t="s">
        <v>139</v>
      </c>
      <c r="K166" s="262"/>
      <c r="L166" s="262"/>
      <c r="M166" s="262" t="s">
        <v>206</v>
      </c>
      <c r="N166" s="262" t="s">
        <v>530</v>
      </c>
      <c r="O166" t="s">
        <v>531</v>
      </c>
      <c r="P166" s="262" t="s">
        <v>139</v>
      </c>
      <c r="Q166" s="262" t="s">
        <v>143</v>
      </c>
      <c r="R166" s="262" t="s">
        <v>144</v>
      </c>
      <c r="S166" s="547"/>
      <c r="T166" s="261" t="str">
        <f>IF(MONTH(AH166)&lt;4, "Q1",IF(AND(MONTH(AH166)&gt;3,MONTH(AH166)&lt;=6),"Q2",IF(AND(MONTH(AH166)&gt;6,MONTH(AH166)&lt;=9),"Q3","Q4")))</f>
        <v>Q2</v>
      </c>
      <c r="U166" s="261"/>
      <c r="V166" s="261" t="s">
        <v>136</v>
      </c>
      <c r="W166" s="261">
        <v>1</v>
      </c>
      <c r="X166" s="261">
        <v>20</v>
      </c>
      <c r="Y166" s="261">
        <f>Tabla_query__2[[#This Row],[Número
Semanas]]*5*8</f>
        <v>800</v>
      </c>
      <c r="Z166" s="268">
        <f>Tabla_query__2[[#This Row],[TOTAL]]/Tabla_query__2[[#This Row],[Número de Horas]]/2</f>
        <v>55.362499999999997</v>
      </c>
      <c r="AA166" s="261">
        <v>8</v>
      </c>
      <c r="AB166" s="261">
        <v>550</v>
      </c>
      <c r="AC166" s="261"/>
      <c r="AD166" s="388">
        <f>Tabla_query__2[[#This Row],[Número
Semanas]]*Tabla_query__2[[#This Row],[Número
Personas]]*Tabla_query__2[[#This Row],[Costo
Mano Obra/semana]]+580</f>
        <v>88580</v>
      </c>
      <c r="AE166" s="261"/>
      <c r="AF166" s="261"/>
      <c r="AG166" s="547" t="s">
        <v>154</v>
      </c>
      <c r="AH166" s="281">
        <v>45458</v>
      </c>
      <c r="AI166" s="281">
        <v>45479</v>
      </c>
      <c r="AJ166" s="281">
        <v>45480</v>
      </c>
      <c r="AK166" s="281">
        <v>45494</v>
      </c>
      <c r="AL166" s="281">
        <v>45495</v>
      </c>
      <c r="AM166" s="281">
        <v>45509</v>
      </c>
      <c r="AN166" s="281">
        <v>45361</v>
      </c>
      <c r="AO166" s="281">
        <v>45657</v>
      </c>
      <c r="AP166" s="281">
        <f>Tabla_query__2[[#This Row],[InicioDes]]</f>
        <v>45458</v>
      </c>
      <c r="AQ166" s="281">
        <f>Tabla_query__2[[#This Row],[FinDes2]]</f>
        <v>45657</v>
      </c>
      <c r="AR166" s="462">
        <f>Tabla_query__2[[#This Row],[Número
Semanas]]/4</f>
        <v>5</v>
      </c>
      <c r="AS166" s="269">
        <f>Tabla_query__2[[#This Row],[FinDes2]]-Tabla_query__2[[#This Row],[InicioDes2]]</f>
        <v>296</v>
      </c>
      <c r="AT166" s="261" t="s">
        <v>532</v>
      </c>
      <c r="AU166"/>
      <c r="AV166"/>
      <c r="AW166" s="329" t="s">
        <v>523</v>
      </c>
    </row>
    <row r="167" spans="1:51" s="329" customFormat="1" ht="20.25" customHeight="1">
      <c r="A167" s="318" t="s">
        <v>130</v>
      </c>
      <c r="B167" s="262" t="s">
        <v>134</v>
      </c>
      <c r="C167" s="262"/>
      <c r="D167" s="277" t="s">
        <v>533</v>
      </c>
      <c r="E167" s="262"/>
      <c r="F167" s="259" t="s">
        <v>286</v>
      </c>
      <c r="G167" s="259"/>
      <c r="H167" s="259" t="s">
        <v>204</v>
      </c>
      <c r="I167" s="259" t="s">
        <v>534</v>
      </c>
      <c r="J167" s="259" t="s">
        <v>139</v>
      </c>
      <c r="K167" s="259"/>
      <c r="L167" s="259"/>
      <c r="M167" s="259" t="s">
        <v>206</v>
      </c>
      <c r="N167" s="262" t="s">
        <v>530</v>
      </c>
      <c r="O167" t="s">
        <v>531</v>
      </c>
      <c r="P167" s="259" t="s">
        <v>139</v>
      </c>
      <c r="Q167" s="262" t="s">
        <v>208</v>
      </c>
      <c r="R167" s="259" t="s">
        <v>144</v>
      </c>
      <c r="S167" s="562"/>
      <c r="T167" s="259" t="str">
        <f>IF(MONTH(AH167)&lt;4, "Q1",IF(AND(MONTH(AH167)&gt;3,MONTH(AH167)&lt;=6),"Q2",IF(AND(MONTH(AH167)&gt;6,MONTH(AH167)&lt;=9),"Q3","Q4")))</f>
        <v>Q2</v>
      </c>
      <c r="U167" s="259"/>
      <c r="V167" s="261" t="s">
        <v>210</v>
      </c>
      <c r="W167" s="491"/>
      <c r="X167" s="491">
        <v>8</v>
      </c>
      <c r="Y167" s="491">
        <f>Tabla_query__2[[#This Row],[Número
Semanas]]*5*8</f>
        <v>320</v>
      </c>
      <c r="Z167" s="644">
        <f>Tabla_query__2[[#This Row],[TOTAL]]/Tabla_query__2[[#This Row],[Número de Horas]]/2</f>
        <v>14.65625</v>
      </c>
      <c r="AA167" s="491">
        <v>2</v>
      </c>
      <c r="AB167" s="491">
        <v>550</v>
      </c>
      <c r="AC167" s="491"/>
      <c r="AD167" s="388">
        <f>Tabla_query__2[[#This Row],[Número
Semanas]]*Tabla_query__2[[#This Row],[Número
Personas]]*Tabla_query__2[[#This Row],[Costo
Mano Obra/semana]]+580</f>
        <v>9380</v>
      </c>
      <c r="AE167" s="491"/>
      <c r="AF167" s="491"/>
      <c r="AG167" s="547" t="s">
        <v>154</v>
      </c>
      <c r="AH167" s="384">
        <v>45446</v>
      </c>
      <c r="AI167" s="683">
        <v>45439</v>
      </c>
      <c r="AJ167" s="386"/>
      <c r="AK167" s="683">
        <v>45440</v>
      </c>
      <c r="AL167" s="683">
        <v>45454</v>
      </c>
      <c r="AM167" s="386">
        <f>AL167+ ((AK167*7))</f>
        <v>363534</v>
      </c>
      <c r="AN167" s="683">
        <v>45455</v>
      </c>
      <c r="AO167" s="384">
        <v>45501</v>
      </c>
      <c r="AP167" s="384">
        <f>Tabla_query__2[[#This Row],[InicioDes]]</f>
        <v>45446</v>
      </c>
      <c r="AQ167" s="384">
        <f>Tabla_query__2[[#This Row],[FinDes2]]</f>
        <v>45501</v>
      </c>
      <c r="AR167" s="462">
        <f>Tabla_query__2[[#This Row],[Número
Semanas]]/4</f>
        <v>2</v>
      </c>
      <c r="AS167" s="413">
        <f>Tabla_query__2[[#This Row],[FinDes2]]-Tabla_query__2[[#This Row],[InicioDes2]]</f>
        <v>46</v>
      </c>
      <c r="AT167" s="491" t="s">
        <v>155</v>
      </c>
      <c r="AU167" s="492"/>
      <c r="AV167" s="492"/>
    </row>
    <row r="168" spans="1:51" s="329" customFormat="1">
      <c r="A168" s="318" t="s">
        <v>130</v>
      </c>
      <c r="B168" s="262" t="s">
        <v>134</v>
      </c>
      <c r="C168" s="262"/>
      <c r="D168" s="262" t="s">
        <v>535</v>
      </c>
      <c r="E168" s="262"/>
      <c r="F168" s="259"/>
      <c r="G168" s="259"/>
      <c r="H168" s="259"/>
      <c r="I168" s="262" t="s">
        <v>139</v>
      </c>
      <c r="J168" s="262" t="s">
        <v>139</v>
      </c>
      <c r="K168" s="262"/>
      <c r="L168" s="262"/>
      <c r="M168" s="262" t="s">
        <v>206</v>
      </c>
      <c r="N168" s="262" t="s">
        <v>530</v>
      </c>
      <c r="O168" t="s">
        <v>531</v>
      </c>
      <c r="P168" s="262" t="s">
        <v>139</v>
      </c>
      <c r="Q168" s="262" t="s">
        <v>208</v>
      </c>
      <c r="R168" s="262" t="s">
        <v>144</v>
      </c>
      <c r="S168" s="547"/>
      <c r="T168" s="261" t="str">
        <f>IF(MONTH(AH168)&lt;4, "Q1",IF(AND(MONTH(AH168)&gt;3,MONTH(AH168)&lt;=6),"Q2",IF(AND(MONTH(AH168)&gt;6,MONTH(AH168)&lt;=9),"Q3","Q4")))</f>
        <v>Q2</v>
      </c>
      <c r="U168" s="261"/>
      <c r="V168" s="261" t="s">
        <v>136</v>
      </c>
      <c r="W168" s="261"/>
      <c r="X168" s="261">
        <v>4</v>
      </c>
      <c r="Y168" s="261">
        <f>Tabla_query__2[[#This Row],[Número
Semanas]]*5*8</f>
        <v>160</v>
      </c>
      <c r="Z168" s="268">
        <f>Tabla_query__2[[#This Row],[TOTAL]]/Tabla_query__2[[#This Row],[Número de Horas]]/2</f>
        <v>8.6875</v>
      </c>
      <c r="AA168" s="261">
        <v>1</v>
      </c>
      <c r="AB168" s="261">
        <v>550</v>
      </c>
      <c r="AC168" s="261"/>
      <c r="AD168" s="388">
        <f>Tabla_query__2[[#This Row],[Número
Semanas]]*Tabla_query__2[[#This Row],[Número
Personas]]*Tabla_query__2[[#This Row],[Costo
Mano Obra/semana]]+580</f>
        <v>2780</v>
      </c>
      <c r="AE168" s="261"/>
      <c r="AF168" s="267"/>
      <c r="AG168" s="547" t="s">
        <v>191</v>
      </c>
      <c r="AH168" s="282">
        <v>45411</v>
      </c>
      <c r="AI168" s="384"/>
      <c r="AJ168" s="469" t="e">
        <f>#REF!</f>
        <v>#REF!</v>
      </c>
      <c r="AK168" s="384"/>
      <c r="AL168" s="384">
        <v>45426</v>
      </c>
      <c r="AM168" s="469">
        <f>AL168+ ((AK168*7))</f>
        <v>45426</v>
      </c>
      <c r="AN168" s="384">
        <v>45427</v>
      </c>
      <c r="AO168" s="384">
        <v>45441</v>
      </c>
      <c r="AP168" s="384">
        <f>Tabla_query__2[[#This Row],[InicioDes]]</f>
        <v>45411</v>
      </c>
      <c r="AQ168" s="384">
        <f>Tabla_query__2[[#This Row],[FinDes2]]</f>
        <v>45441</v>
      </c>
      <c r="AR168" s="384">
        <f>Tabla_query__2[[#This Row],[Número
Semanas]]/4</f>
        <v>1</v>
      </c>
      <c r="AS168" s="269">
        <f>Tabla_query__2[[#This Row],[FinDes2]]-Tabla_query__2[[#This Row],[InicioDes2]]</f>
        <v>14</v>
      </c>
      <c r="AT168" s="261"/>
      <c r="AU168"/>
      <c r="AV168"/>
      <c r="AY168" s="523" t="s">
        <v>536</v>
      </c>
    </row>
    <row r="169" spans="1:51" s="329" customFormat="1" ht="20.25" customHeight="1">
      <c r="A169" s="318" t="s">
        <v>130</v>
      </c>
      <c r="B169" s="262" t="s">
        <v>218</v>
      </c>
      <c r="C169" s="262"/>
      <c r="D169" s="262" t="s">
        <v>537</v>
      </c>
      <c r="E169" s="262"/>
      <c r="F169" s="259" t="s">
        <v>538</v>
      </c>
      <c r="G169" s="259"/>
      <c r="H169" s="259" t="s">
        <v>204</v>
      </c>
      <c r="I169" s="262" t="s">
        <v>539</v>
      </c>
      <c r="J169" s="262" t="s">
        <v>53</v>
      </c>
      <c r="K169" s="262"/>
      <c r="L169" s="262"/>
      <c r="M169" s="262" t="s">
        <v>206</v>
      </c>
      <c r="N169" s="262" t="s">
        <v>55</v>
      </c>
      <c r="O169" t="s">
        <v>540</v>
      </c>
      <c r="P169" s="262" t="s">
        <v>54</v>
      </c>
      <c r="Q169" s="262" t="s">
        <v>298</v>
      </c>
      <c r="R169" s="262" t="s">
        <v>179</v>
      </c>
      <c r="S169" s="261">
        <v>1</v>
      </c>
      <c r="T169" s="261" t="s">
        <v>221</v>
      </c>
      <c r="U169" s="261"/>
      <c r="V169" s="261" t="s">
        <v>210</v>
      </c>
      <c r="W169" s="261"/>
      <c r="X169" s="261"/>
      <c r="Y169" s="261">
        <f>Tabla_query__2[[#This Row],[Número
Semanas]]*5*8</f>
        <v>0</v>
      </c>
      <c r="Z169" s="268" t="e">
        <f>Tabla_query__2[[#This Row],[TOTAL]]/Tabla_query__2[[#This Row],[Número de Horas]]/2</f>
        <v>#DIV/0!</v>
      </c>
      <c r="AA169" s="261"/>
      <c r="AB169" s="261"/>
      <c r="AC169" s="261"/>
      <c r="AD169" s="268"/>
      <c r="AE169" s="261"/>
      <c r="AF169" s="261"/>
      <c r="AG169" s="261"/>
      <c r="AH169" s="261"/>
      <c r="AI169" s="261"/>
      <c r="AJ169" s="282" t="e">
        <f>#REF!</f>
        <v>#REF!</v>
      </c>
      <c r="AK169" s="261"/>
      <c r="AL169" s="261"/>
      <c r="AM169" s="282">
        <f>AL169+ ((AK169*7))</f>
        <v>0</v>
      </c>
      <c r="AN169" s="261"/>
      <c r="AO169" s="261"/>
      <c r="AP169" s="384">
        <f>Tabla_query__2[[#This Row],[InicioDes]]</f>
        <v>0</v>
      </c>
      <c r="AQ169" s="384">
        <f>Tabla_query__2[[#This Row],[FinDes2]]</f>
        <v>0</v>
      </c>
      <c r="AR169" s="462">
        <f>Tabla_query__2[[#This Row],[Número
Semanas]]/4</f>
        <v>0</v>
      </c>
      <c r="AS169" s="269">
        <f>Tabla_query__2[[#This Row],[FinDes2]]-Tabla_query__2[[#This Row],[InicioDes2]]</f>
        <v>0</v>
      </c>
      <c r="AT169" s="261"/>
      <c r="AU169"/>
      <c r="AV169"/>
    </row>
    <row r="170" spans="1:51" s="329" customFormat="1" ht="57" customHeight="1">
      <c r="A170" s="318" t="s">
        <v>130</v>
      </c>
      <c r="B170" s="262" t="s">
        <v>218</v>
      </c>
      <c r="C170" s="262"/>
      <c r="D170" s="262" t="s">
        <v>541</v>
      </c>
      <c r="E170" s="433"/>
      <c r="F170" s="277" t="s">
        <v>542</v>
      </c>
      <c r="G170" s="259"/>
      <c r="H170" s="259" t="s">
        <v>204</v>
      </c>
      <c r="I170" s="262" t="s">
        <v>220</v>
      </c>
      <c r="J170" s="262" t="s">
        <v>139</v>
      </c>
      <c r="K170" s="262"/>
      <c r="L170" s="262"/>
      <c r="M170" s="262" t="s">
        <v>206</v>
      </c>
      <c r="N170" s="262" t="s">
        <v>543</v>
      </c>
      <c r="O170" t="s">
        <v>544</v>
      </c>
      <c r="P170" s="262" t="s">
        <v>139</v>
      </c>
      <c r="Q170" s="262" t="s">
        <v>208</v>
      </c>
      <c r="R170" s="262" t="s">
        <v>209</v>
      </c>
      <c r="S170" s="261"/>
      <c r="T170" s="261" t="s">
        <v>145</v>
      </c>
      <c r="U170" s="261"/>
      <c r="V170" s="261" t="s">
        <v>210</v>
      </c>
      <c r="W170" s="261"/>
      <c r="X170" s="261">
        <v>2</v>
      </c>
      <c r="Y170" s="261">
        <f>Tabla_query__2[[#This Row],[Número
Semanas]]*5*8</f>
        <v>80</v>
      </c>
      <c r="Z170" s="268">
        <f>Tabla_query__2[[#This Row],[TOTAL]]/Tabla_query__2[[#This Row],[Número de Horas]]/2</f>
        <v>14</v>
      </c>
      <c r="AA170" s="261">
        <v>2</v>
      </c>
      <c r="AB170" s="261">
        <v>400</v>
      </c>
      <c r="AC170" s="261"/>
      <c r="AD170" s="268">
        <f>Tabla_query__2[[#This Row],[Número
Semanas]]*Tabla_query__2[[#This Row],[Número
Personas]]*Tabla_query__2[[#This Row],[Costo
Mano Obra/semana]] + 640</f>
        <v>2240</v>
      </c>
      <c r="AE170" s="261"/>
      <c r="AF170" s="261"/>
      <c r="AG170" s="547" t="s">
        <v>191</v>
      </c>
      <c r="AH170" s="267">
        <v>45411</v>
      </c>
      <c r="AI170" s="594"/>
      <c r="AJ170" s="281" t="e">
        <f>#REF!</f>
        <v>#REF!</v>
      </c>
      <c r="AK170" s="594"/>
      <c r="AL170" s="594"/>
      <c r="AM170" s="281">
        <f>AL170+ ((AK170*7))</f>
        <v>0</v>
      </c>
      <c r="AN170" s="267">
        <v>45440</v>
      </c>
      <c r="AO170" s="267">
        <v>45440</v>
      </c>
      <c r="AP170" s="267">
        <f>Tabla_query__2[[#This Row],[InicioDes]]</f>
        <v>45411</v>
      </c>
      <c r="AQ170" s="267">
        <f>Tabla_query__2[[#This Row],[FinDes2]]</f>
        <v>45440</v>
      </c>
      <c r="AR170" s="576">
        <f>Tabla_query__2[[#This Row],[Número
Semanas]]/4</f>
        <v>0.5</v>
      </c>
      <c r="AS170" s="269">
        <f>Tabla_query__2[[#This Row],[FinDes2]]-Tabla_query__2[[#This Row],[InicioDes2]]</f>
        <v>0</v>
      </c>
      <c r="AT170" s="261"/>
      <c r="AU170"/>
      <c r="AV170"/>
    </row>
    <row r="171" spans="1:51" s="329" customFormat="1" ht="24.75" customHeight="1">
      <c r="A171" s="318">
        <v>2024</v>
      </c>
      <c r="B171" s="262" t="s">
        <v>134</v>
      </c>
      <c r="C171" s="262"/>
      <c r="D171" s="262" t="s">
        <v>545</v>
      </c>
      <c r="E171" s="277" t="s">
        <v>546</v>
      </c>
      <c r="F171" s="259"/>
      <c r="G171" s="259"/>
      <c r="H171" s="259"/>
      <c r="I171" s="262" t="s">
        <v>139</v>
      </c>
      <c r="J171" s="262" t="s">
        <v>139</v>
      </c>
      <c r="K171" s="262"/>
      <c r="L171" s="262"/>
      <c r="M171" s="262" t="s">
        <v>206</v>
      </c>
      <c r="N171" s="262" t="s">
        <v>64</v>
      </c>
      <c r="O171" t="s">
        <v>547</v>
      </c>
      <c r="P171" s="262" t="s">
        <v>139</v>
      </c>
      <c r="Q171" s="262" t="s">
        <v>208</v>
      </c>
      <c r="R171" s="262" t="s">
        <v>144</v>
      </c>
      <c r="S171" s="547"/>
      <c r="T171" s="261" t="str">
        <f>IF(MONTH(AH171)&lt;4, "Q1",IF(AND(MONTH(AH171)&gt;3,MONTH(AH171)&lt;=6),"Q2",IF(AND(MONTH(AH171)&gt;6,MONTH(AH171)&lt;=9),"Q3","Q4")))</f>
        <v>Q2</v>
      </c>
      <c r="U171" s="261"/>
      <c r="V171" s="261"/>
      <c r="W171" s="261"/>
      <c r="X171" s="261">
        <v>12</v>
      </c>
      <c r="Y171" s="261">
        <f>Tabla_query__2[[#This Row],[Número
Semanas]]*5*8</f>
        <v>480</v>
      </c>
      <c r="Z171" s="268">
        <f>Tabla_query__2[[#This Row],[TOTAL]]/Tabla_query__2[[#This Row],[Número de Horas]]/2</f>
        <v>21.229166666666668</v>
      </c>
      <c r="AA171" s="261">
        <v>3</v>
      </c>
      <c r="AB171" s="261">
        <v>550</v>
      </c>
      <c r="AC171" s="261"/>
      <c r="AD171" s="388">
        <f>Tabla_query__2[[#This Row],[Número
Semanas]]*Tabla_query__2[[#This Row],[Número
Personas]]*Tabla_query__2[[#This Row],[Costo
Mano Obra/semana]]+580</f>
        <v>20380</v>
      </c>
      <c r="AE171" s="261"/>
      <c r="AF171" s="267"/>
      <c r="AG171" s="547" t="s">
        <v>191</v>
      </c>
      <c r="AH171" s="281">
        <v>45411</v>
      </c>
      <c r="AI171" s="281">
        <v>45467</v>
      </c>
      <c r="AJ171" s="281">
        <v>45436</v>
      </c>
      <c r="AK171" s="281">
        <v>45468</v>
      </c>
      <c r="AL171" s="281">
        <v>45482</v>
      </c>
      <c r="AM171" s="281">
        <v>45465</v>
      </c>
      <c r="AN171" s="281">
        <v>45483</v>
      </c>
      <c r="AO171" s="281">
        <v>45490</v>
      </c>
      <c r="AP171" s="281">
        <f>Tabla_query__2[[#This Row],[InicioDes]]</f>
        <v>45411</v>
      </c>
      <c r="AQ171" s="281">
        <f>Tabla_query__2[[#This Row],[FinDes2]]</f>
        <v>45490</v>
      </c>
      <c r="AR171" s="384">
        <f>Tabla_query__2[[#This Row],[Número
Semanas]]/4</f>
        <v>3</v>
      </c>
      <c r="AS171" s="269">
        <f>Tabla_query__2[[#This Row],[FinDes2]]-Tabla_query__2[[#This Row],[InicioDes2]]</f>
        <v>7</v>
      </c>
      <c r="AT171" s="261"/>
      <c r="AU171"/>
      <c r="AV171"/>
    </row>
    <row r="172" spans="1:51" s="329" customFormat="1" ht="23.25">
      <c r="A172" s="318" t="s">
        <v>130</v>
      </c>
      <c r="B172" s="262" t="s">
        <v>218</v>
      </c>
      <c r="C172" s="262"/>
      <c r="D172" s="262" t="s">
        <v>548</v>
      </c>
      <c r="E172" s="277" t="s">
        <v>549</v>
      </c>
      <c r="F172" s="259"/>
      <c r="G172" s="259"/>
      <c r="H172" s="259" t="s">
        <v>204</v>
      </c>
      <c r="I172" s="262" t="s">
        <v>220</v>
      </c>
      <c r="J172" s="262" t="s">
        <v>139</v>
      </c>
      <c r="K172" s="262"/>
      <c r="L172" s="262"/>
      <c r="M172" s="262" t="s">
        <v>206</v>
      </c>
      <c r="N172" s="262" t="s">
        <v>550</v>
      </c>
      <c r="O172" t="s">
        <v>551</v>
      </c>
      <c r="P172" s="262" t="s">
        <v>139</v>
      </c>
      <c r="Q172" s="262" t="s">
        <v>208</v>
      </c>
      <c r="R172" s="262" t="s">
        <v>144</v>
      </c>
      <c r="S172" s="261"/>
      <c r="T172" s="261" t="s">
        <v>145</v>
      </c>
      <c r="U172" s="261"/>
      <c r="V172" s="261" t="s">
        <v>210</v>
      </c>
      <c r="W172" s="261"/>
      <c r="X172" s="261">
        <v>2</v>
      </c>
      <c r="Y172" s="261">
        <f>Tabla_query__2[[#This Row],[Número
Semanas]]*5*8</f>
        <v>80</v>
      </c>
      <c r="Z172" s="268">
        <f>Tabla_query__2[[#This Row],[TOTAL]]/Tabla_query__2[[#This Row],[Número de Horas]]/2</f>
        <v>9</v>
      </c>
      <c r="AA172" s="261">
        <v>1</v>
      </c>
      <c r="AB172" s="261">
        <v>400</v>
      </c>
      <c r="AC172" s="261"/>
      <c r="AD172" s="268">
        <f>Tabla_query__2[[#This Row],[Número
Semanas]]*Tabla_query__2[[#This Row],[Número
Personas]]*Tabla_query__2[[#This Row],[Costo
Mano Obra/semana]] + 640</f>
        <v>1440</v>
      </c>
      <c r="AE172" s="261"/>
      <c r="AF172" s="261"/>
      <c r="AG172" s="547" t="s">
        <v>191</v>
      </c>
      <c r="AH172" s="267">
        <v>45411</v>
      </c>
      <c r="AI172" s="594"/>
      <c r="AJ172" s="281" t="e">
        <f>#REF!</f>
        <v>#REF!</v>
      </c>
      <c r="AK172" s="594"/>
      <c r="AL172" s="594"/>
      <c r="AM172" s="281">
        <f t="shared" ref="AM172:AM177" si="8">AL172+ ((AK172*7))</f>
        <v>0</v>
      </c>
      <c r="AN172" s="267">
        <v>45440</v>
      </c>
      <c r="AO172" s="267">
        <v>45440</v>
      </c>
      <c r="AP172" s="267">
        <f>Tabla_query__2[[#This Row],[InicioDes]]</f>
        <v>45411</v>
      </c>
      <c r="AQ172" s="267">
        <f>Tabla_query__2[[#This Row],[FinDes2]]</f>
        <v>45440</v>
      </c>
      <c r="AR172" s="576">
        <f>Tabla_query__2[[#This Row],[Número
Semanas]]/4</f>
        <v>0.5</v>
      </c>
      <c r="AS172" s="269">
        <f>Tabla_query__2[[#This Row],[FinDes2]]-Tabla_query__2[[#This Row],[InicioDes2]]</f>
        <v>0</v>
      </c>
      <c r="AT172" s="261"/>
      <c r="AU172"/>
      <c r="AV172"/>
    </row>
    <row r="173" spans="1:51" s="329" customFormat="1" ht="34.9">
      <c r="A173" s="318" t="s">
        <v>130</v>
      </c>
      <c r="B173" s="262" t="s">
        <v>218</v>
      </c>
      <c r="C173" s="262"/>
      <c r="D173" s="277" t="s">
        <v>552</v>
      </c>
      <c r="E173" s="262"/>
      <c r="F173" s="259" t="s">
        <v>553</v>
      </c>
      <c r="G173" s="259"/>
      <c r="H173" s="259" t="s">
        <v>204</v>
      </c>
      <c r="I173" s="262" t="s">
        <v>296</v>
      </c>
      <c r="J173" s="262" t="s">
        <v>4</v>
      </c>
      <c r="K173" s="262"/>
      <c r="L173" s="262"/>
      <c r="M173" s="262" t="s">
        <v>206</v>
      </c>
      <c r="N173" s="262" t="s">
        <v>554</v>
      </c>
      <c r="O173" s="262" t="s">
        <v>555</v>
      </c>
      <c r="P173" s="262" t="s">
        <v>32</v>
      </c>
      <c r="Q173" s="262" t="s">
        <v>208</v>
      </c>
      <c r="R173" s="262" t="s">
        <v>197</v>
      </c>
      <c r="S173" s="261"/>
      <c r="T173" s="261" t="s">
        <v>152</v>
      </c>
      <c r="U173" s="261"/>
      <c r="V173" s="261" t="s">
        <v>210</v>
      </c>
      <c r="W173" s="261"/>
      <c r="X173" s="261">
        <v>2</v>
      </c>
      <c r="Y173" s="261">
        <f>Tabla_query__2[[#This Row],[Número
Semanas]]*5*8</f>
        <v>80</v>
      </c>
      <c r="Z173" s="268">
        <f>Tabla_query__2[[#This Row],[TOTAL]]/Tabla_query__2[[#This Row],[Número de Horas]]/2</f>
        <v>14</v>
      </c>
      <c r="AA173" s="261">
        <v>2</v>
      </c>
      <c r="AB173" s="261">
        <v>400</v>
      </c>
      <c r="AC173" s="261"/>
      <c r="AD173" s="268">
        <f>Tabla_query__2[[#This Row],[Número
Semanas]]*Tabla_query__2[[#This Row],[Número
Personas]]*Tabla_query__2[[#This Row],[Costo
Mano Obra/semana]] + 640</f>
        <v>2240</v>
      </c>
      <c r="AE173" s="261"/>
      <c r="AF173" s="261"/>
      <c r="AG173" s="547">
        <v>0</v>
      </c>
      <c r="AH173" s="267">
        <v>45362</v>
      </c>
      <c r="AI173" s="267">
        <v>45374</v>
      </c>
      <c r="AJ173" s="282" t="e">
        <f>#REF!</f>
        <v>#REF!</v>
      </c>
      <c r="AK173" s="267">
        <v>45377</v>
      </c>
      <c r="AL173" s="267">
        <v>45384</v>
      </c>
      <c r="AM173" s="282">
        <f t="shared" si="8"/>
        <v>363023</v>
      </c>
      <c r="AN173" s="267"/>
      <c r="AO173" s="267"/>
      <c r="AP173" s="384">
        <f>Tabla_query__2[[#This Row],[InicioDes]]</f>
        <v>45362</v>
      </c>
      <c r="AQ173" s="384">
        <f>Tabla_query__2[[#This Row],[FinDes2]]</f>
        <v>0</v>
      </c>
      <c r="AR173" s="462">
        <f>Tabla_query__2[[#This Row],[Número
Semanas]]/4</f>
        <v>0.5</v>
      </c>
      <c r="AS173" s="269">
        <f>Tabla_query__2[[#This Row],[FinDes2]]-Tabla_query__2[[#This Row],[InicioDes2]]</f>
        <v>0</v>
      </c>
      <c r="AT173" s="261"/>
      <c r="AU173"/>
      <c r="AV173"/>
    </row>
    <row r="174" spans="1:51" s="329" customFormat="1" ht="20.25" customHeight="1">
      <c r="A174" s="318" t="s">
        <v>130</v>
      </c>
      <c r="B174" s="262" t="s">
        <v>218</v>
      </c>
      <c r="C174" s="262"/>
      <c r="D174" s="277" t="s">
        <v>556</v>
      </c>
      <c r="E174" s="262"/>
      <c r="F174" s="259" t="s">
        <v>557</v>
      </c>
      <c r="G174" s="259"/>
      <c r="H174" s="259" t="s">
        <v>204</v>
      </c>
      <c r="I174" s="262" t="s">
        <v>296</v>
      </c>
      <c r="J174" s="262" t="s">
        <v>4</v>
      </c>
      <c r="K174" s="262"/>
      <c r="L174" s="262"/>
      <c r="M174" s="262" t="s">
        <v>206</v>
      </c>
      <c r="N174" s="262" t="s">
        <v>554</v>
      </c>
      <c r="O174" s="262" t="s">
        <v>555</v>
      </c>
      <c r="P174" s="262" t="s">
        <v>32</v>
      </c>
      <c r="Q174" s="262" t="s">
        <v>208</v>
      </c>
      <c r="R174" s="262" t="s">
        <v>197</v>
      </c>
      <c r="S174" s="261"/>
      <c r="T174" s="261" t="s">
        <v>152</v>
      </c>
      <c r="U174" s="261"/>
      <c r="V174" s="261" t="s">
        <v>210</v>
      </c>
      <c r="W174" s="261"/>
      <c r="X174" s="261">
        <v>2</v>
      </c>
      <c r="Y174" s="261">
        <f>Tabla_query__2[[#This Row],[Número
Semanas]]*5*8</f>
        <v>80</v>
      </c>
      <c r="Z174" s="268">
        <f>Tabla_query__2[[#This Row],[TOTAL]]/Tabla_query__2[[#This Row],[Número de Horas]]/2</f>
        <v>14</v>
      </c>
      <c r="AA174" s="261">
        <v>2</v>
      </c>
      <c r="AB174" s="261">
        <v>400</v>
      </c>
      <c r="AC174" s="261"/>
      <c r="AD174" s="268">
        <f>Tabla_query__2[[#This Row],[Número
Semanas]]*Tabla_query__2[[#This Row],[Número
Personas]]*Tabla_query__2[[#This Row],[Costo
Mano Obra/semana]] + 640</f>
        <v>2240</v>
      </c>
      <c r="AE174" s="261"/>
      <c r="AF174" s="261"/>
      <c r="AG174" s="547">
        <v>0</v>
      </c>
      <c r="AH174" s="267">
        <v>45348</v>
      </c>
      <c r="AI174" s="267">
        <v>45359</v>
      </c>
      <c r="AJ174" s="282" t="e">
        <f>#REF!</f>
        <v>#REF!</v>
      </c>
      <c r="AK174" s="267">
        <v>45363</v>
      </c>
      <c r="AL174" s="267">
        <v>45370</v>
      </c>
      <c r="AM174" s="282">
        <f t="shared" si="8"/>
        <v>362911</v>
      </c>
      <c r="AN174" s="267"/>
      <c r="AO174" s="267"/>
      <c r="AP174" s="384">
        <f>Tabla_query__2[[#This Row],[InicioDes]]</f>
        <v>45348</v>
      </c>
      <c r="AQ174" s="384">
        <f>Tabla_query__2[[#This Row],[FinDes2]]</f>
        <v>0</v>
      </c>
      <c r="AR174" s="462">
        <f>Tabla_query__2[[#This Row],[Número
Semanas]]/4</f>
        <v>0.5</v>
      </c>
      <c r="AS174" s="269">
        <f>Tabla_query__2[[#This Row],[FinDes2]]-Tabla_query__2[[#This Row],[InicioDes2]]</f>
        <v>0</v>
      </c>
      <c r="AT174" s="261"/>
      <c r="AU174"/>
      <c r="AV174"/>
    </row>
    <row r="175" spans="1:51" s="329" customFormat="1" ht="23.25" customHeight="1">
      <c r="A175" s="318" t="s">
        <v>130</v>
      </c>
      <c r="B175" s="262" t="s">
        <v>134</v>
      </c>
      <c r="C175" s="262"/>
      <c r="D175" s="277" t="s">
        <v>558</v>
      </c>
      <c r="E175" s="262" t="s">
        <v>203</v>
      </c>
      <c r="F175" s="259" t="s">
        <v>559</v>
      </c>
      <c r="G175" s="259"/>
      <c r="H175" s="259" t="s">
        <v>204</v>
      </c>
      <c r="I175" s="262" t="s">
        <v>560</v>
      </c>
      <c r="J175" s="262" t="s">
        <v>4</v>
      </c>
      <c r="K175" s="262"/>
      <c r="L175" s="262"/>
      <c r="M175" s="262" t="s">
        <v>206</v>
      </c>
      <c r="N175" s="277" t="s">
        <v>561</v>
      </c>
      <c r="O175" t="s">
        <v>562</v>
      </c>
      <c r="P175" s="262" t="s">
        <v>25</v>
      </c>
      <c r="Q175" s="262" t="s">
        <v>208</v>
      </c>
      <c r="R175" s="262" t="s">
        <v>144</v>
      </c>
      <c r="S175" s="547">
        <v>2</v>
      </c>
      <c r="T175" s="261" t="str">
        <f>IF(MONTH(AH175)&lt;4, "Q1",IF(AND(MONTH(AH175)&gt;3,MONTH(AH175)&lt;=6),"Q2",IF(AND(MONTH(AH175)&gt;6,MONTH(AH175)&lt;=9),"Q3","Q4")))</f>
        <v>Q2</v>
      </c>
      <c r="U175" s="261"/>
      <c r="V175" s="261" t="s">
        <v>210</v>
      </c>
      <c r="W175" s="261">
        <v>1</v>
      </c>
      <c r="X175" s="261">
        <v>2</v>
      </c>
      <c r="Y175" s="261">
        <f>Tabla_query__2[[#This Row],[Número
Semanas]]*5*8</f>
        <v>80</v>
      </c>
      <c r="Z175" s="268">
        <f>Tabla_query__2[[#This Row],[TOTAL]]/Tabla_query__2[[#This Row],[Número de Horas]]/2</f>
        <v>10.5</v>
      </c>
      <c r="AA175" s="261">
        <v>1</v>
      </c>
      <c r="AB175" s="261">
        <v>550</v>
      </c>
      <c r="AC175" s="261"/>
      <c r="AD175" s="388">
        <f>Tabla_query__2[[#This Row],[Número
Semanas]]*Tabla_query__2[[#This Row],[Número
Personas]]*Tabla_query__2[[#This Row],[Costo
Mano Obra/semana]]+580</f>
        <v>1680</v>
      </c>
      <c r="AE175" s="261"/>
      <c r="AF175" s="261"/>
      <c r="AG175" s="547" t="s">
        <v>191</v>
      </c>
      <c r="AH175" s="282">
        <v>45411</v>
      </c>
      <c r="AI175" s="282">
        <v>45428</v>
      </c>
      <c r="AJ175" s="282">
        <f>Tabla_query__2[[#This Row],[FinDes]]-Tabla_query__2[[#This Row],[InicioDes]]</f>
        <v>17</v>
      </c>
      <c r="AK175" s="282">
        <v>45429</v>
      </c>
      <c r="AL175" s="282">
        <v>45432</v>
      </c>
      <c r="AM175" s="282">
        <f t="shared" si="8"/>
        <v>363435</v>
      </c>
      <c r="AN175" s="282">
        <v>45433</v>
      </c>
      <c r="AO175" s="282">
        <v>45440</v>
      </c>
      <c r="AP175" s="699">
        <v>45414</v>
      </c>
      <c r="AQ175" s="701">
        <f>+Tabla_query__2[[#This Row],[FinDes2]]</f>
        <v>45440</v>
      </c>
      <c r="AR175" s="462">
        <f>Tabla_query__2[[#This Row],[Número
Semanas]]/4</f>
        <v>0.5</v>
      </c>
      <c r="AS175" s="269">
        <f>Tabla_query__2[[#This Row],[FinDes2]]-Tabla_query__2[[#This Row],[InicioDes2]]</f>
        <v>7</v>
      </c>
      <c r="AT175" s="261"/>
      <c r="AU175"/>
      <c r="AV175"/>
    </row>
    <row r="176" spans="1:51" s="329" customFormat="1">
      <c r="A176" s="318" t="s">
        <v>130</v>
      </c>
      <c r="B176" s="262" t="s">
        <v>457</v>
      </c>
      <c r="C176" s="262"/>
      <c r="D176" s="277" t="s">
        <v>563</v>
      </c>
      <c r="E176" s="262"/>
      <c r="F176" s="259" t="s">
        <v>564</v>
      </c>
      <c r="G176" s="259"/>
      <c r="H176" s="259" t="s">
        <v>204</v>
      </c>
      <c r="I176" s="262" t="s">
        <v>563</v>
      </c>
      <c r="J176" s="262" t="s">
        <v>4</v>
      </c>
      <c r="K176" s="262"/>
      <c r="L176" s="262"/>
      <c r="M176" s="262" t="s">
        <v>206</v>
      </c>
      <c r="N176" s="262" t="s">
        <v>39</v>
      </c>
      <c r="O176" t="s">
        <v>565</v>
      </c>
      <c r="P176" s="262" t="s">
        <v>37</v>
      </c>
      <c r="Q176" s="262" t="s">
        <v>208</v>
      </c>
      <c r="R176" s="262" t="s">
        <v>144</v>
      </c>
      <c r="S176" s="261" t="s">
        <v>152</v>
      </c>
      <c r="T176" s="261" t="s">
        <v>145</v>
      </c>
      <c r="U176" s="261"/>
      <c r="V176" s="261" t="s">
        <v>146</v>
      </c>
      <c r="W176" s="261"/>
      <c r="X176" s="261">
        <v>8</v>
      </c>
      <c r="Y176" s="261">
        <f>Tabla_query__2[[#This Row],[Número
Semanas]]*5*8</f>
        <v>320</v>
      </c>
      <c r="Z176" s="268">
        <f>Tabla_query__2[[#This Row],[TOTAL]]/Tabla_query__2[[#This Row],[Número de Horas]]/2</f>
        <v>13.125</v>
      </c>
      <c r="AA176" s="261">
        <v>1</v>
      </c>
      <c r="AB176" s="261">
        <v>550</v>
      </c>
      <c r="AC176" s="261"/>
      <c r="AD176" s="268">
        <f>Tabla_query__2[[#This Row],[Número
Semanas]]*Tabla_query__2[[#This Row],[Número
Personas]]*Tabla_query__2[[#This Row],[Costo
Mano Obra/semana]] + (80*50)</f>
        <v>8400</v>
      </c>
      <c r="AE176" s="261"/>
      <c r="AF176" s="261"/>
      <c r="AG176" s="261"/>
      <c r="AH176" s="267">
        <v>45352</v>
      </c>
      <c r="AI176" s="267">
        <v>45383</v>
      </c>
      <c r="AJ176" s="282" t="e">
        <f>#REF!</f>
        <v>#REF!</v>
      </c>
      <c r="AK176" s="267">
        <v>45383</v>
      </c>
      <c r="AL176" s="267">
        <v>45396</v>
      </c>
      <c r="AM176" s="282">
        <f t="shared" si="8"/>
        <v>363077</v>
      </c>
      <c r="AN176" s="267">
        <v>45396</v>
      </c>
      <c r="AO176" s="267">
        <v>45413</v>
      </c>
      <c r="AP176" s="384">
        <f>Tabla_query__2[[#This Row],[InicioDes]]</f>
        <v>45352</v>
      </c>
      <c r="AQ176" s="384">
        <f>Tabla_query__2[[#This Row],[FinDes2]]</f>
        <v>45413</v>
      </c>
      <c r="AR176" s="267">
        <f>Tabla_query__2[[#This Row],[Número
Semanas]]/4</f>
        <v>2</v>
      </c>
      <c r="AS176" s="269">
        <f>Tabla_query__2[[#This Row],[FinDes2]]-Tabla_query__2[[#This Row],[InicioDes2]]</f>
        <v>17</v>
      </c>
      <c r="AT176" s="261"/>
      <c r="AU176"/>
      <c r="AV176"/>
    </row>
    <row r="177" spans="1:48" ht="20.25" customHeight="1">
      <c r="A177" s="318" t="s">
        <v>130</v>
      </c>
      <c r="B177" s="262" t="s">
        <v>457</v>
      </c>
      <c r="C177" s="262"/>
      <c r="D177" s="262" t="s">
        <v>566</v>
      </c>
      <c r="E177" s="262"/>
      <c r="F177" s="259"/>
      <c r="G177" s="259"/>
      <c r="H177" s="259" t="s">
        <v>204</v>
      </c>
      <c r="I177" s="262" t="s">
        <v>563</v>
      </c>
      <c r="J177" s="262" t="s">
        <v>4</v>
      </c>
      <c r="K177" s="262"/>
      <c r="L177" s="262"/>
      <c r="M177" s="262" t="s">
        <v>206</v>
      </c>
      <c r="N177" s="262" t="s">
        <v>39</v>
      </c>
      <c r="O177" t="s">
        <v>565</v>
      </c>
      <c r="P177" s="262" t="s">
        <v>37</v>
      </c>
      <c r="Q177" s="262" t="s">
        <v>208</v>
      </c>
      <c r="R177" s="262" t="s">
        <v>144</v>
      </c>
      <c r="S177" s="261" t="s">
        <v>152</v>
      </c>
      <c r="T177" s="261" t="s">
        <v>145</v>
      </c>
      <c r="U177" s="261"/>
      <c r="V177" s="261" t="s">
        <v>146</v>
      </c>
      <c r="W177" s="261"/>
      <c r="X177" s="261">
        <v>4</v>
      </c>
      <c r="Y177" s="261">
        <f>Tabla_query__2[[#This Row],[Número
Semanas]]*5*8</f>
        <v>160</v>
      </c>
      <c r="Z177" s="268">
        <f>Tabla_query__2[[#This Row],[TOTAL]]/Tabla_query__2[[#This Row],[Número de Horas]]/2</f>
        <v>7.5</v>
      </c>
      <c r="AA177" s="261">
        <v>1</v>
      </c>
      <c r="AB177" s="261">
        <v>600</v>
      </c>
      <c r="AC177" s="261"/>
      <c r="AD177" s="268">
        <f>Tabla_query__2[[#This Row],[Número
Semanas]]*Tabla_query__2[[#This Row],[Número
Personas]]*Tabla_query__2[[#This Row],[Costo
Mano Obra/semana]]</f>
        <v>2400</v>
      </c>
      <c r="AE177" s="261"/>
      <c r="AF177" s="261"/>
      <c r="AG177" s="261"/>
      <c r="AH177" s="267">
        <v>45352</v>
      </c>
      <c r="AI177" s="267">
        <v>45383</v>
      </c>
      <c r="AJ177" s="282" t="e">
        <f>#REF!</f>
        <v>#REF!</v>
      </c>
      <c r="AK177" s="267">
        <v>45383</v>
      </c>
      <c r="AL177" s="267">
        <v>45396</v>
      </c>
      <c r="AM177" s="282">
        <f t="shared" si="8"/>
        <v>363077</v>
      </c>
      <c r="AN177" s="267">
        <v>45396</v>
      </c>
      <c r="AO177" s="267">
        <v>45413</v>
      </c>
      <c r="AP177" s="384">
        <f>Tabla_query__2[[#This Row],[InicioDes]]</f>
        <v>45352</v>
      </c>
      <c r="AQ177" s="384">
        <f>Tabla_query__2[[#This Row],[FinDes2]]</f>
        <v>45413</v>
      </c>
      <c r="AR177" s="462">
        <f>Tabla_query__2[[#This Row],[Número
Semanas]]/4</f>
        <v>1</v>
      </c>
      <c r="AS177" s="269">
        <f>Tabla_query__2[[#This Row],[FinDes2]]-Tabla_query__2[[#This Row],[InicioDes2]]</f>
        <v>17</v>
      </c>
      <c r="AT177" s="261"/>
    </row>
    <row r="178" spans="1:48" ht="20.25" customHeight="1">
      <c r="A178" s="318">
        <v>2024</v>
      </c>
      <c r="B178" s="262" t="s">
        <v>134</v>
      </c>
      <c r="C178" s="262"/>
      <c r="D178" s="262" t="s">
        <v>567</v>
      </c>
      <c r="E178" s="262"/>
      <c r="F178" s="259"/>
      <c r="G178" s="259"/>
      <c r="H178" s="259" t="s">
        <v>204</v>
      </c>
      <c r="I178" s="262" t="s">
        <v>500</v>
      </c>
      <c r="J178" s="262" t="s">
        <v>53</v>
      </c>
      <c r="K178" s="262"/>
      <c r="L178" s="262"/>
      <c r="M178" s="262" t="s">
        <v>206</v>
      </c>
      <c r="N178" s="262" t="s">
        <v>65</v>
      </c>
      <c r="O178" t="s">
        <v>568</v>
      </c>
      <c r="P178" s="262" t="s">
        <v>61</v>
      </c>
      <c r="Q178" s="262" t="s">
        <v>208</v>
      </c>
      <c r="R178" s="262" t="s">
        <v>144</v>
      </c>
      <c r="S178" s="547"/>
      <c r="T178" s="261" t="str">
        <f>IF(MONTH(AH178)&lt;4, "Q1",IF(AND(MONTH(AH178)&gt;3,MONTH(AH178)&lt;=6),"Q2",IF(AND(MONTH(AH178)&gt;6,MONTH(AH178)&lt;=9),"Q3","Q4")))</f>
        <v>Q3</v>
      </c>
      <c r="U178" s="261"/>
      <c r="V178" s="261" t="s">
        <v>210</v>
      </c>
      <c r="W178" s="261">
        <v>1</v>
      </c>
      <c r="X178" s="261">
        <v>4</v>
      </c>
      <c r="Y178" s="261">
        <f>Tabla_query__2[[#This Row],[Número
Semanas]]*5*8</f>
        <v>160</v>
      </c>
      <c r="Z178" s="268">
        <f>Tabla_query__2[[#This Row],[TOTAL]]/Tabla_query__2[[#This Row],[Número de Horas]]/2</f>
        <v>8.6875</v>
      </c>
      <c r="AA178" s="261">
        <v>1</v>
      </c>
      <c r="AB178" s="261">
        <v>550</v>
      </c>
      <c r="AC178" s="261"/>
      <c r="AD178" s="388">
        <f>Tabla_query__2[[#This Row],[Número
Semanas]]*Tabla_query__2[[#This Row],[Número
Personas]]*Tabla_query__2[[#This Row],[Costo
Mano Obra/semana]]+580</f>
        <v>2780</v>
      </c>
      <c r="AE178" s="261"/>
      <c r="AF178" s="261"/>
      <c r="AG178" s="547">
        <v>4</v>
      </c>
      <c r="AH178" s="384">
        <v>45474</v>
      </c>
      <c r="AI178" s="384">
        <v>45502</v>
      </c>
      <c r="AJ178" s="384">
        <v>45561</v>
      </c>
      <c r="AK178" s="384">
        <v>45503</v>
      </c>
      <c r="AL178" s="384">
        <v>45517</v>
      </c>
      <c r="AM178" s="384">
        <v>45590</v>
      </c>
      <c r="AN178" s="384">
        <v>45518</v>
      </c>
      <c r="AO178" s="384">
        <v>45532</v>
      </c>
      <c r="AP178" s="384">
        <f>Tabla_query__2[[#This Row],[InicioDes]]</f>
        <v>45474</v>
      </c>
      <c r="AQ178" s="384">
        <f>Tabla_query__2[[#This Row],[FinDes2]]</f>
        <v>45532</v>
      </c>
      <c r="AR178" s="384">
        <f>Tabla_query__2[[#This Row],[Número
Semanas]]/4</f>
        <v>1</v>
      </c>
      <c r="AS178" s="269">
        <f>Tabla_query__2[[#This Row],[FinDes2]]-Tabla_query__2[[#This Row],[InicioDes2]]</f>
        <v>14</v>
      </c>
      <c r="AT178" s="261"/>
    </row>
    <row r="179" spans="1:48" ht="30" customHeight="1">
      <c r="A179" s="318" t="s">
        <v>130</v>
      </c>
      <c r="B179" s="262" t="s">
        <v>218</v>
      </c>
      <c r="C179" s="262"/>
      <c r="D179" s="277" t="s">
        <v>569</v>
      </c>
      <c r="E179" s="262"/>
      <c r="F179" s="259" t="s">
        <v>570</v>
      </c>
      <c r="G179" s="259"/>
      <c r="H179" s="259" t="s">
        <v>204</v>
      </c>
      <c r="I179" s="262" t="s">
        <v>445</v>
      </c>
      <c r="J179" s="262" t="s">
        <v>4</v>
      </c>
      <c r="K179" s="262"/>
      <c r="L179" s="262"/>
      <c r="M179" s="262" t="s">
        <v>206</v>
      </c>
      <c r="N179" s="262" t="s">
        <v>15</v>
      </c>
      <c r="O179" t="s">
        <v>571</v>
      </c>
      <c r="P179" s="262" t="s">
        <v>11</v>
      </c>
      <c r="Q179" s="262" t="s">
        <v>208</v>
      </c>
      <c r="R179" s="262" t="s">
        <v>144</v>
      </c>
      <c r="S179" s="261" t="s">
        <v>146</v>
      </c>
      <c r="T179" s="261" t="s">
        <v>145</v>
      </c>
      <c r="U179" s="261"/>
      <c r="V179" s="261" t="s">
        <v>210</v>
      </c>
      <c r="W179" s="261"/>
      <c r="X179" s="261">
        <v>2</v>
      </c>
      <c r="Y179" s="261">
        <f>Tabla_query__2[[#This Row],[Número
Semanas]]*5*8</f>
        <v>80</v>
      </c>
      <c r="Z179" s="268">
        <f>Tabla_query__2[[#This Row],[TOTAL]]/Tabla_query__2[[#This Row],[Número de Horas]]/2</f>
        <v>14</v>
      </c>
      <c r="AA179" s="261">
        <v>2</v>
      </c>
      <c r="AB179" s="261">
        <v>400</v>
      </c>
      <c r="AC179" s="261"/>
      <c r="AD179" s="268">
        <f>Tabla_query__2[[#This Row],[Número
Semanas]]*Tabla_query__2[[#This Row],[Número
Personas]]*Tabla_query__2[[#This Row],[Costo
Mano Obra/semana]] + 640</f>
        <v>2240</v>
      </c>
      <c r="AE179" s="261"/>
      <c r="AF179" s="261"/>
      <c r="AG179" s="547" t="s">
        <v>154</v>
      </c>
      <c r="AH179" s="267">
        <v>45439</v>
      </c>
      <c r="AI179" s="267"/>
      <c r="AJ179" s="282" t="e">
        <f>#REF!</f>
        <v>#REF!</v>
      </c>
      <c r="AK179" s="267"/>
      <c r="AL179" s="267"/>
      <c r="AM179" s="282">
        <f t="shared" ref="AM179:AM197" si="9">AL179+ ((AK179*7))</f>
        <v>0</v>
      </c>
      <c r="AN179" s="267">
        <v>45468</v>
      </c>
      <c r="AO179" s="267">
        <v>45468</v>
      </c>
      <c r="AP179" s="384">
        <f>Tabla_query__2[[#This Row],[InicioDes]]</f>
        <v>45439</v>
      </c>
      <c r="AQ179" s="384">
        <f>Tabla_query__2[[#This Row],[FinDes2]]</f>
        <v>45468</v>
      </c>
      <c r="AR179" s="462">
        <f>Tabla_query__2[[#This Row],[Número
Semanas]]/4</f>
        <v>0.5</v>
      </c>
      <c r="AS179" s="269">
        <f>Tabla_query__2[[#This Row],[FinDes2]]-Tabla_query__2[[#This Row],[InicioDes2]]</f>
        <v>0</v>
      </c>
      <c r="AT179" s="261"/>
    </row>
    <row r="180" spans="1:48" ht="33.75" customHeight="1">
      <c r="A180" s="318" t="s">
        <v>130</v>
      </c>
      <c r="B180" s="262" t="s">
        <v>457</v>
      </c>
      <c r="C180" s="262"/>
      <c r="D180" s="262" t="s">
        <v>572</v>
      </c>
      <c r="E180" s="262"/>
      <c r="F180" s="259" t="s">
        <v>573</v>
      </c>
      <c r="G180" s="259"/>
      <c r="H180" s="259" t="s">
        <v>204</v>
      </c>
      <c r="I180" s="262" t="s">
        <v>574</v>
      </c>
      <c r="J180" s="262" t="s">
        <v>4</v>
      </c>
      <c r="K180" s="262"/>
      <c r="L180" s="262"/>
      <c r="M180" s="262" t="s">
        <v>206</v>
      </c>
      <c r="N180" s="262" t="s">
        <v>36</v>
      </c>
      <c r="O180" t="s">
        <v>575</v>
      </c>
      <c r="P180" s="262" t="s">
        <v>35</v>
      </c>
      <c r="Q180" s="262" t="s">
        <v>208</v>
      </c>
      <c r="R180" s="262" t="s">
        <v>144</v>
      </c>
      <c r="S180" s="261"/>
      <c r="T180" s="261" t="s">
        <v>221</v>
      </c>
      <c r="U180" s="261"/>
      <c r="V180" s="261" t="s">
        <v>136</v>
      </c>
      <c r="W180" s="261"/>
      <c r="X180" s="261">
        <v>8</v>
      </c>
      <c r="Y180" s="261">
        <f>Tabla_query__2[[#This Row],[Número
Semanas]]*5*8</f>
        <v>320</v>
      </c>
      <c r="Z180" s="268">
        <f>Tabla_query__2[[#This Row],[TOTAL]]/Tabla_query__2[[#This Row],[Número de Horas]]/2</f>
        <v>13.5</v>
      </c>
      <c r="AA180" s="261">
        <v>1</v>
      </c>
      <c r="AB180" s="261">
        <v>1000</v>
      </c>
      <c r="AC180" s="261"/>
      <c r="AD180" s="268">
        <f>Tabla_query__2[[#This Row],[Número
Semanas]]*Tabla_query__2[[#This Row],[Número
Personas]]*Tabla_query__2[[#This Row],[Costo
Mano Obra/semana]] + 640</f>
        <v>8640</v>
      </c>
      <c r="AE180" s="261"/>
      <c r="AF180" s="261"/>
      <c r="AG180" s="261"/>
      <c r="AH180" s="261"/>
      <c r="AI180" s="261"/>
      <c r="AJ180" s="282" t="e">
        <f>#REF!</f>
        <v>#REF!</v>
      </c>
      <c r="AK180" s="261"/>
      <c r="AL180" s="261"/>
      <c r="AM180" s="282">
        <f t="shared" si="9"/>
        <v>0</v>
      </c>
      <c r="AN180" s="261"/>
      <c r="AO180" s="261"/>
      <c r="AP180" s="384">
        <f>Tabla_query__2[[#This Row],[InicioDes]]</f>
        <v>0</v>
      </c>
      <c r="AQ180" s="384">
        <f>Tabla_query__2[[#This Row],[FinDes2]]</f>
        <v>0</v>
      </c>
      <c r="AR180" s="462">
        <f>Tabla_query__2[[#This Row],[Número
Semanas]]/4</f>
        <v>2</v>
      </c>
      <c r="AS180" s="269">
        <f>Tabla_query__2[[#This Row],[FinDes2]]-Tabla_query__2[[#This Row],[InicioDes2]]</f>
        <v>0</v>
      </c>
      <c r="AT180" s="261"/>
    </row>
    <row r="181" spans="1:48" ht="33.75" customHeight="1">
      <c r="A181" s="318" t="s">
        <v>130</v>
      </c>
      <c r="B181" s="262" t="s">
        <v>457</v>
      </c>
      <c r="C181" s="262"/>
      <c r="D181" s="262" t="s">
        <v>576</v>
      </c>
      <c r="E181" s="262"/>
      <c r="F181" s="259" t="s">
        <v>577</v>
      </c>
      <c r="G181" s="259"/>
      <c r="H181" s="259" t="s">
        <v>204</v>
      </c>
      <c r="I181" s="262" t="s">
        <v>578</v>
      </c>
      <c r="J181" s="262" t="s">
        <v>53</v>
      </c>
      <c r="K181" s="262"/>
      <c r="L181" s="262"/>
      <c r="M181" s="262" t="s">
        <v>206</v>
      </c>
      <c r="N181" s="262" t="s">
        <v>60</v>
      </c>
      <c r="O181" s="730" t="s">
        <v>1745</v>
      </c>
      <c r="P181" s="262" t="s">
        <v>59</v>
      </c>
      <c r="Q181" s="262" t="s">
        <v>143</v>
      </c>
      <c r="R181" s="262" t="s">
        <v>144</v>
      </c>
      <c r="S181" s="261" t="s">
        <v>152</v>
      </c>
      <c r="T181" s="261" t="s">
        <v>221</v>
      </c>
      <c r="U181" s="261"/>
      <c r="V181" s="261" t="s">
        <v>136</v>
      </c>
      <c r="W181" s="261"/>
      <c r="X181" s="261">
        <v>30</v>
      </c>
      <c r="Y181" s="261">
        <f>Tabla_query__2[[#This Row],[Número
Semanas]]*5*8</f>
        <v>1200</v>
      </c>
      <c r="Z181" s="268">
        <f>Tabla_query__2[[#This Row],[TOTAL]]/Tabla_query__2[[#This Row],[Número de Horas]]/2</f>
        <v>29.166666666666668</v>
      </c>
      <c r="AA181" s="261">
        <v>3</v>
      </c>
      <c r="AB181" s="261">
        <f>3000/4</f>
        <v>750</v>
      </c>
      <c r="AC181" s="261"/>
      <c r="AD181" s="268">
        <v>70000</v>
      </c>
      <c r="AE181" s="261">
        <v>364</v>
      </c>
      <c r="AF181" s="261"/>
      <c r="AG181" s="261"/>
      <c r="AH181" s="267">
        <v>45365</v>
      </c>
      <c r="AI181" s="267">
        <v>45487</v>
      </c>
      <c r="AJ181" s="282" t="e">
        <f>#REF!</f>
        <v>#REF!</v>
      </c>
      <c r="AK181" s="267">
        <v>45487</v>
      </c>
      <c r="AL181" s="267">
        <v>45518</v>
      </c>
      <c r="AM181" s="282">
        <f t="shared" si="9"/>
        <v>363927</v>
      </c>
      <c r="AN181" s="267">
        <v>45518</v>
      </c>
      <c r="AO181" s="267">
        <v>45549</v>
      </c>
      <c r="AP181" s="384">
        <f>Tabla_query__2[[#This Row],[InicioDes]]</f>
        <v>45365</v>
      </c>
      <c r="AQ181" s="384">
        <f>Tabla_query__2[[#This Row],[FinDes2]]</f>
        <v>45549</v>
      </c>
      <c r="AR181" s="462">
        <f>Tabla_query__2[[#This Row],[Número
Semanas]]/4</f>
        <v>7.5</v>
      </c>
      <c r="AS181" s="269">
        <f>Tabla_query__2[[#This Row],[FinDes2]]-Tabla_query__2[[#This Row],[InicioDes2]]</f>
        <v>31</v>
      </c>
      <c r="AT181" s="261"/>
      <c r="AU181" t="s">
        <v>579</v>
      </c>
      <c r="AV181" s="293"/>
    </row>
    <row r="182" spans="1:48" ht="33.75" customHeight="1">
      <c r="A182" s="318" t="s">
        <v>130</v>
      </c>
      <c r="B182" s="262" t="s">
        <v>218</v>
      </c>
      <c r="C182" s="262"/>
      <c r="D182" s="277" t="s">
        <v>580</v>
      </c>
      <c r="E182" s="262"/>
      <c r="F182" s="259" t="s">
        <v>581</v>
      </c>
      <c r="G182" s="259"/>
      <c r="H182" s="259" t="s">
        <v>204</v>
      </c>
      <c r="I182" s="262" t="s">
        <v>539</v>
      </c>
      <c r="J182" s="262" t="s">
        <v>53</v>
      </c>
      <c r="K182" s="262"/>
      <c r="L182" s="262"/>
      <c r="M182" s="262" t="s">
        <v>206</v>
      </c>
      <c r="N182" s="262" t="s">
        <v>66</v>
      </c>
      <c r="O182" s="262" t="s">
        <v>582</v>
      </c>
      <c r="P182" s="262" t="s">
        <v>61</v>
      </c>
      <c r="Q182" s="262" t="s">
        <v>208</v>
      </c>
      <c r="R182" s="262" t="s">
        <v>144</v>
      </c>
      <c r="S182" s="321">
        <v>20</v>
      </c>
      <c r="T182" s="261" t="s">
        <v>320</v>
      </c>
      <c r="U182" s="261"/>
      <c r="V182" s="261" t="s">
        <v>210</v>
      </c>
      <c r="W182" s="261"/>
      <c r="X182" s="261">
        <v>6</v>
      </c>
      <c r="Y182" s="261">
        <f>Tabla_query__2[[#This Row],[Número
Semanas]]*5*8</f>
        <v>240</v>
      </c>
      <c r="Z182" s="268">
        <f>Tabla_query__2[[#This Row],[TOTAL]]/Tabla_query__2[[#This Row],[Número de Horas]]/2</f>
        <v>12.583333333333334</v>
      </c>
      <c r="AA182" s="261">
        <v>2</v>
      </c>
      <c r="AB182" s="261">
        <v>450</v>
      </c>
      <c r="AC182" s="261"/>
      <c r="AD182" s="268">
        <f>Tabla_query__2[[#This Row],[Número
Semanas]]*Tabla_query__2[[#This Row],[Número
Personas]]*Tabla_query__2[[#This Row],[Costo
Mano Obra/semana]] + 640</f>
        <v>6040</v>
      </c>
      <c r="AE182" s="261"/>
      <c r="AF182" s="261"/>
      <c r="AG182" s="261"/>
      <c r="AH182" s="267">
        <v>45607</v>
      </c>
      <c r="AI182" s="267">
        <v>45646</v>
      </c>
      <c r="AJ182" s="282" t="e">
        <f>#REF!</f>
        <v>#REF!</v>
      </c>
      <c r="AK182" s="267">
        <v>45664</v>
      </c>
      <c r="AL182" s="267">
        <v>45667</v>
      </c>
      <c r="AM182" s="282">
        <f t="shared" si="9"/>
        <v>365315</v>
      </c>
      <c r="AN182" s="261"/>
      <c r="AO182" s="261"/>
      <c r="AP182" s="384">
        <f>Tabla_query__2[[#This Row],[InicioDes]]</f>
        <v>45607</v>
      </c>
      <c r="AQ182" s="384">
        <f>Tabla_query__2[[#This Row],[FinDes2]]</f>
        <v>0</v>
      </c>
      <c r="AR182" s="462">
        <f>Tabla_query__2[[#This Row],[Número
Semanas]]/4</f>
        <v>1.5</v>
      </c>
      <c r="AS182" s="269">
        <f>Tabla_query__2[[#This Row],[FinDes2]]-Tabla_query__2[[#This Row],[InicioDes2]]</f>
        <v>0</v>
      </c>
      <c r="AT182" s="261" t="s">
        <v>583</v>
      </c>
    </row>
    <row r="183" spans="1:48" ht="33.75" customHeight="1">
      <c r="A183" s="318" t="s">
        <v>130</v>
      </c>
      <c r="B183" s="262" t="s">
        <v>218</v>
      </c>
      <c r="C183" s="262"/>
      <c r="D183" s="262" t="s">
        <v>584</v>
      </c>
      <c r="E183" s="262"/>
      <c r="F183" s="259" t="s">
        <v>581</v>
      </c>
      <c r="G183" s="259"/>
      <c r="H183" s="259" t="s">
        <v>204</v>
      </c>
      <c r="I183" s="262" t="s">
        <v>539</v>
      </c>
      <c r="J183" s="262" t="s">
        <v>53</v>
      </c>
      <c r="K183" s="262"/>
      <c r="L183" s="262"/>
      <c r="M183" s="262" t="s">
        <v>206</v>
      </c>
      <c r="N183" s="262" t="s">
        <v>66</v>
      </c>
      <c r="O183" s="262" t="s">
        <v>582</v>
      </c>
      <c r="P183" s="262" t="s">
        <v>61</v>
      </c>
      <c r="Q183" s="262" t="s">
        <v>208</v>
      </c>
      <c r="R183" s="262" t="s">
        <v>144</v>
      </c>
      <c r="S183" s="261">
        <v>26</v>
      </c>
      <c r="T183" s="261" t="s">
        <v>320</v>
      </c>
      <c r="U183" s="261"/>
      <c r="V183" s="261" t="s">
        <v>146</v>
      </c>
      <c r="W183" s="261"/>
      <c r="X183" s="261">
        <v>4</v>
      </c>
      <c r="Y183" s="261">
        <f>Tabla_query__2[[#This Row],[Número
Semanas]]*5*8</f>
        <v>160</v>
      </c>
      <c r="Z183" s="268">
        <f>Tabla_query__2[[#This Row],[TOTAL]]/Tabla_query__2[[#This Row],[Número de Horas]]/2</f>
        <v>12</v>
      </c>
      <c r="AA183" s="261">
        <v>2</v>
      </c>
      <c r="AB183" s="261">
        <v>400</v>
      </c>
      <c r="AC183" s="261"/>
      <c r="AD183" s="268">
        <f>Tabla_query__2[[#This Row],[Número
Semanas]]*Tabla_query__2[[#This Row],[Número
Personas]]*Tabla_query__2[[#This Row],[Costo
Mano Obra/semana]] + 640</f>
        <v>3840</v>
      </c>
      <c r="AE183" s="261"/>
      <c r="AF183" s="261"/>
      <c r="AG183" s="261"/>
      <c r="AH183" s="267">
        <v>45614</v>
      </c>
      <c r="AI183" s="267">
        <v>45639</v>
      </c>
      <c r="AJ183" s="282" t="e">
        <f>#REF!</f>
        <v>#REF!</v>
      </c>
      <c r="AK183" s="267">
        <v>45643</v>
      </c>
      <c r="AL183" s="267">
        <v>45649</v>
      </c>
      <c r="AM183" s="282">
        <f t="shared" si="9"/>
        <v>365150</v>
      </c>
      <c r="AN183" s="261"/>
      <c r="AO183" s="261"/>
      <c r="AP183" s="384">
        <f>Tabla_query__2[[#This Row],[InicioDes]]</f>
        <v>45614</v>
      </c>
      <c r="AQ183" s="384">
        <f>Tabla_query__2[[#This Row],[FinDes2]]</f>
        <v>0</v>
      </c>
      <c r="AR183" s="462">
        <f>Tabla_query__2[[#This Row],[Número
Semanas]]/4</f>
        <v>1</v>
      </c>
      <c r="AS183" s="269">
        <f>Tabla_query__2[[#This Row],[FinDes2]]-Tabla_query__2[[#This Row],[InicioDes2]]</f>
        <v>0</v>
      </c>
      <c r="AT183" s="261" t="s">
        <v>583</v>
      </c>
      <c r="AV183" s="293"/>
    </row>
    <row r="184" spans="1:48" ht="33.75" customHeight="1">
      <c r="A184" s="318" t="s">
        <v>130</v>
      </c>
      <c r="B184" s="262" t="s">
        <v>218</v>
      </c>
      <c r="C184" s="262"/>
      <c r="D184" s="262" t="s">
        <v>585</v>
      </c>
      <c r="E184" s="262"/>
      <c r="F184" s="259" t="s">
        <v>581</v>
      </c>
      <c r="G184" s="259"/>
      <c r="H184" s="259" t="s">
        <v>204</v>
      </c>
      <c r="I184" s="262" t="s">
        <v>539</v>
      </c>
      <c r="J184" s="262" t="s">
        <v>53</v>
      </c>
      <c r="K184" s="262"/>
      <c r="L184" s="262"/>
      <c r="M184" s="262" t="s">
        <v>206</v>
      </c>
      <c r="N184" s="262" t="s">
        <v>66</v>
      </c>
      <c r="O184" s="262" t="s">
        <v>582</v>
      </c>
      <c r="P184" s="262" t="s">
        <v>61</v>
      </c>
      <c r="Q184" s="262" t="s">
        <v>208</v>
      </c>
      <c r="R184" s="262" t="s">
        <v>144</v>
      </c>
      <c r="S184" s="261">
        <v>17</v>
      </c>
      <c r="T184" s="261" t="s">
        <v>221</v>
      </c>
      <c r="U184" s="261"/>
      <c r="V184" s="261" t="s">
        <v>210</v>
      </c>
      <c r="W184" s="261"/>
      <c r="X184" s="261">
        <v>3</v>
      </c>
      <c r="Y184" s="261">
        <f>Tabla_query__2[[#This Row],[Número
Semanas]]*5*8</f>
        <v>120</v>
      </c>
      <c r="Z184" s="268">
        <f>Tabla_query__2[[#This Row],[TOTAL]]/Tabla_query__2[[#This Row],[Número de Horas]]/2</f>
        <v>12.666666666666666</v>
      </c>
      <c r="AA184" s="261">
        <v>2</v>
      </c>
      <c r="AB184" s="261">
        <v>400</v>
      </c>
      <c r="AC184" s="261"/>
      <c r="AD184" s="268">
        <f>Tabla_query__2[[#This Row],[Número
Semanas]]*Tabla_query__2[[#This Row],[Número
Personas]]*Tabla_query__2[[#This Row],[Costo
Mano Obra/semana]] + 640</f>
        <v>3040</v>
      </c>
      <c r="AE184" s="261"/>
      <c r="AF184" s="261"/>
      <c r="AG184" s="261"/>
      <c r="AH184" s="267">
        <v>45474</v>
      </c>
      <c r="AI184" s="267">
        <v>45493</v>
      </c>
      <c r="AJ184" s="282" t="e">
        <f>#REF!</f>
        <v>#REF!</v>
      </c>
      <c r="AK184" s="267">
        <v>45405</v>
      </c>
      <c r="AL184" s="267">
        <v>45503</v>
      </c>
      <c r="AM184" s="282">
        <f t="shared" si="9"/>
        <v>363338</v>
      </c>
      <c r="AN184" s="261"/>
      <c r="AO184" s="261"/>
      <c r="AP184" s="384">
        <f>Tabla_query__2[[#This Row],[InicioDes]]</f>
        <v>45474</v>
      </c>
      <c r="AQ184" s="384">
        <f>Tabla_query__2[[#This Row],[FinDes2]]</f>
        <v>0</v>
      </c>
      <c r="AR184" s="462">
        <f>Tabla_query__2[[#This Row],[Número
Semanas]]/4</f>
        <v>0.75</v>
      </c>
      <c r="AS184" s="269">
        <f>Tabla_query__2[[#This Row],[FinDes2]]-Tabla_query__2[[#This Row],[InicioDes2]]</f>
        <v>0</v>
      </c>
      <c r="AT184" s="261" t="s">
        <v>583</v>
      </c>
      <c r="AU184" s="289"/>
    </row>
    <row r="185" spans="1:48" ht="33.75" customHeight="1">
      <c r="A185" s="318" t="s">
        <v>130</v>
      </c>
      <c r="B185" s="262" t="s">
        <v>218</v>
      </c>
      <c r="C185" s="262"/>
      <c r="D185" s="277" t="s">
        <v>586</v>
      </c>
      <c r="E185" s="262" t="s">
        <v>134</v>
      </c>
      <c r="F185" s="259" t="s">
        <v>581</v>
      </c>
      <c r="G185" s="259"/>
      <c r="H185" s="259" t="s">
        <v>204</v>
      </c>
      <c r="I185" s="262" t="s">
        <v>539</v>
      </c>
      <c r="J185" s="262" t="s">
        <v>53</v>
      </c>
      <c r="K185" s="262"/>
      <c r="L185" s="262"/>
      <c r="M185" s="262" t="s">
        <v>206</v>
      </c>
      <c r="N185" s="262" t="s">
        <v>66</v>
      </c>
      <c r="O185" s="582" t="s">
        <v>582</v>
      </c>
      <c r="P185" s="262" t="s">
        <v>61</v>
      </c>
      <c r="Q185" s="262" t="s">
        <v>208</v>
      </c>
      <c r="R185" s="262" t="s">
        <v>209</v>
      </c>
      <c r="S185" s="261">
        <v>15</v>
      </c>
      <c r="T185" s="261" t="s">
        <v>145</v>
      </c>
      <c r="U185" s="261"/>
      <c r="V185" s="261" t="s">
        <v>146</v>
      </c>
      <c r="W185" s="261"/>
      <c r="X185" s="261">
        <v>2</v>
      </c>
      <c r="Y185" s="261">
        <f>Tabla_query__2[[#This Row],[Número
Semanas]]*5*8</f>
        <v>80</v>
      </c>
      <c r="Z185" s="268">
        <f>Tabla_query__2[[#This Row],[TOTAL]]/Tabla_query__2[[#This Row],[Número de Horas]]/2</f>
        <v>14</v>
      </c>
      <c r="AA185" s="261">
        <v>2</v>
      </c>
      <c r="AB185" s="261">
        <v>400</v>
      </c>
      <c r="AC185" s="261"/>
      <c r="AD185" s="268">
        <f>Tabla_query__2[[#This Row],[Número
Semanas]]*Tabla_query__2[[#This Row],[Número
Personas]]*Tabla_query__2[[#This Row],[Costo
Mano Obra/semana]] + 640</f>
        <v>2240</v>
      </c>
      <c r="AE185" s="261"/>
      <c r="AF185" s="261"/>
      <c r="AG185" s="547" t="s">
        <v>154</v>
      </c>
      <c r="AH185" s="267">
        <v>45439</v>
      </c>
      <c r="AI185" s="267"/>
      <c r="AJ185" s="282" t="e">
        <f>#REF!</f>
        <v>#REF!</v>
      </c>
      <c r="AK185" s="267"/>
      <c r="AL185" s="267"/>
      <c r="AM185" s="282">
        <f t="shared" si="9"/>
        <v>0</v>
      </c>
      <c r="AN185" s="267">
        <v>45468</v>
      </c>
      <c r="AO185" s="267">
        <v>45497</v>
      </c>
      <c r="AP185" s="384">
        <f>Tabla_query__2[[#This Row],[InicioDes]]</f>
        <v>45439</v>
      </c>
      <c r="AQ185" s="384">
        <f>Tabla_query__2[[#This Row],[FinDes2]]</f>
        <v>45497</v>
      </c>
      <c r="AR185" s="462">
        <f>Tabla_query__2[[#This Row],[Número
Semanas]]/4</f>
        <v>0.5</v>
      </c>
      <c r="AS185" s="269">
        <f>Tabla_query__2[[#This Row],[FinDes2]]-Tabla_query__2[[#This Row],[InicioDes2]]</f>
        <v>29</v>
      </c>
      <c r="AT185" s="261" t="s">
        <v>583</v>
      </c>
    </row>
    <row r="186" spans="1:48" ht="33.75" customHeight="1">
      <c r="A186" s="318" t="s">
        <v>130</v>
      </c>
      <c r="B186" s="262" t="s">
        <v>218</v>
      </c>
      <c r="C186" s="262"/>
      <c r="D186" s="277" t="s">
        <v>587</v>
      </c>
      <c r="E186" s="262"/>
      <c r="F186" s="259" t="s">
        <v>581</v>
      </c>
      <c r="G186" s="259"/>
      <c r="H186" s="259" t="s">
        <v>204</v>
      </c>
      <c r="I186" s="262" t="s">
        <v>539</v>
      </c>
      <c r="J186" s="262" t="s">
        <v>53</v>
      </c>
      <c r="K186" s="262"/>
      <c r="L186" s="262"/>
      <c r="M186" s="262" t="s">
        <v>206</v>
      </c>
      <c r="N186" s="262" t="s">
        <v>66</v>
      </c>
      <c r="O186" s="262" t="s">
        <v>582</v>
      </c>
      <c r="P186" s="262" t="s">
        <v>61</v>
      </c>
      <c r="Q186" s="262" t="s">
        <v>208</v>
      </c>
      <c r="R186" s="262" t="s">
        <v>144</v>
      </c>
      <c r="S186" s="261">
        <v>18</v>
      </c>
      <c r="T186" s="261" t="s">
        <v>320</v>
      </c>
      <c r="U186" s="261"/>
      <c r="V186" s="261" t="s">
        <v>136</v>
      </c>
      <c r="W186" s="261"/>
      <c r="X186" s="261">
        <v>6</v>
      </c>
      <c r="Y186" s="261">
        <f>Tabla_query__2[[#This Row],[Número
Semanas]]*5*8</f>
        <v>240</v>
      </c>
      <c r="Z186" s="268">
        <f>Tabla_query__2[[#This Row],[TOTAL]]/Tabla_query__2[[#This Row],[Número de Horas]]/2</f>
        <v>12.583333333333334</v>
      </c>
      <c r="AA186" s="261">
        <v>2</v>
      </c>
      <c r="AB186" s="261">
        <v>450</v>
      </c>
      <c r="AC186" s="261"/>
      <c r="AD186" s="268">
        <f>Tabla_query__2[[#This Row],[Número
Semanas]]*Tabla_query__2[[#This Row],[Número
Personas]]*Tabla_query__2[[#This Row],[Costo
Mano Obra/semana]] + 640</f>
        <v>6040</v>
      </c>
      <c r="AE186" s="261"/>
      <c r="AF186" s="261"/>
      <c r="AG186" s="261"/>
      <c r="AH186" s="267">
        <v>45600</v>
      </c>
      <c r="AI186" s="267">
        <v>45639</v>
      </c>
      <c r="AJ186" s="282" t="e">
        <f>#REF!</f>
        <v>#REF!</v>
      </c>
      <c r="AK186" s="267">
        <v>45664</v>
      </c>
      <c r="AL186" s="267">
        <v>45672</v>
      </c>
      <c r="AM186" s="282">
        <f t="shared" si="9"/>
        <v>365320</v>
      </c>
      <c r="AN186" s="261"/>
      <c r="AO186" s="267"/>
      <c r="AP186" s="384">
        <f>Tabla_query__2[[#This Row],[InicioDes]]</f>
        <v>45600</v>
      </c>
      <c r="AQ186" s="384">
        <f>Tabla_query__2[[#This Row],[FinDes2]]</f>
        <v>0</v>
      </c>
      <c r="AR186" s="462">
        <f>Tabla_query__2[[#This Row],[Número
Semanas]]/4</f>
        <v>1.5</v>
      </c>
      <c r="AS186" s="269">
        <f>Tabla_query__2[[#This Row],[FinDes2]]-Tabla_query__2[[#This Row],[InicioDes2]]</f>
        <v>0</v>
      </c>
      <c r="AT186" s="261" t="s">
        <v>583</v>
      </c>
      <c r="AU186" s="289"/>
    </row>
    <row r="187" spans="1:48" ht="20.25" customHeight="1">
      <c r="A187" s="318" t="s">
        <v>130</v>
      </c>
      <c r="B187" s="262" t="s">
        <v>218</v>
      </c>
      <c r="C187" s="262"/>
      <c r="D187" s="262" t="s">
        <v>588</v>
      </c>
      <c r="E187" s="262"/>
      <c r="F187" s="259" t="s">
        <v>581</v>
      </c>
      <c r="G187" s="259"/>
      <c r="H187" s="259" t="s">
        <v>204</v>
      </c>
      <c r="I187" s="262" t="s">
        <v>539</v>
      </c>
      <c r="J187" s="262" t="s">
        <v>53</v>
      </c>
      <c r="K187" s="262"/>
      <c r="L187" s="262"/>
      <c r="M187" s="262" t="s">
        <v>206</v>
      </c>
      <c r="N187" s="262" t="s">
        <v>66</v>
      </c>
      <c r="O187" s="262" t="s">
        <v>582</v>
      </c>
      <c r="P187" s="262" t="s">
        <v>61</v>
      </c>
      <c r="Q187" s="262" t="s">
        <v>208</v>
      </c>
      <c r="R187" s="262" t="s">
        <v>144</v>
      </c>
      <c r="S187" s="261">
        <v>13</v>
      </c>
      <c r="T187" s="261" t="s">
        <v>221</v>
      </c>
      <c r="U187" s="261"/>
      <c r="V187" s="261" t="s">
        <v>210</v>
      </c>
      <c r="W187" s="261"/>
      <c r="X187" s="261">
        <v>3</v>
      </c>
      <c r="Y187" s="261">
        <f>Tabla_query__2[[#This Row],[Número
Semanas]]*5*8</f>
        <v>120</v>
      </c>
      <c r="Z187" s="268">
        <f>Tabla_query__2[[#This Row],[TOTAL]]/Tabla_query__2[[#This Row],[Número de Horas]]/2</f>
        <v>12.666666666666666</v>
      </c>
      <c r="AA187" s="261">
        <v>2</v>
      </c>
      <c r="AB187" s="261">
        <v>400</v>
      </c>
      <c r="AC187" s="261"/>
      <c r="AD187" s="268">
        <f>Tabla_query__2[[#This Row],[Número
Semanas]]*Tabla_query__2[[#This Row],[Número
Personas]]*Tabla_query__2[[#This Row],[Costo
Mano Obra/semana]] + 640</f>
        <v>3040</v>
      </c>
      <c r="AE187" s="261"/>
      <c r="AF187" s="261"/>
      <c r="AG187" s="261"/>
      <c r="AH187" s="267">
        <v>45460</v>
      </c>
      <c r="AI187" s="267">
        <v>45478</v>
      </c>
      <c r="AJ187" s="282" t="e">
        <f>#REF!</f>
        <v>#REF!</v>
      </c>
      <c r="AK187" s="267">
        <v>45544</v>
      </c>
      <c r="AL187" s="267">
        <v>45489</v>
      </c>
      <c r="AM187" s="282">
        <f t="shared" si="9"/>
        <v>364297</v>
      </c>
      <c r="AN187" s="261"/>
      <c r="AO187" s="261"/>
      <c r="AP187" s="384">
        <f>Tabla_query__2[[#This Row],[InicioDes]]</f>
        <v>45460</v>
      </c>
      <c r="AQ187" s="384">
        <f>Tabla_query__2[[#This Row],[FinDes2]]</f>
        <v>0</v>
      </c>
      <c r="AR187" s="462">
        <f>Tabla_query__2[[#This Row],[Número
Semanas]]/4</f>
        <v>0.75</v>
      </c>
      <c r="AS187" s="269">
        <f>Tabla_query__2[[#This Row],[FinDes2]]-Tabla_query__2[[#This Row],[InicioDes2]]</f>
        <v>0</v>
      </c>
      <c r="AT187" s="261" t="s">
        <v>583</v>
      </c>
    </row>
    <row r="188" spans="1:48" ht="20.25" customHeight="1">
      <c r="A188" s="318" t="s">
        <v>130</v>
      </c>
      <c r="B188" s="262" t="s">
        <v>218</v>
      </c>
      <c r="C188" s="262"/>
      <c r="D188" s="277" t="s">
        <v>589</v>
      </c>
      <c r="E188" s="262"/>
      <c r="F188" s="259" t="s">
        <v>581</v>
      </c>
      <c r="G188" s="259"/>
      <c r="H188" s="259" t="s">
        <v>204</v>
      </c>
      <c r="I188" s="262" t="s">
        <v>539</v>
      </c>
      <c r="J188" s="262" t="s">
        <v>53</v>
      </c>
      <c r="K188" s="262"/>
      <c r="L188" s="262"/>
      <c r="M188" s="262" t="s">
        <v>206</v>
      </c>
      <c r="N188" s="262" t="s">
        <v>66</v>
      </c>
      <c r="O188" s="262" t="s">
        <v>582</v>
      </c>
      <c r="P188" s="262" t="s">
        <v>61</v>
      </c>
      <c r="Q188" s="262" t="s">
        <v>208</v>
      </c>
      <c r="R188" s="262" t="s">
        <v>144</v>
      </c>
      <c r="S188" s="261">
        <v>20</v>
      </c>
      <c r="T188" s="261" t="s">
        <v>221</v>
      </c>
      <c r="U188" s="261"/>
      <c r="V188" s="261" t="s">
        <v>146</v>
      </c>
      <c r="W188" s="261"/>
      <c r="X188" s="261">
        <v>5</v>
      </c>
      <c r="Y188" s="261">
        <f>Tabla_query__2[[#This Row],[Número
Semanas]]*5*8</f>
        <v>200</v>
      </c>
      <c r="Z188" s="268">
        <f>Tabla_query__2[[#This Row],[TOTAL]]/Tabla_query__2[[#This Row],[Número de Horas]]/2</f>
        <v>12.85</v>
      </c>
      <c r="AA188" s="261">
        <v>2</v>
      </c>
      <c r="AB188" s="261">
        <v>450</v>
      </c>
      <c r="AC188" s="261"/>
      <c r="AD188" s="268">
        <f>Tabla_query__2[[#This Row],[Número
Semanas]]*Tabla_query__2[[#This Row],[Número
Personas]]*Tabla_query__2[[#This Row],[Costo
Mano Obra/semana]] + 640</f>
        <v>5140</v>
      </c>
      <c r="AE188" s="261"/>
      <c r="AF188" s="261"/>
      <c r="AG188" s="261"/>
      <c r="AH188" s="267">
        <v>45488</v>
      </c>
      <c r="AI188" s="267">
        <v>45520</v>
      </c>
      <c r="AJ188" s="282" t="e">
        <f>#REF!</f>
        <v>#REF!</v>
      </c>
      <c r="AK188" s="267">
        <v>45524</v>
      </c>
      <c r="AL188" s="267">
        <v>45531</v>
      </c>
      <c r="AM188" s="282">
        <f t="shared" si="9"/>
        <v>364199</v>
      </c>
      <c r="AN188" s="261"/>
      <c r="AO188" s="261"/>
      <c r="AP188" s="384">
        <f>Tabla_query__2[[#This Row],[InicioDes]]</f>
        <v>45488</v>
      </c>
      <c r="AQ188" s="384">
        <f>Tabla_query__2[[#This Row],[FinDes2]]</f>
        <v>0</v>
      </c>
      <c r="AR188" s="462">
        <f>Tabla_query__2[[#This Row],[Número
Semanas]]/4</f>
        <v>1.25</v>
      </c>
      <c r="AS188" s="269">
        <f>Tabla_query__2[[#This Row],[FinDes2]]-Tabla_query__2[[#This Row],[InicioDes2]]</f>
        <v>0</v>
      </c>
      <c r="AT188" s="261" t="s">
        <v>583</v>
      </c>
    </row>
    <row r="189" spans="1:48" ht="20.25" customHeight="1">
      <c r="A189" s="318" t="s">
        <v>130</v>
      </c>
      <c r="B189" s="262" t="s">
        <v>218</v>
      </c>
      <c r="C189" s="262"/>
      <c r="D189" s="262" t="s">
        <v>590</v>
      </c>
      <c r="E189" s="262"/>
      <c r="F189" s="259" t="s">
        <v>581</v>
      </c>
      <c r="G189" s="259"/>
      <c r="H189" s="259" t="s">
        <v>204</v>
      </c>
      <c r="I189" s="262" t="s">
        <v>539</v>
      </c>
      <c r="J189" s="262" t="s">
        <v>53</v>
      </c>
      <c r="K189" s="262"/>
      <c r="L189" s="262"/>
      <c r="M189" s="262" t="s">
        <v>206</v>
      </c>
      <c r="N189" s="262" t="s">
        <v>66</v>
      </c>
      <c r="O189" s="262" t="s">
        <v>582</v>
      </c>
      <c r="P189" s="262" t="s">
        <v>61</v>
      </c>
      <c r="Q189" s="262" t="s">
        <v>208</v>
      </c>
      <c r="R189" s="262" t="s">
        <v>144</v>
      </c>
      <c r="S189" s="261">
        <v>14</v>
      </c>
      <c r="T189" s="261" t="s">
        <v>221</v>
      </c>
      <c r="U189" s="261"/>
      <c r="V189" s="261" t="s">
        <v>136</v>
      </c>
      <c r="W189" s="261"/>
      <c r="X189" s="261">
        <v>6</v>
      </c>
      <c r="Y189" s="261">
        <f>Tabla_query__2[[#This Row],[Número
Semanas]]*5*8</f>
        <v>240</v>
      </c>
      <c r="Z189" s="268">
        <f>Tabla_query__2[[#This Row],[TOTAL]]/Tabla_query__2[[#This Row],[Número de Horas]]/2</f>
        <v>12.583333333333334</v>
      </c>
      <c r="AA189" s="261">
        <v>2</v>
      </c>
      <c r="AB189" s="261">
        <v>450</v>
      </c>
      <c r="AC189" s="261"/>
      <c r="AD189" s="268">
        <f>Tabla_query__2[[#This Row],[Número
Semanas]]*Tabla_query__2[[#This Row],[Número
Personas]]*Tabla_query__2[[#This Row],[Costo
Mano Obra/semana]] + 640</f>
        <v>6040</v>
      </c>
      <c r="AE189" s="261"/>
      <c r="AF189" s="261"/>
      <c r="AG189" s="261"/>
      <c r="AH189" s="267">
        <v>45481</v>
      </c>
      <c r="AI189" s="675">
        <v>45520</v>
      </c>
      <c r="AJ189" s="663" t="e">
        <f>#REF!</f>
        <v>#REF!</v>
      </c>
      <c r="AK189" s="662">
        <v>45526</v>
      </c>
      <c r="AL189" s="662">
        <v>45537</v>
      </c>
      <c r="AM189" s="691">
        <f t="shared" si="9"/>
        <v>364219</v>
      </c>
      <c r="AN189" s="261"/>
      <c r="AO189" s="261"/>
      <c r="AP189" s="384">
        <f>Tabla_query__2[[#This Row],[InicioDes]]</f>
        <v>45481</v>
      </c>
      <c r="AQ189" s="384">
        <f>Tabla_query__2[[#This Row],[FinDes2]]</f>
        <v>0</v>
      </c>
      <c r="AR189" s="462">
        <f>Tabla_query__2[[#This Row],[Número
Semanas]]/4</f>
        <v>1.5</v>
      </c>
      <c r="AS189" s="269">
        <f>Tabla_query__2[[#This Row],[FinDes2]]-Tabla_query__2[[#This Row],[InicioDes2]]</f>
        <v>0</v>
      </c>
      <c r="AT189" s="261" t="s">
        <v>583</v>
      </c>
    </row>
    <row r="190" spans="1:48" ht="20.25" customHeight="1">
      <c r="A190" s="318" t="s">
        <v>130</v>
      </c>
      <c r="B190" s="262" t="s">
        <v>218</v>
      </c>
      <c r="C190" s="262"/>
      <c r="D190" s="262" t="s">
        <v>591</v>
      </c>
      <c r="E190" s="262"/>
      <c r="F190" s="259" t="s">
        <v>581</v>
      </c>
      <c r="G190" s="259"/>
      <c r="H190" s="259" t="s">
        <v>204</v>
      </c>
      <c r="I190" s="262" t="s">
        <v>539</v>
      </c>
      <c r="J190" s="262" t="s">
        <v>53</v>
      </c>
      <c r="K190" s="262"/>
      <c r="L190" s="262"/>
      <c r="M190" s="262" t="s">
        <v>206</v>
      </c>
      <c r="N190" s="262" t="s">
        <v>66</v>
      </c>
      <c r="O190" s="582" t="s">
        <v>582</v>
      </c>
      <c r="P190" s="262" t="s">
        <v>61</v>
      </c>
      <c r="Q190" s="262" t="s">
        <v>208</v>
      </c>
      <c r="R190" s="262" t="s">
        <v>144</v>
      </c>
      <c r="S190" s="261">
        <v>9</v>
      </c>
      <c r="T190" s="261" t="s">
        <v>145</v>
      </c>
      <c r="U190" s="261"/>
      <c r="V190" s="261" t="s">
        <v>146</v>
      </c>
      <c r="W190" s="261"/>
      <c r="X190" s="261">
        <v>4</v>
      </c>
      <c r="Y190" s="261">
        <f>Tabla_query__2[[#This Row],[Número
Semanas]]*5*8</f>
        <v>160</v>
      </c>
      <c r="Z190" s="268">
        <f>Tabla_query__2[[#This Row],[TOTAL]]/Tabla_query__2[[#This Row],[Número de Horas]]/2</f>
        <v>12</v>
      </c>
      <c r="AA190" s="261">
        <v>2</v>
      </c>
      <c r="AB190" s="261">
        <v>400</v>
      </c>
      <c r="AC190" s="261"/>
      <c r="AD190" s="268">
        <f>Tabla_query__2[[#This Row],[Número
Semanas]]*Tabla_query__2[[#This Row],[Número
Personas]]*Tabla_query__2[[#This Row],[Costo
Mano Obra/semana]] + 640</f>
        <v>3840</v>
      </c>
      <c r="AE190" s="261"/>
      <c r="AF190" s="261"/>
      <c r="AG190" s="547" t="s">
        <v>191</v>
      </c>
      <c r="AH190" s="334">
        <v>45425</v>
      </c>
      <c r="AI190" s="662"/>
      <c r="AJ190" s="663" t="e">
        <f>#REF!</f>
        <v>#REF!</v>
      </c>
      <c r="AK190" s="662"/>
      <c r="AL190" s="662"/>
      <c r="AM190" s="663">
        <f t="shared" si="9"/>
        <v>0</v>
      </c>
      <c r="AN190" s="334">
        <v>45461</v>
      </c>
      <c r="AO190" s="334">
        <v>45461</v>
      </c>
      <c r="AP190" s="334">
        <f>Tabla_query__2[[#This Row],[InicioDes]]</f>
        <v>45425</v>
      </c>
      <c r="AQ190" s="334">
        <f>Tabla_query__2[[#This Row],[FinDes2]]</f>
        <v>45461</v>
      </c>
      <c r="AR190" s="462">
        <f>Tabla_query__2[[#This Row],[Número
Semanas]]/4</f>
        <v>1</v>
      </c>
      <c r="AS190" s="269">
        <f>Tabla_query__2[[#This Row],[FinDes2]]-Tabla_query__2[[#This Row],[InicioDes2]]</f>
        <v>0</v>
      </c>
      <c r="AT190" s="261" t="s">
        <v>583</v>
      </c>
    </row>
    <row r="191" spans="1:48" ht="20.25" customHeight="1">
      <c r="A191" s="318" t="s">
        <v>130</v>
      </c>
      <c r="B191" s="262" t="s">
        <v>218</v>
      </c>
      <c r="C191" s="262"/>
      <c r="D191" s="262" t="s">
        <v>592</v>
      </c>
      <c r="E191" s="262"/>
      <c r="F191" s="259" t="s">
        <v>581</v>
      </c>
      <c r="G191" s="259"/>
      <c r="H191" s="259" t="s">
        <v>204</v>
      </c>
      <c r="I191" s="262" t="s">
        <v>539</v>
      </c>
      <c r="J191" s="262" t="s">
        <v>53</v>
      </c>
      <c r="K191" s="262"/>
      <c r="L191" s="262"/>
      <c r="M191" s="262" t="s">
        <v>206</v>
      </c>
      <c r="N191" s="262" t="s">
        <v>66</v>
      </c>
      <c r="O191" s="262" t="s">
        <v>582</v>
      </c>
      <c r="P191" s="262" t="s">
        <v>61</v>
      </c>
      <c r="Q191" s="262" t="s">
        <v>208</v>
      </c>
      <c r="R191" s="262" t="s">
        <v>144</v>
      </c>
      <c r="S191" s="261">
        <v>20</v>
      </c>
      <c r="T191" s="261" t="s">
        <v>320</v>
      </c>
      <c r="U191" s="261"/>
      <c r="V191" s="261" t="s">
        <v>136</v>
      </c>
      <c r="W191" s="261"/>
      <c r="X191" s="261">
        <v>8</v>
      </c>
      <c r="Y191" s="261">
        <f>Tabla_query__2[[#This Row],[Número
Semanas]]*5*8</f>
        <v>320</v>
      </c>
      <c r="Z191" s="268">
        <f>Tabla_query__2[[#This Row],[TOTAL]]/Tabla_query__2[[#This Row],[Número de Horas]]/2</f>
        <v>6</v>
      </c>
      <c r="AA191" s="261">
        <v>1</v>
      </c>
      <c r="AB191" s="261">
        <v>400</v>
      </c>
      <c r="AC191" s="261"/>
      <c r="AD191" s="268">
        <f>Tabla_query__2[[#This Row],[Número
Semanas]]*Tabla_query__2[[#This Row],[Número
Personas]]*Tabla_query__2[[#This Row],[Costo
Mano Obra/semana]] + 640</f>
        <v>3840</v>
      </c>
      <c r="AE191" s="261"/>
      <c r="AF191" s="261"/>
      <c r="AG191" s="261"/>
      <c r="AH191" s="679"/>
      <c r="AI191" s="679"/>
      <c r="AJ191" s="663" t="e">
        <f>#REF!</f>
        <v>#REF!</v>
      </c>
      <c r="AK191" s="679"/>
      <c r="AL191" s="679"/>
      <c r="AM191" s="663">
        <f t="shared" si="9"/>
        <v>0</v>
      </c>
      <c r="AN191" s="679"/>
      <c r="AO191" s="679"/>
      <c r="AP191" s="385">
        <f>Tabla_query__2[[#This Row],[InicioDes]]</f>
        <v>0</v>
      </c>
      <c r="AQ191" s="385">
        <f>Tabla_query__2[[#This Row],[FinDes2]]</f>
        <v>0</v>
      </c>
      <c r="AR191" s="462">
        <f>Tabla_query__2[[#This Row],[Número
Semanas]]/4</f>
        <v>2</v>
      </c>
      <c r="AS191" s="269">
        <f>Tabla_query__2[[#This Row],[FinDes2]]-Tabla_query__2[[#This Row],[InicioDes2]]</f>
        <v>0</v>
      </c>
      <c r="AT191" s="261"/>
    </row>
    <row r="192" spans="1:48" ht="90.75" customHeight="1">
      <c r="A192" s="318" t="s">
        <v>130</v>
      </c>
      <c r="B192" s="262" t="s">
        <v>218</v>
      </c>
      <c r="C192" s="262"/>
      <c r="D192" s="277" t="s">
        <v>593</v>
      </c>
      <c r="E192" s="262"/>
      <c r="F192" s="259" t="s">
        <v>581</v>
      </c>
      <c r="G192" s="259"/>
      <c r="H192" s="259" t="s">
        <v>204</v>
      </c>
      <c r="I192" s="262" t="s">
        <v>539</v>
      </c>
      <c r="J192" s="262" t="s">
        <v>53</v>
      </c>
      <c r="K192" s="262"/>
      <c r="L192" s="262"/>
      <c r="M192" s="262" t="s">
        <v>206</v>
      </c>
      <c r="N192" s="262" t="s">
        <v>66</v>
      </c>
      <c r="O192" s="262" t="s">
        <v>582</v>
      </c>
      <c r="P192" s="262" t="s">
        <v>61</v>
      </c>
      <c r="Q192" s="262" t="s">
        <v>208</v>
      </c>
      <c r="R192" s="262" t="s">
        <v>144</v>
      </c>
      <c r="S192" s="261">
        <v>23</v>
      </c>
      <c r="T192" s="261" t="s">
        <v>320</v>
      </c>
      <c r="U192" s="261"/>
      <c r="V192" s="261" t="s">
        <v>136</v>
      </c>
      <c r="W192" s="261"/>
      <c r="X192" s="261">
        <v>8</v>
      </c>
      <c r="Y192" s="261">
        <f>Tabla_query__2[[#This Row],[Número
Semanas]]*5*8</f>
        <v>320</v>
      </c>
      <c r="Z192" s="268">
        <f>Tabla_query__2[[#This Row],[TOTAL]]/Tabla_query__2[[#This Row],[Número de Horas]]/2</f>
        <v>12.25</v>
      </c>
      <c r="AA192" s="261">
        <v>2</v>
      </c>
      <c r="AB192" s="261">
        <v>450</v>
      </c>
      <c r="AC192" s="261"/>
      <c r="AD192" s="268">
        <f>Tabla_query__2[[#This Row],[Número
Semanas]]*Tabla_query__2[[#This Row],[Número
Personas]]*Tabla_query__2[[#This Row],[Costo
Mano Obra/semana]] + 640</f>
        <v>7840</v>
      </c>
      <c r="AE192" s="261"/>
      <c r="AF192" s="261"/>
      <c r="AG192" s="261"/>
      <c r="AH192" s="662">
        <v>45558</v>
      </c>
      <c r="AI192" s="662">
        <v>45604</v>
      </c>
      <c r="AJ192" s="663" t="e">
        <f>#REF!</f>
        <v>#REF!</v>
      </c>
      <c r="AK192" s="662">
        <v>45608</v>
      </c>
      <c r="AL192" s="662">
        <v>45615</v>
      </c>
      <c r="AM192" s="663">
        <f t="shared" si="9"/>
        <v>364871</v>
      </c>
      <c r="AN192" s="679"/>
      <c r="AO192" s="679"/>
      <c r="AP192" s="385">
        <f>Tabla_query__2[[#This Row],[InicioDes]]</f>
        <v>45558</v>
      </c>
      <c r="AQ192" s="385">
        <f>Tabla_query__2[[#This Row],[FinDes2]]</f>
        <v>0</v>
      </c>
      <c r="AR192" s="462">
        <f>Tabla_query__2[[#This Row],[Número
Semanas]]/4</f>
        <v>2</v>
      </c>
      <c r="AS192" s="269">
        <f>Tabla_query__2[[#This Row],[FinDes2]]-Tabla_query__2[[#This Row],[InicioDes2]]</f>
        <v>0</v>
      </c>
      <c r="AT192" s="261" t="s">
        <v>583</v>
      </c>
    </row>
    <row r="193" spans="1:48" ht="20.25" customHeight="1">
      <c r="A193" s="318" t="s">
        <v>130</v>
      </c>
      <c r="B193" s="262" t="s">
        <v>218</v>
      </c>
      <c r="C193" s="262"/>
      <c r="D193" s="262" t="s">
        <v>594</v>
      </c>
      <c r="E193" s="262"/>
      <c r="F193" s="259" t="s">
        <v>581</v>
      </c>
      <c r="G193" s="259"/>
      <c r="H193" s="259" t="s">
        <v>204</v>
      </c>
      <c r="I193" s="262" t="s">
        <v>539</v>
      </c>
      <c r="J193" s="262" t="s">
        <v>53</v>
      </c>
      <c r="K193" s="262"/>
      <c r="L193" s="262"/>
      <c r="M193" s="262" t="s">
        <v>206</v>
      </c>
      <c r="N193" s="262" t="s">
        <v>66</v>
      </c>
      <c r="O193" s="262" t="s">
        <v>582</v>
      </c>
      <c r="P193" s="262" t="s">
        <v>61</v>
      </c>
      <c r="Q193" s="262" t="s">
        <v>208</v>
      </c>
      <c r="R193" s="262" t="s">
        <v>144</v>
      </c>
      <c r="S193" s="261">
        <v>11</v>
      </c>
      <c r="T193" s="261" t="s">
        <v>221</v>
      </c>
      <c r="U193" s="261"/>
      <c r="V193" s="261" t="s">
        <v>136</v>
      </c>
      <c r="W193" s="261"/>
      <c r="X193" s="261">
        <v>8</v>
      </c>
      <c r="Y193" s="261">
        <f>Tabla_query__2[[#This Row],[Número
Semanas]]*5*8</f>
        <v>320</v>
      </c>
      <c r="Z193" s="268">
        <f>Tabla_query__2[[#This Row],[TOTAL]]/Tabla_query__2[[#This Row],[Número de Horas]]/2</f>
        <v>12.25</v>
      </c>
      <c r="AA193" s="261">
        <v>2</v>
      </c>
      <c r="AB193" s="261">
        <v>450</v>
      </c>
      <c r="AC193" s="261"/>
      <c r="AD193" s="268">
        <f>Tabla_query__2[[#This Row],[Número
Semanas]]*Tabla_query__2[[#This Row],[Número
Personas]]*Tabla_query__2[[#This Row],[Costo
Mano Obra/semana]] + 640</f>
        <v>7840</v>
      </c>
      <c r="AE193" s="261"/>
      <c r="AF193" s="261"/>
      <c r="AG193" s="261"/>
      <c r="AH193" s="662">
        <v>45516</v>
      </c>
      <c r="AI193" s="662">
        <v>45569</v>
      </c>
      <c r="AJ193" s="663" t="e">
        <f>#REF!</f>
        <v>#REF!</v>
      </c>
      <c r="AK193" s="662">
        <v>41920</v>
      </c>
      <c r="AL193" s="662">
        <v>45587</v>
      </c>
      <c r="AM193" s="663">
        <f t="shared" si="9"/>
        <v>339027</v>
      </c>
      <c r="AN193" s="679"/>
      <c r="AO193" s="679"/>
      <c r="AP193" s="385">
        <f>Tabla_query__2[[#This Row],[InicioDes]]</f>
        <v>45516</v>
      </c>
      <c r="AQ193" s="385">
        <f>Tabla_query__2[[#This Row],[FinDes2]]</f>
        <v>0</v>
      </c>
      <c r="AR193" s="462">
        <f>Tabla_query__2[[#This Row],[Número
Semanas]]/4</f>
        <v>2</v>
      </c>
      <c r="AS193" s="269">
        <f>Tabla_query__2[[#This Row],[FinDes2]]-Tabla_query__2[[#This Row],[InicioDes2]]</f>
        <v>0</v>
      </c>
      <c r="AT193" s="261" t="s">
        <v>583</v>
      </c>
    </row>
    <row r="194" spans="1:48" ht="20.25" customHeight="1">
      <c r="A194" s="318" t="s">
        <v>130</v>
      </c>
      <c r="B194" s="262" t="s">
        <v>218</v>
      </c>
      <c r="C194" s="262"/>
      <c r="D194" s="262" t="s">
        <v>595</v>
      </c>
      <c r="E194" s="262"/>
      <c r="F194" s="259" t="s">
        <v>581</v>
      </c>
      <c r="G194" s="259"/>
      <c r="H194" s="259" t="s">
        <v>204</v>
      </c>
      <c r="I194" s="262" t="s">
        <v>539</v>
      </c>
      <c r="J194" s="262" t="s">
        <v>53</v>
      </c>
      <c r="K194" s="262"/>
      <c r="L194" s="262"/>
      <c r="M194" s="262" t="s">
        <v>206</v>
      </c>
      <c r="N194" s="262" t="s">
        <v>66</v>
      </c>
      <c r="O194" s="582" t="s">
        <v>582</v>
      </c>
      <c r="P194" s="262" t="s">
        <v>61</v>
      </c>
      <c r="Q194" s="262" t="s">
        <v>208</v>
      </c>
      <c r="R194" s="262" t="s">
        <v>144</v>
      </c>
      <c r="S194" s="261">
        <v>24</v>
      </c>
      <c r="T194" s="261" t="s">
        <v>145</v>
      </c>
      <c r="U194" s="261"/>
      <c r="V194" s="261" t="s">
        <v>146</v>
      </c>
      <c r="W194" s="261"/>
      <c r="X194" s="261">
        <v>4</v>
      </c>
      <c r="Y194" s="261">
        <f>Tabla_query__2[[#This Row],[Número
Semanas]]*5*8</f>
        <v>160</v>
      </c>
      <c r="Z194" s="268">
        <f>Tabla_query__2[[#This Row],[TOTAL]]/Tabla_query__2[[#This Row],[Número de Horas]]/2</f>
        <v>12</v>
      </c>
      <c r="AA194" s="261">
        <v>2</v>
      </c>
      <c r="AB194" s="261">
        <v>400</v>
      </c>
      <c r="AC194" s="261"/>
      <c r="AD194" s="268">
        <f>Tabla_query__2[[#This Row],[Número
Semanas]]*Tabla_query__2[[#This Row],[Número
Personas]]*Tabla_query__2[[#This Row],[Costo
Mano Obra/semana]] + 640</f>
        <v>3840</v>
      </c>
      <c r="AE194" s="261"/>
      <c r="AF194" s="261"/>
      <c r="AG194" s="547" t="s">
        <v>191</v>
      </c>
      <c r="AH194" s="667">
        <v>45411</v>
      </c>
      <c r="AI194" s="662"/>
      <c r="AJ194" s="663" t="e">
        <f>#REF!</f>
        <v>#REF!</v>
      </c>
      <c r="AK194" s="662"/>
      <c r="AL194" s="662"/>
      <c r="AM194" s="663">
        <f t="shared" si="9"/>
        <v>0</v>
      </c>
      <c r="AN194" s="667">
        <v>45427</v>
      </c>
      <c r="AO194" s="667">
        <v>45427</v>
      </c>
      <c r="AP194" s="667">
        <f>Tabla_query__2[[#This Row],[InicioDes]]</f>
        <v>45411</v>
      </c>
      <c r="AQ194" s="667">
        <f>Tabla_query__2[[#This Row],[FinDes2]]</f>
        <v>45427</v>
      </c>
      <c r="AR194" s="462">
        <f>Tabla_query__2[[#This Row],[Número
Semanas]]/4</f>
        <v>1</v>
      </c>
      <c r="AS194" s="269">
        <f>Tabla_query__2[[#This Row],[FinDes2]]-Tabla_query__2[[#This Row],[InicioDes2]]</f>
        <v>0</v>
      </c>
      <c r="AT194" s="261"/>
      <c r="AV194" s="293"/>
    </row>
    <row r="195" spans="1:48" ht="19.5" customHeight="1">
      <c r="A195" s="318" t="s">
        <v>130</v>
      </c>
      <c r="B195" s="262" t="s">
        <v>218</v>
      </c>
      <c r="C195" s="262"/>
      <c r="D195" s="262" t="s">
        <v>596</v>
      </c>
      <c r="E195" s="262"/>
      <c r="F195" s="259" t="s">
        <v>581</v>
      </c>
      <c r="G195" s="259"/>
      <c r="H195" s="259" t="s">
        <v>204</v>
      </c>
      <c r="I195" s="262" t="s">
        <v>539</v>
      </c>
      <c r="J195" s="262" t="s">
        <v>53</v>
      </c>
      <c r="K195" s="262"/>
      <c r="L195" s="262"/>
      <c r="M195" s="262" t="s">
        <v>206</v>
      </c>
      <c r="N195" s="262" t="s">
        <v>66</v>
      </c>
      <c r="O195" s="262" t="s">
        <v>582</v>
      </c>
      <c r="P195" s="262" t="s">
        <v>61</v>
      </c>
      <c r="Q195" s="262" t="s">
        <v>208</v>
      </c>
      <c r="R195" s="262" t="s">
        <v>144</v>
      </c>
      <c r="S195" s="261">
        <v>24</v>
      </c>
      <c r="T195" s="261" t="s">
        <v>221</v>
      </c>
      <c r="U195" s="261"/>
      <c r="V195" s="261" t="s">
        <v>146</v>
      </c>
      <c r="W195" s="261"/>
      <c r="X195" s="261">
        <v>4</v>
      </c>
      <c r="Y195" s="261">
        <f>Tabla_query__2[[#This Row],[Número
Semanas]]*5*8</f>
        <v>160</v>
      </c>
      <c r="Z195" s="268">
        <f>Tabla_query__2[[#This Row],[TOTAL]]/Tabla_query__2[[#This Row],[Número de Horas]]/2</f>
        <v>12</v>
      </c>
      <c r="AA195" s="261">
        <v>2</v>
      </c>
      <c r="AB195" s="261">
        <v>400</v>
      </c>
      <c r="AC195" s="261"/>
      <c r="AD195" s="268">
        <f>Tabla_query__2[[#This Row],[Número
Semanas]]*Tabla_query__2[[#This Row],[Número
Personas]]*Tabla_query__2[[#This Row],[Costo
Mano Obra/semana]] + 640</f>
        <v>3840</v>
      </c>
      <c r="AE195" s="261"/>
      <c r="AF195" s="261"/>
      <c r="AG195" s="547" t="s">
        <v>159</v>
      </c>
      <c r="AH195" s="267">
        <v>45467</v>
      </c>
      <c r="AI195" s="675"/>
      <c r="AJ195" s="662">
        <v>45412</v>
      </c>
      <c r="AK195" s="662"/>
      <c r="AL195" s="662"/>
      <c r="AM195" s="691">
        <f t="shared" si="9"/>
        <v>0</v>
      </c>
      <c r="AN195" s="267">
        <v>45498</v>
      </c>
      <c r="AO195" s="261"/>
      <c r="AP195" s="384">
        <f>Tabla_query__2[[#This Row],[InicioDes]]</f>
        <v>45467</v>
      </c>
      <c r="AQ195" s="384">
        <f>Tabla_query__2[[#This Row],[FinDes2]]</f>
        <v>0</v>
      </c>
      <c r="AR195" s="462">
        <f>Tabla_query__2[[#This Row],[Número
Semanas]]/4</f>
        <v>1</v>
      </c>
      <c r="AS195" s="269">
        <f>Tabla_query__2[[#This Row],[FinDes2]]-Tabla_query__2[[#This Row],[InicioDes2]]</f>
        <v>-45498</v>
      </c>
      <c r="AT195" s="261" t="s">
        <v>583</v>
      </c>
      <c r="AV195" s="293"/>
    </row>
    <row r="196" spans="1:48" ht="19.5" customHeight="1">
      <c r="A196" s="318" t="s">
        <v>130</v>
      </c>
      <c r="B196" s="262" t="s">
        <v>134</v>
      </c>
      <c r="C196" s="262"/>
      <c r="D196" s="262" t="s">
        <v>597</v>
      </c>
      <c r="E196" s="262"/>
      <c r="F196" s="259" t="s">
        <v>598</v>
      </c>
      <c r="G196" s="259"/>
      <c r="H196" s="259" t="s">
        <v>204</v>
      </c>
      <c r="I196" s="262" t="s">
        <v>500</v>
      </c>
      <c r="J196" s="262" t="s">
        <v>53</v>
      </c>
      <c r="K196" s="262"/>
      <c r="L196" s="262"/>
      <c r="M196" s="262" t="s">
        <v>206</v>
      </c>
      <c r="N196" s="262" t="s">
        <v>68</v>
      </c>
      <c r="O196" t="s">
        <v>582</v>
      </c>
      <c r="P196" s="262" t="s">
        <v>61</v>
      </c>
      <c r="Q196" s="262" t="s">
        <v>298</v>
      </c>
      <c r="R196" s="262" t="s">
        <v>144</v>
      </c>
      <c r="S196" s="547">
        <v>4</v>
      </c>
      <c r="T196" s="261" t="str">
        <f t="shared" ref="T196:T202" si="10">IF(MONTH(AH196)&lt;4, "Q1",IF(AND(MONTH(AH196)&gt;3,MONTH(AH196)&lt;=6),"Q2",IF(AND(MONTH(AH196)&gt;6,MONTH(AH196)&lt;=9),"Q3","Q4")))</f>
        <v>Q3</v>
      </c>
      <c r="U196" s="261"/>
      <c r="V196" s="261" t="s">
        <v>210</v>
      </c>
      <c r="W196" s="261">
        <v>1</v>
      </c>
      <c r="X196" s="331">
        <v>0</v>
      </c>
      <c r="Y196" s="261">
        <f>Tabla_query__2[[#This Row],[Número
Semanas]]*5*8</f>
        <v>0</v>
      </c>
      <c r="Z196" s="268" t="e">
        <f>Tabla_query__2[[#This Row],[TOTAL]]/Tabla_query__2[[#This Row],[Número de Horas]]/2</f>
        <v>#DIV/0!</v>
      </c>
      <c r="AA196" s="261">
        <v>0</v>
      </c>
      <c r="AB196" s="261">
        <v>550</v>
      </c>
      <c r="AC196" s="261"/>
      <c r="AD196" s="388">
        <f>Tabla_query__2[[#This Row],[Número
Semanas]]*Tabla_query__2[[#This Row],[Número
Personas]]*Tabla_query__2[[#This Row],[Costo
Mano Obra/semana]]+580</f>
        <v>580</v>
      </c>
      <c r="AE196" s="261"/>
      <c r="AF196" s="261"/>
      <c r="AG196" s="547"/>
      <c r="AH196" s="335">
        <v>45516</v>
      </c>
      <c r="AI196" s="384">
        <v>45530</v>
      </c>
      <c r="AJ196" s="663" t="e">
        <f>#REF!</f>
        <v>#REF!</v>
      </c>
      <c r="AK196" s="384">
        <v>45531</v>
      </c>
      <c r="AL196" s="384">
        <v>45545</v>
      </c>
      <c r="AM196" s="663">
        <f t="shared" si="9"/>
        <v>364262</v>
      </c>
      <c r="AN196" s="384">
        <v>45546</v>
      </c>
      <c r="AO196" s="384">
        <v>45560</v>
      </c>
      <c r="AP196" s="700">
        <f>Tabla_query__2[[#This Row],[InicioDes]]</f>
        <v>45516</v>
      </c>
      <c r="AQ196" s="700">
        <f>Tabla_query__2[[#This Row],[FinDes2]]</f>
        <v>45560</v>
      </c>
      <c r="AR196" s="462">
        <f>Tabla_query__2[[#This Row],[Número
Semanas]]/4</f>
        <v>0</v>
      </c>
      <c r="AS196" s="269">
        <f>Tabla_query__2[[#This Row],[FinDes2]]-Tabla_query__2[[#This Row],[InicioDes2]]</f>
        <v>14</v>
      </c>
      <c r="AT196" s="259" t="s">
        <v>599</v>
      </c>
    </row>
    <row r="197" spans="1:48" ht="51" customHeight="1">
      <c r="A197" s="318" t="s">
        <v>130</v>
      </c>
      <c r="B197" s="262" t="s">
        <v>134</v>
      </c>
      <c r="C197" s="262"/>
      <c r="D197" s="262" t="s">
        <v>600</v>
      </c>
      <c r="E197" s="262"/>
      <c r="F197" s="259" t="s">
        <v>601</v>
      </c>
      <c r="G197" s="259"/>
      <c r="H197" s="259" t="s">
        <v>204</v>
      </c>
      <c r="I197" s="262" t="s">
        <v>500</v>
      </c>
      <c r="J197" s="262" t="s">
        <v>53</v>
      </c>
      <c r="K197" s="262"/>
      <c r="L197" s="262"/>
      <c r="M197" s="262" t="s">
        <v>206</v>
      </c>
      <c r="N197" s="262" t="s">
        <v>68</v>
      </c>
      <c r="O197" t="s">
        <v>582</v>
      </c>
      <c r="P197" s="262" t="s">
        <v>61</v>
      </c>
      <c r="Q197" s="262" t="s">
        <v>298</v>
      </c>
      <c r="R197" s="262" t="s">
        <v>144</v>
      </c>
      <c r="S197" s="547">
        <v>3</v>
      </c>
      <c r="T197" s="261" t="str">
        <f t="shared" si="10"/>
        <v>Q3</v>
      </c>
      <c r="U197" s="261" t="s">
        <v>602</v>
      </c>
      <c r="V197" s="261" t="s">
        <v>210</v>
      </c>
      <c r="W197" s="261">
        <v>1</v>
      </c>
      <c r="X197" s="331">
        <v>0</v>
      </c>
      <c r="Y197" s="261">
        <f>Tabla_query__2[[#This Row],[Número
Semanas]]*5*8</f>
        <v>0</v>
      </c>
      <c r="Z197" s="268" t="e">
        <f>Tabla_query__2[[#This Row],[TOTAL]]/Tabla_query__2[[#This Row],[Número de Horas]]/2</f>
        <v>#DIV/0!</v>
      </c>
      <c r="AA197" s="261">
        <v>0</v>
      </c>
      <c r="AB197" s="261">
        <v>550</v>
      </c>
      <c r="AC197" s="261"/>
      <c r="AD197" s="388">
        <f>Tabla_query__2[[#This Row],[Número
Semanas]]*Tabla_query__2[[#This Row],[Número
Personas]]*Tabla_query__2[[#This Row],[Costo
Mano Obra/semana]]+580</f>
        <v>580</v>
      </c>
      <c r="AE197" s="261"/>
      <c r="AF197" s="261"/>
      <c r="AG197" s="561"/>
      <c r="AH197" s="385">
        <v>45546</v>
      </c>
      <c r="AI197" s="385">
        <v>45567</v>
      </c>
      <c r="AJ197" s="663" t="e">
        <f>#REF!</f>
        <v>#REF!</v>
      </c>
      <c r="AK197" s="385">
        <v>45568</v>
      </c>
      <c r="AL197" s="385">
        <v>45582</v>
      </c>
      <c r="AM197" s="663">
        <f t="shared" si="9"/>
        <v>364558</v>
      </c>
      <c r="AN197" s="385">
        <v>45583</v>
      </c>
      <c r="AO197" s="385">
        <v>45597</v>
      </c>
      <c r="AP197" s="385">
        <f>Tabla_query__2[[#This Row],[InicioDes]]</f>
        <v>45546</v>
      </c>
      <c r="AQ197" s="385">
        <f>Tabla_query__2[[#This Row],[FinDes2]]</f>
        <v>45597</v>
      </c>
      <c r="AR197" s="462">
        <f>Tabla_query__2[[#This Row],[Número
Semanas]]/4</f>
        <v>0</v>
      </c>
      <c r="AS197" s="269">
        <f>Tabla_query__2[[#This Row],[FinDes2]]-Tabla_query__2[[#This Row],[InicioDes2]]</f>
        <v>14</v>
      </c>
      <c r="AT197" s="259" t="s">
        <v>603</v>
      </c>
    </row>
    <row r="198" spans="1:48" ht="44.25" customHeight="1">
      <c r="A198" s="318" t="s">
        <v>130</v>
      </c>
      <c r="B198" s="262" t="s">
        <v>134</v>
      </c>
      <c r="C198" s="262"/>
      <c r="D198" s="277" t="s">
        <v>604</v>
      </c>
      <c r="E198" s="262" t="s">
        <v>203</v>
      </c>
      <c r="F198" s="259" t="s">
        <v>601</v>
      </c>
      <c r="G198" s="259"/>
      <c r="H198" s="259" t="s">
        <v>204</v>
      </c>
      <c r="I198" s="262" t="s">
        <v>500</v>
      </c>
      <c r="J198" s="262" t="s">
        <v>53</v>
      </c>
      <c r="K198" s="262"/>
      <c r="L198" s="262"/>
      <c r="M198" s="262" t="s">
        <v>206</v>
      </c>
      <c r="N198" s="262" t="s">
        <v>68</v>
      </c>
      <c r="O198" t="s">
        <v>582</v>
      </c>
      <c r="P198" s="262" t="s">
        <v>61</v>
      </c>
      <c r="Q198" s="262" t="s">
        <v>208</v>
      </c>
      <c r="R198" s="262" t="s">
        <v>144</v>
      </c>
      <c r="S198" s="547">
        <v>3</v>
      </c>
      <c r="T198" s="261" t="str">
        <f t="shared" si="10"/>
        <v>Q2</v>
      </c>
      <c r="U198" s="261"/>
      <c r="V198" s="261" t="s">
        <v>210</v>
      </c>
      <c r="W198" s="261">
        <v>1</v>
      </c>
      <c r="X198" s="261">
        <v>2</v>
      </c>
      <c r="Y198" s="261">
        <f>Tabla_query__2[[#This Row],[Número
Semanas]]*5*8</f>
        <v>80</v>
      </c>
      <c r="Z198" s="268">
        <f>Tabla_query__2[[#This Row],[TOTAL]]/Tabla_query__2[[#This Row],[Número de Horas]]/2</f>
        <v>10.5</v>
      </c>
      <c r="AA198" s="261">
        <v>1</v>
      </c>
      <c r="AB198" s="261">
        <v>550</v>
      </c>
      <c r="AC198" s="261"/>
      <c r="AD198" s="388">
        <f>Tabla_query__2[[#This Row],[Número
Semanas]]*Tabla_query__2[[#This Row],[Número
Personas]]*Tabla_query__2[[#This Row],[Costo
Mano Obra/semana]]+580</f>
        <v>1680</v>
      </c>
      <c r="AE198" s="261"/>
      <c r="AF198" s="261"/>
      <c r="AG198" s="547" t="s">
        <v>191</v>
      </c>
      <c r="AH198" s="663">
        <v>45411</v>
      </c>
      <c r="AI198" s="385">
        <v>45440</v>
      </c>
      <c r="AJ198" s="385">
        <v>45447</v>
      </c>
      <c r="AK198" s="385">
        <v>45444</v>
      </c>
      <c r="AL198" s="385">
        <v>45452</v>
      </c>
      <c r="AM198" s="385">
        <v>45476</v>
      </c>
      <c r="AN198" s="385">
        <v>45444</v>
      </c>
      <c r="AO198" s="385">
        <v>45458</v>
      </c>
      <c r="AP198" s="385">
        <f>Tabla_query__2[[#This Row],[InicioDes]]</f>
        <v>45411</v>
      </c>
      <c r="AQ198" s="385">
        <f>Tabla_query__2[[#This Row],[FinDes2]]</f>
        <v>45458</v>
      </c>
      <c r="AR198" s="462">
        <f>Tabla_query__2[[#This Row],[Número
Semanas]]/4</f>
        <v>0.5</v>
      </c>
      <c r="AS198" s="269">
        <f>Tabla_query__2[[#This Row],[FinDes2]]-Tabla_query__2[[#This Row],[InicioDes2]]</f>
        <v>14</v>
      </c>
      <c r="AT198" s="261" t="s">
        <v>583</v>
      </c>
    </row>
    <row r="199" spans="1:48" ht="39" customHeight="1">
      <c r="A199" s="318" t="s">
        <v>130</v>
      </c>
      <c r="B199" s="262" t="s">
        <v>134</v>
      </c>
      <c r="C199" s="262"/>
      <c r="D199" s="262" t="s">
        <v>605</v>
      </c>
      <c r="E199" s="262"/>
      <c r="F199" s="259" t="s">
        <v>601</v>
      </c>
      <c r="G199" s="259"/>
      <c r="H199" s="259" t="s">
        <v>204</v>
      </c>
      <c r="I199" s="262" t="s">
        <v>500</v>
      </c>
      <c r="J199" s="262" t="s">
        <v>53</v>
      </c>
      <c r="K199" s="262"/>
      <c r="L199" s="262"/>
      <c r="M199" s="262" t="s">
        <v>206</v>
      </c>
      <c r="N199" s="262" t="s">
        <v>68</v>
      </c>
      <c r="O199" t="s">
        <v>582</v>
      </c>
      <c r="P199" s="262" t="s">
        <v>61</v>
      </c>
      <c r="Q199" s="262" t="s">
        <v>208</v>
      </c>
      <c r="R199" s="262" t="s">
        <v>144</v>
      </c>
      <c r="S199" s="547"/>
      <c r="T199" s="261" t="str">
        <f t="shared" si="10"/>
        <v>Q2</v>
      </c>
      <c r="U199" s="261"/>
      <c r="V199" s="261" t="s">
        <v>146</v>
      </c>
      <c r="W199" s="261">
        <v>1</v>
      </c>
      <c r="X199" s="261">
        <v>3</v>
      </c>
      <c r="Y199" s="261">
        <f>Tabla_query__2[[#This Row],[Número
Semanas]]*5*8</f>
        <v>120</v>
      </c>
      <c r="Z199" s="268">
        <f>Tabla_query__2[[#This Row],[TOTAL]]/Tabla_query__2[[#This Row],[Número de Horas]]/2</f>
        <v>16.166666666666668</v>
      </c>
      <c r="AA199" s="261">
        <v>2</v>
      </c>
      <c r="AB199" s="261">
        <v>550</v>
      </c>
      <c r="AC199" s="261"/>
      <c r="AD199" s="388">
        <f>Tabla_query__2[[#This Row],[Número
Semanas]]*Tabla_query__2[[#This Row],[Número
Personas]]*Tabla_query__2[[#This Row],[Costo
Mano Obra/semana]]+580</f>
        <v>3880</v>
      </c>
      <c r="AE199" s="261"/>
      <c r="AF199" s="261"/>
      <c r="AG199" s="547" t="s">
        <v>154</v>
      </c>
      <c r="AH199" s="668">
        <v>45446</v>
      </c>
      <c r="AI199" s="668">
        <v>45467</v>
      </c>
      <c r="AJ199" s="668">
        <v>45468</v>
      </c>
      <c r="AK199" s="668">
        <v>45482</v>
      </c>
      <c r="AL199" s="668">
        <v>45483</v>
      </c>
      <c r="AM199" s="668">
        <v>45497</v>
      </c>
      <c r="AN199" s="385">
        <v>45483</v>
      </c>
      <c r="AO199" s="385">
        <v>45497</v>
      </c>
      <c r="AP199" s="385">
        <f>Tabla_query__2[[#This Row],[InicioDes]]</f>
        <v>45446</v>
      </c>
      <c r="AQ199" s="385">
        <f>Tabla_query__2[[#This Row],[FinDes2]]</f>
        <v>45497</v>
      </c>
      <c r="AR199" s="462">
        <f>Tabla_query__2[[#This Row],[Número
Semanas]]/4</f>
        <v>0.75</v>
      </c>
      <c r="AS199" s="269">
        <f>Tabla_query__2[[#This Row],[FinDes2]]-Tabla_query__2[[#This Row],[InicioDes2]]</f>
        <v>14</v>
      </c>
      <c r="AT199" s="261"/>
    </row>
    <row r="200" spans="1:48" ht="42" customHeight="1">
      <c r="A200" s="318" t="s">
        <v>130</v>
      </c>
      <c r="B200" s="262" t="s">
        <v>134</v>
      </c>
      <c r="C200" s="262"/>
      <c r="D200" s="262" t="s">
        <v>606</v>
      </c>
      <c r="E200" s="262" t="s">
        <v>203</v>
      </c>
      <c r="F200" s="259" t="s">
        <v>601</v>
      </c>
      <c r="G200" s="259"/>
      <c r="H200" s="259" t="s">
        <v>204</v>
      </c>
      <c r="I200" s="262" t="s">
        <v>500</v>
      </c>
      <c r="J200" s="262" t="s">
        <v>53</v>
      </c>
      <c r="K200" s="262"/>
      <c r="L200" s="262"/>
      <c r="M200" s="262" t="s">
        <v>206</v>
      </c>
      <c r="N200" s="262" t="s">
        <v>68</v>
      </c>
      <c r="O200" t="s">
        <v>582</v>
      </c>
      <c r="P200" s="262" t="s">
        <v>61</v>
      </c>
      <c r="Q200" s="262" t="s">
        <v>208</v>
      </c>
      <c r="R200" s="262" t="s">
        <v>144</v>
      </c>
      <c r="S200" s="547">
        <v>1</v>
      </c>
      <c r="T200" s="261" t="str">
        <f t="shared" si="10"/>
        <v>Q2</v>
      </c>
      <c r="U200" s="261"/>
      <c r="V200" s="261" t="s">
        <v>210</v>
      </c>
      <c r="W200" s="261">
        <v>1</v>
      </c>
      <c r="X200" s="261">
        <v>3</v>
      </c>
      <c r="Y200" s="261">
        <f>Tabla_query__2[[#This Row],[Número
Semanas]]*5*8</f>
        <v>120</v>
      </c>
      <c r="Z200" s="268">
        <f>Tabla_query__2[[#This Row],[TOTAL]]/Tabla_query__2[[#This Row],[Número de Horas]]/2</f>
        <v>9.2916666666666661</v>
      </c>
      <c r="AA200" s="261">
        <v>1</v>
      </c>
      <c r="AB200" s="261">
        <v>550</v>
      </c>
      <c r="AC200" s="261"/>
      <c r="AD200" s="388">
        <f>Tabla_query__2[[#This Row],[Número
Semanas]]*Tabla_query__2[[#This Row],[Número
Personas]]*Tabla_query__2[[#This Row],[Costo
Mano Obra/semana]]+580</f>
        <v>2230</v>
      </c>
      <c r="AE200" s="261"/>
      <c r="AF200" s="261"/>
      <c r="AG200" s="547" t="s">
        <v>191</v>
      </c>
      <c r="AH200" s="663">
        <v>45411</v>
      </c>
      <c r="AI200" s="385">
        <v>45435</v>
      </c>
      <c r="AJ200" s="686">
        <v>45405</v>
      </c>
      <c r="AK200" s="385">
        <v>45436</v>
      </c>
      <c r="AL200" s="385">
        <v>45450</v>
      </c>
      <c r="AM200" s="385">
        <v>45451</v>
      </c>
      <c r="AN200" s="385">
        <v>45451</v>
      </c>
      <c r="AO200" s="385">
        <v>45465</v>
      </c>
      <c r="AP200" s="385">
        <f>Tabla_query__2[[#This Row],[InicioDes]]</f>
        <v>45411</v>
      </c>
      <c r="AQ200" s="385">
        <f>Tabla_query__2[[#This Row],[FinDes2]]</f>
        <v>45465</v>
      </c>
      <c r="AR200" s="462">
        <f>Tabla_query__2[[#This Row],[Número
Semanas]]/4</f>
        <v>0.75</v>
      </c>
      <c r="AS200" s="269">
        <f>Tabla_query__2[[#This Row],[FinDes2]]-Tabla_query__2[[#This Row],[InicioDes2]]</f>
        <v>14</v>
      </c>
      <c r="AT200" s="261" t="s">
        <v>583</v>
      </c>
    </row>
    <row r="201" spans="1:48" ht="24" customHeight="1">
      <c r="A201" s="318" t="s">
        <v>130</v>
      </c>
      <c r="B201" s="262" t="s">
        <v>134</v>
      </c>
      <c r="C201" s="262"/>
      <c r="D201" s="277" t="s">
        <v>607</v>
      </c>
      <c r="E201" s="262" t="s">
        <v>203</v>
      </c>
      <c r="F201" s="259" t="s">
        <v>608</v>
      </c>
      <c r="G201" s="259"/>
      <c r="H201" s="259" t="s">
        <v>204</v>
      </c>
      <c r="I201" s="262" t="s">
        <v>500</v>
      </c>
      <c r="J201" s="262" t="s">
        <v>53</v>
      </c>
      <c r="K201" s="262"/>
      <c r="L201" s="262"/>
      <c r="M201" s="262" t="s">
        <v>206</v>
      </c>
      <c r="N201" s="262" t="s">
        <v>68</v>
      </c>
      <c r="O201" t="s">
        <v>582</v>
      </c>
      <c r="P201" s="262" t="s">
        <v>61</v>
      </c>
      <c r="Q201" s="262" t="s">
        <v>208</v>
      </c>
      <c r="R201" s="262" t="s">
        <v>144</v>
      </c>
      <c r="S201" s="547">
        <v>2</v>
      </c>
      <c r="T201" s="261" t="str">
        <f t="shared" si="10"/>
        <v>Q2</v>
      </c>
      <c r="U201" s="261"/>
      <c r="V201" s="261" t="s">
        <v>210</v>
      </c>
      <c r="W201" s="261">
        <v>1</v>
      </c>
      <c r="X201" s="261">
        <v>3</v>
      </c>
      <c r="Y201" s="261">
        <f>Tabla_query__2[[#This Row],[Número
Semanas]]*5*8</f>
        <v>120</v>
      </c>
      <c r="Z201" s="268">
        <f>Tabla_query__2[[#This Row],[TOTAL]]/Tabla_query__2[[#This Row],[Número de Horas]]/2</f>
        <v>9.2916666666666661</v>
      </c>
      <c r="AA201" s="261">
        <v>1</v>
      </c>
      <c r="AB201" s="261">
        <v>550</v>
      </c>
      <c r="AC201" s="261"/>
      <c r="AD201" s="388">
        <f>Tabla_query__2[[#This Row],[Número
Semanas]]*Tabla_query__2[[#This Row],[Número
Personas]]*Tabla_query__2[[#This Row],[Costo
Mano Obra/semana]]+580</f>
        <v>2230</v>
      </c>
      <c r="AE201" s="261"/>
      <c r="AF201" s="261"/>
      <c r="AG201" s="547" t="s">
        <v>154</v>
      </c>
      <c r="AH201" s="385">
        <v>45444</v>
      </c>
      <c r="AI201" s="385">
        <v>45471</v>
      </c>
      <c r="AJ201" s="685">
        <v>45405</v>
      </c>
      <c r="AK201" s="385">
        <v>45474</v>
      </c>
      <c r="AL201" s="385">
        <v>45493</v>
      </c>
      <c r="AM201" s="385">
        <v>45434</v>
      </c>
      <c r="AN201" s="385">
        <v>45495</v>
      </c>
      <c r="AO201" s="385">
        <v>45509</v>
      </c>
      <c r="AP201" s="385">
        <f>Tabla_query__2[[#This Row],[InicioDes]]</f>
        <v>45444</v>
      </c>
      <c r="AQ201" s="385">
        <f>Tabla_query__2[[#This Row],[FinDes2]]</f>
        <v>45509</v>
      </c>
      <c r="AR201" s="384">
        <f>Tabla_query__2[[#This Row],[Número
Semanas]]/4</f>
        <v>0.75</v>
      </c>
      <c r="AS201" s="269">
        <f>Tabla_query__2[[#This Row],[FinDes2]]-Tabla_query__2[[#This Row],[InicioDes2]]</f>
        <v>14</v>
      </c>
      <c r="AT201" s="261" t="s">
        <v>583</v>
      </c>
    </row>
    <row r="202" spans="1:48" ht="24" customHeight="1">
      <c r="A202" s="318" t="s">
        <v>130</v>
      </c>
      <c r="B202" s="262" t="s">
        <v>134</v>
      </c>
      <c r="C202" s="262"/>
      <c r="D202" s="262" t="s">
        <v>609</v>
      </c>
      <c r="E202" s="262"/>
      <c r="F202" s="259" t="s">
        <v>610</v>
      </c>
      <c r="G202" s="259"/>
      <c r="H202" s="259" t="s">
        <v>204</v>
      </c>
      <c r="I202" s="262" t="s">
        <v>500</v>
      </c>
      <c r="J202" s="262" t="s">
        <v>53</v>
      </c>
      <c r="K202" s="262"/>
      <c r="L202" s="262"/>
      <c r="M202" s="262" t="s">
        <v>206</v>
      </c>
      <c r="N202" s="262" t="s">
        <v>68</v>
      </c>
      <c r="O202" t="s">
        <v>582</v>
      </c>
      <c r="P202" s="262" t="s">
        <v>61</v>
      </c>
      <c r="Q202" s="262" t="s">
        <v>208</v>
      </c>
      <c r="R202" s="262" t="s">
        <v>144</v>
      </c>
      <c r="S202" s="547">
        <v>3</v>
      </c>
      <c r="T202" s="261" t="str">
        <f t="shared" si="10"/>
        <v>Q2</v>
      </c>
      <c r="U202" s="261"/>
      <c r="V202" s="261" t="s">
        <v>210</v>
      </c>
      <c r="W202" s="261">
        <v>1</v>
      </c>
      <c r="X202" s="261">
        <v>4</v>
      </c>
      <c r="Y202" s="261">
        <f>Tabla_query__2[[#This Row],[Número
Semanas]]*5*8</f>
        <v>160</v>
      </c>
      <c r="Z202" s="268">
        <f>Tabla_query__2[[#This Row],[TOTAL]]/Tabla_query__2[[#This Row],[Número de Horas]]/2</f>
        <v>8.6875</v>
      </c>
      <c r="AA202" s="261">
        <v>1</v>
      </c>
      <c r="AB202" s="261">
        <v>550</v>
      </c>
      <c r="AC202" s="261"/>
      <c r="AD202" s="388">
        <f>Tabla_query__2[[#This Row],[Número
Semanas]]*Tabla_query__2[[#This Row],[Número
Personas]]*Tabla_query__2[[#This Row],[Costo
Mano Obra/semana]]+580</f>
        <v>2780</v>
      </c>
      <c r="AE202" s="261"/>
      <c r="AF202" s="261"/>
      <c r="AG202" s="547" t="s">
        <v>191</v>
      </c>
      <c r="AH202" s="663">
        <v>45411</v>
      </c>
      <c r="AI202" s="385">
        <v>45440</v>
      </c>
      <c r="AJ202" s="676">
        <v>45468</v>
      </c>
      <c r="AK202" s="385">
        <v>45446</v>
      </c>
      <c r="AL202" s="385">
        <v>45458</v>
      </c>
      <c r="AM202" s="385">
        <v>45497</v>
      </c>
      <c r="AN202" s="385">
        <v>45463</v>
      </c>
      <c r="AO202" s="385">
        <v>45471</v>
      </c>
      <c r="AP202" s="385">
        <f>Tabla_query__2[[#This Row],[InicioDes]]</f>
        <v>45411</v>
      </c>
      <c r="AQ202" s="385">
        <f>Tabla_query__2[[#This Row],[FinDes2]]</f>
        <v>45471</v>
      </c>
      <c r="AR202" s="462">
        <f>Tabla_query__2[[#This Row],[Número
Semanas]]/4</f>
        <v>1</v>
      </c>
      <c r="AS202" s="269">
        <f>Tabla_query__2[[#This Row],[FinDes2]]-Tabla_query__2[[#This Row],[InicioDes2]]</f>
        <v>8</v>
      </c>
      <c r="AT202" s="261" t="s">
        <v>583</v>
      </c>
    </row>
    <row r="203" spans="1:48" ht="41.25" customHeight="1">
      <c r="A203" s="318" t="s">
        <v>130</v>
      </c>
      <c r="B203" s="262" t="s">
        <v>134</v>
      </c>
      <c r="C203" s="262"/>
      <c r="D203" s="277" t="s">
        <v>611</v>
      </c>
      <c r="E203" s="262" t="s">
        <v>203</v>
      </c>
      <c r="F203" s="259" t="s">
        <v>601</v>
      </c>
      <c r="G203" s="259"/>
      <c r="H203" s="259" t="s">
        <v>204</v>
      </c>
      <c r="I203" s="262" t="s">
        <v>500</v>
      </c>
      <c r="J203" s="262" t="s">
        <v>53</v>
      </c>
      <c r="K203" s="262"/>
      <c r="L203" s="262"/>
      <c r="M203" s="262" t="s">
        <v>206</v>
      </c>
      <c r="N203" s="262" t="s">
        <v>68</v>
      </c>
      <c r="O203" t="s">
        <v>582</v>
      </c>
      <c r="P203" s="262" t="s">
        <v>61</v>
      </c>
      <c r="Q203" s="262" t="s">
        <v>208</v>
      </c>
      <c r="R203" s="262" t="s">
        <v>144</v>
      </c>
      <c r="S203" s="547">
        <v>4</v>
      </c>
      <c r="T203" s="261" t="s">
        <v>145</v>
      </c>
      <c r="U203" s="261"/>
      <c r="V203" s="261" t="s">
        <v>210</v>
      </c>
      <c r="W203" s="261">
        <v>1</v>
      </c>
      <c r="X203" s="261">
        <v>3</v>
      </c>
      <c r="Y203" s="261">
        <f>Tabla_query__2[[#This Row],[Número
Semanas]]*5*8</f>
        <v>120</v>
      </c>
      <c r="Z203" s="268">
        <f>Tabla_query__2[[#This Row],[TOTAL]]/Tabla_query__2[[#This Row],[Número de Horas]]/2</f>
        <v>16.166666666666668</v>
      </c>
      <c r="AA203" s="261">
        <v>2</v>
      </c>
      <c r="AB203" s="261">
        <v>550</v>
      </c>
      <c r="AC203" s="261"/>
      <c r="AD203" s="388">
        <f>Tabla_query__2[[#This Row],[Número
Semanas]]*Tabla_query__2[[#This Row],[Número
Personas]]*Tabla_query__2[[#This Row],[Costo
Mano Obra/semana]]+580</f>
        <v>3880</v>
      </c>
      <c r="AE203" s="261"/>
      <c r="AF203" s="261"/>
      <c r="AG203" s="547" t="s">
        <v>191</v>
      </c>
      <c r="AH203" s="663">
        <v>45411</v>
      </c>
      <c r="AI203" s="385">
        <v>45440</v>
      </c>
      <c r="AJ203" s="676">
        <v>45568</v>
      </c>
      <c r="AK203" s="385">
        <v>45446</v>
      </c>
      <c r="AL203" s="385">
        <v>45458</v>
      </c>
      <c r="AM203" s="676">
        <v>45597</v>
      </c>
      <c r="AN203" s="385">
        <v>45463</v>
      </c>
      <c r="AO203" s="385">
        <v>45471</v>
      </c>
      <c r="AP203" s="385">
        <f>Tabla_query__2[[#This Row],[InicioDes]]</f>
        <v>45411</v>
      </c>
      <c r="AQ203" s="385">
        <f>Tabla_query__2[[#This Row],[FinDes2]]</f>
        <v>45471</v>
      </c>
      <c r="AR203" s="462">
        <f>Tabla_query__2[[#This Row],[Número
Semanas]]/4</f>
        <v>0.75</v>
      </c>
      <c r="AS203" s="269">
        <f>Tabla_query__2[[#This Row],[FinDes2]]-Tabla_query__2[[#This Row],[InicioDes2]]</f>
        <v>8</v>
      </c>
      <c r="AT203" s="261" t="s">
        <v>583</v>
      </c>
    </row>
    <row r="204" spans="1:48" ht="25.5" customHeight="1">
      <c r="A204" s="318" t="s">
        <v>130</v>
      </c>
      <c r="B204" s="262" t="s">
        <v>134</v>
      </c>
      <c r="C204" s="262"/>
      <c r="D204" s="262" t="s">
        <v>612</v>
      </c>
      <c r="E204" s="262" t="s">
        <v>203</v>
      </c>
      <c r="F204" s="259" t="s">
        <v>613</v>
      </c>
      <c r="G204" s="259"/>
      <c r="H204" s="259" t="s">
        <v>204</v>
      </c>
      <c r="I204" s="262" t="s">
        <v>500</v>
      </c>
      <c r="J204" s="262" t="s">
        <v>53</v>
      </c>
      <c r="K204" s="262"/>
      <c r="L204" s="262"/>
      <c r="M204" s="262" t="s">
        <v>206</v>
      </c>
      <c r="N204" s="262" t="s">
        <v>68</v>
      </c>
      <c r="O204" t="s">
        <v>582</v>
      </c>
      <c r="P204" s="262" t="s">
        <v>61</v>
      </c>
      <c r="Q204" s="262" t="s">
        <v>208</v>
      </c>
      <c r="R204" s="262" t="s">
        <v>144</v>
      </c>
      <c r="S204" s="547"/>
      <c r="T204" s="261" t="str">
        <f>IF(MONTH(AH204)&lt;4, "Q1",IF(AND(MONTH(AH204)&gt;3,MONTH(AH204)&lt;=6),"Q2",IF(AND(MONTH(AH204)&gt;6,MONTH(AH204)&lt;=9),"Q3","Q4")))</f>
        <v>Q2</v>
      </c>
      <c r="U204" s="261"/>
      <c r="V204" s="261" t="s">
        <v>146</v>
      </c>
      <c r="W204" s="261">
        <v>1</v>
      </c>
      <c r="X204" s="261">
        <v>3</v>
      </c>
      <c r="Y204" s="261">
        <f>Tabla_query__2[[#This Row],[Número
Semanas]]*5*8</f>
        <v>120</v>
      </c>
      <c r="Z204" s="268">
        <f>Tabla_query__2[[#This Row],[TOTAL]]/Tabla_query__2[[#This Row],[Número de Horas]]/2</f>
        <v>16.166666666666668</v>
      </c>
      <c r="AA204" s="261">
        <v>2</v>
      </c>
      <c r="AB204" s="261">
        <v>550</v>
      </c>
      <c r="AC204" s="261"/>
      <c r="AD204" s="388">
        <f>Tabla_query__2[[#This Row],[Número
Semanas]]*Tabla_query__2[[#This Row],[Número
Personas]]*Tabla_query__2[[#This Row],[Costo
Mano Obra/semana]]+580</f>
        <v>3880</v>
      </c>
      <c r="AE204" s="261"/>
      <c r="AF204" s="261"/>
      <c r="AG204" s="547" t="s">
        <v>154</v>
      </c>
      <c r="AH204" s="665">
        <v>45446</v>
      </c>
      <c r="AI204" s="385">
        <v>45467</v>
      </c>
      <c r="AJ204" s="663" t="e">
        <f>#REF!</f>
        <v>#REF!</v>
      </c>
      <c r="AK204" s="385">
        <v>45468</v>
      </c>
      <c r="AL204" s="385">
        <v>45482</v>
      </c>
      <c r="AM204" s="663">
        <f>AL204+ ((AK204*7))</f>
        <v>363758</v>
      </c>
      <c r="AN204" s="665">
        <v>45483</v>
      </c>
      <c r="AO204" s="665">
        <v>45497</v>
      </c>
      <c r="AP204" s="665">
        <f>Tabla_query__2[[#This Row],[InicioDes]]</f>
        <v>45446</v>
      </c>
      <c r="AQ204" s="665">
        <f>Tabla_query__2[[#This Row],[FinDes2]]</f>
        <v>45497</v>
      </c>
      <c r="AR204" s="462">
        <f>Tabla_query__2[[#This Row],[Número
Semanas]]/4</f>
        <v>0.75</v>
      </c>
      <c r="AS204" s="269">
        <f>Tabla_query__2[[#This Row],[FinDes2]]-Tabla_query__2[[#This Row],[InicioDes2]]</f>
        <v>14</v>
      </c>
      <c r="AT204" s="261"/>
    </row>
    <row r="205" spans="1:48" ht="19.5" customHeight="1">
      <c r="A205" s="318" t="s">
        <v>130</v>
      </c>
      <c r="B205" s="262" t="s">
        <v>134</v>
      </c>
      <c r="C205" s="262"/>
      <c r="D205" s="262" t="s">
        <v>614</v>
      </c>
      <c r="E205" s="262" t="s">
        <v>203</v>
      </c>
      <c r="F205" s="259" t="s">
        <v>615</v>
      </c>
      <c r="G205" s="259"/>
      <c r="H205" s="259" t="s">
        <v>204</v>
      </c>
      <c r="I205" s="259" t="s">
        <v>616</v>
      </c>
      <c r="J205" s="259" t="s">
        <v>53</v>
      </c>
      <c r="K205" s="259"/>
      <c r="L205" s="259"/>
      <c r="M205" s="259" t="s">
        <v>206</v>
      </c>
      <c r="N205" s="262" t="s">
        <v>68</v>
      </c>
      <c r="O205" t="s">
        <v>582</v>
      </c>
      <c r="P205" s="259" t="s">
        <v>61</v>
      </c>
      <c r="Q205" s="259" t="s">
        <v>208</v>
      </c>
      <c r="R205" s="259" t="s">
        <v>144</v>
      </c>
      <c r="S205" s="562"/>
      <c r="T205" s="261" t="str">
        <f>IF(MONTH(AH205)&lt;4, "Q1",IF(AND(MONTH(AH205)&gt;3,MONTH(AH205)&lt;=6),"Q2",IF(AND(MONTH(AH205)&gt;6,MONTH(AH205)&lt;=9),"Q3","Q4")))</f>
        <v>Q2</v>
      </c>
      <c r="U205" s="259"/>
      <c r="V205" s="259" t="s">
        <v>136</v>
      </c>
      <c r="W205" s="259">
        <v>1</v>
      </c>
      <c r="X205" s="259">
        <v>8</v>
      </c>
      <c r="Y205" s="259">
        <f>Tabla_query__2[[#This Row],[Número
Semanas]]*5*8</f>
        <v>320</v>
      </c>
      <c r="Z205" s="387">
        <f>Tabla_query__2[[#This Row],[TOTAL]]/Tabla_query__2[[#This Row],[Número de Horas]]/2</f>
        <v>14.65625</v>
      </c>
      <c r="AA205" s="259">
        <v>2</v>
      </c>
      <c r="AB205" s="259">
        <v>550</v>
      </c>
      <c r="AC205" s="259"/>
      <c r="AD205" s="388">
        <f>Tabla_query__2[[#This Row],[Número
Semanas]]*Tabla_query__2[[#This Row],[Número
Personas]]*Tabla_query__2[[#This Row],[Costo
Mano Obra/semana]]+580</f>
        <v>9380</v>
      </c>
      <c r="AE205" s="259"/>
      <c r="AF205" s="259"/>
      <c r="AG205" s="547" t="s">
        <v>191</v>
      </c>
      <c r="AH205" s="282">
        <v>45411</v>
      </c>
      <c r="AI205" s="678">
        <v>45471</v>
      </c>
      <c r="AJ205" s="687">
        <f>Tabla_query__2[[#This Row],[FinDes]]-Tabla_query__2[[#This Row],[InicioDes]]</f>
        <v>60</v>
      </c>
      <c r="AK205" s="689">
        <v>45474</v>
      </c>
      <c r="AL205" s="689">
        <v>45488</v>
      </c>
      <c r="AM205" s="719">
        <f>AL205+ ((AK205*7))</f>
        <v>363806</v>
      </c>
      <c r="AN205" s="706">
        <v>45493</v>
      </c>
      <c r="AO205" s="706">
        <v>45501</v>
      </c>
      <c r="AP205" s="384">
        <f>Tabla_query__2[[#This Row],[InicioDes]]</f>
        <v>45411</v>
      </c>
      <c r="AQ205" s="384">
        <f>Tabla_query__2[[#This Row],[FinDes2]]</f>
        <v>45501</v>
      </c>
      <c r="AR205" s="462">
        <f>Tabla_query__2[[#This Row],[Número
Semanas]]/4</f>
        <v>2</v>
      </c>
      <c r="AS205" s="482">
        <f>Tabla_query__2[[#This Row],[FinDes2]]-Tabla_query__2[[#This Row],[InicioDes2]]</f>
        <v>8</v>
      </c>
      <c r="AT205" s="259" t="s">
        <v>532</v>
      </c>
      <c r="AU205" s="259"/>
      <c r="AV205" s="259"/>
    </row>
    <row r="206" spans="1:48" ht="19.5" customHeight="1">
      <c r="A206" s="550" t="s">
        <v>130</v>
      </c>
      <c r="B206" s="549" t="s">
        <v>134</v>
      </c>
      <c r="C206" s="549"/>
      <c r="D206" s="549" t="s">
        <v>617</v>
      </c>
      <c r="E206" s="549" t="s">
        <v>203</v>
      </c>
      <c r="F206" s="551" t="s">
        <v>601</v>
      </c>
      <c r="G206" s="551"/>
      <c r="H206" s="551" t="s">
        <v>204</v>
      </c>
      <c r="I206" s="549" t="s">
        <v>500</v>
      </c>
      <c r="J206" s="549" t="s">
        <v>53</v>
      </c>
      <c r="K206" s="549"/>
      <c r="L206" s="549"/>
      <c r="M206" s="549" t="s">
        <v>206</v>
      </c>
      <c r="N206" s="262" t="s">
        <v>68</v>
      </c>
      <c r="O206" t="s">
        <v>582</v>
      </c>
      <c r="P206" s="549" t="s">
        <v>61</v>
      </c>
      <c r="Q206" s="549" t="s">
        <v>208</v>
      </c>
      <c r="R206" s="549" t="s">
        <v>209</v>
      </c>
      <c r="S206" s="563"/>
      <c r="T206" s="552" t="str">
        <f>IF(MONTH(AH206)&lt;4, "Q1",IF(AND(MONTH(AH206)&gt;3,MONTH(AH206)&lt;=6),"Q2",IF(AND(MONTH(AH206)&gt;6,MONTH(AH206)&lt;=9),"Q3","Q4")))</f>
        <v>Q2</v>
      </c>
      <c r="U206" s="552"/>
      <c r="V206" s="552" t="s">
        <v>146</v>
      </c>
      <c r="W206" s="552">
        <v>1</v>
      </c>
      <c r="X206" s="552">
        <v>5</v>
      </c>
      <c r="Y206" s="552">
        <f>Tabla_query__2[[#This Row],[Número
Semanas]]*5*8</f>
        <v>200</v>
      </c>
      <c r="Z206" s="645">
        <f>Tabla_query__2[[#This Row],[TOTAL]]/Tabla_query__2[[#This Row],[Número de Horas]]/2</f>
        <v>15.2</v>
      </c>
      <c r="AA206" s="552">
        <v>2</v>
      </c>
      <c r="AB206" s="552">
        <v>550</v>
      </c>
      <c r="AC206" s="552"/>
      <c r="AD206" s="388">
        <f>Tabla_query__2[[#This Row],[Número
Semanas]]*Tabla_query__2[[#This Row],[Número
Personas]]*Tabla_query__2[[#This Row],[Costo
Mano Obra/semana]]+580</f>
        <v>6080</v>
      </c>
      <c r="AE206" s="552"/>
      <c r="AF206" s="552"/>
      <c r="AG206" s="563" t="s">
        <v>211</v>
      </c>
      <c r="AH206" s="553">
        <v>45383</v>
      </c>
      <c r="AI206" s="717">
        <v>45418</v>
      </c>
      <c r="AJ206" s="688" t="e">
        <f>#REF!</f>
        <v>#REF!</v>
      </c>
      <c r="AK206" s="672">
        <v>45419</v>
      </c>
      <c r="AL206" s="672">
        <v>45433</v>
      </c>
      <c r="AM206" s="718">
        <f>AL206+ ((AK206*7))</f>
        <v>363366</v>
      </c>
      <c r="AN206" s="553">
        <v>45434</v>
      </c>
      <c r="AO206" s="553">
        <v>45448</v>
      </c>
      <c r="AP206" s="553">
        <f>Tabla_query__2[[#This Row],[InicioDes]]</f>
        <v>45383</v>
      </c>
      <c r="AQ206" s="553">
        <f>Tabla_query__2[[#This Row],[FinDes2]]</f>
        <v>45448</v>
      </c>
      <c r="AR206" s="554">
        <f>Tabla_query__2[[#This Row],[Número
Semanas]]/4</f>
        <v>1.25</v>
      </c>
      <c r="AS206" s="555">
        <f>Tabla_query__2[[#This Row],[FinDes2]]-Tabla_query__2[[#This Row],[InicioDes2]]</f>
        <v>14</v>
      </c>
      <c r="AT206" s="552" t="s">
        <v>618</v>
      </c>
      <c r="AU206" s="556"/>
      <c r="AV206" s="557"/>
    </row>
    <row r="207" spans="1:48" ht="19.5" customHeight="1">
      <c r="A207" s="318" t="s">
        <v>130</v>
      </c>
      <c r="B207" s="262" t="s">
        <v>134</v>
      </c>
      <c r="C207" s="262"/>
      <c r="D207" s="262" t="s">
        <v>619</v>
      </c>
      <c r="E207" s="262" t="s">
        <v>203</v>
      </c>
      <c r="F207" s="259" t="s">
        <v>620</v>
      </c>
      <c r="G207" s="259"/>
      <c r="H207" s="259" t="s">
        <v>204</v>
      </c>
      <c r="I207" s="262" t="s">
        <v>500</v>
      </c>
      <c r="J207" s="262" t="s">
        <v>53</v>
      </c>
      <c r="K207" s="262"/>
      <c r="L207" s="262"/>
      <c r="M207" s="262" t="s">
        <v>206</v>
      </c>
      <c r="N207" s="262" t="s">
        <v>68</v>
      </c>
      <c r="O207" t="s">
        <v>582</v>
      </c>
      <c r="P207" s="262" t="s">
        <v>61</v>
      </c>
      <c r="Q207" s="262" t="s">
        <v>208</v>
      </c>
      <c r="R207" s="262" t="s">
        <v>144</v>
      </c>
      <c r="S207" s="547">
        <v>1</v>
      </c>
      <c r="T207" s="261" t="str">
        <f>IF(MONTH(AH207)&lt;4, "Q1",IF(AND(MONTH(AH207)&gt;3,MONTH(AH207)&lt;=6),"Q2",IF(AND(MONTH(AH207)&gt;6,MONTH(AH207)&lt;=9),"Q3","Q4")))</f>
        <v>Q2</v>
      </c>
      <c r="U207" s="261"/>
      <c r="V207" s="261" t="s">
        <v>210</v>
      </c>
      <c r="W207" s="261">
        <v>1</v>
      </c>
      <c r="X207" s="261">
        <v>3</v>
      </c>
      <c r="Y207" s="261">
        <f>Tabla_query__2[[#This Row],[Número
Semanas]]*5*8</f>
        <v>120</v>
      </c>
      <c r="Z207" s="268">
        <f>Tabla_query__2[[#This Row],[TOTAL]]/Tabla_query__2[[#This Row],[Número de Horas]]/2</f>
        <v>9.2916666666666661</v>
      </c>
      <c r="AA207" s="261">
        <v>1</v>
      </c>
      <c r="AB207" s="261">
        <v>550</v>
      </c>
      <c r="AC207" s="261"/>
      <c r="AD207" s="388">
        <f>Tabla_query__2[[#This Row],[Número
Semanas]]*Tabla_query__2[[#This Row],[Número
Personas]]*Tabla_query__2[[#This Row],[Costo
Mano Obra/semana]]+580</f>
        <v>2230</v>
      </c>
      <c r="AE207" s="261"/>
      <c r="AF207" s="261"/>
      <c r="AG207" s="547" t="s">
        <v>191</v>
      </c>
      <c r="AH207" s="540">
        <v>45411</v>
      </c>
      <c r="AI207" s="668">
        <v>45442</v>
      </c>
      <c r="AJ207" s="668">
        <v>45443</v>
      </c>
      <c r="AK207" s="668">
        <v>45457</v>
      </c>
      <c r="AL207" s="668">
        <v>45458</v>
      </c>
      <c r="AM207" s="668">
        <v>45472</v>
      </c>
      <c r="AN207" s="720">
        <v>45461</v>
      </c>
      <c r="AO207" s="720">
        <v>45466</v>
      </c>
      <c r="AP207" s="418">
        <f>Tabla_query__2[[#This Row],[InicioDes]]</f>
        <v>45411</v>
      </c>
      <c r="AQ207" s="418">
        <f>Tabla_query__2[[#This Row],[FinDes2]]</f>
        <v>45466</v>
      </c>
      <c r="AR207" s="462">
        <f>Tabla_query__2[[#This Row],[Número
Semanas]]/4</f>
        <v>0.75</v>
      </c>
      <c r="AS207" s="269">
        <f>Tabla_query__2[[#This Row],[FinDes2]]-Tabla_query__2[[#This Row],[InicioDes2]]</f>
        <v>5</v>
      </c>
      <c r="AT207" s="261" t="s">
        <v>583</v>
      </c>
    </row>
    <row r="208" spans="1:48" ht="19.5" customHeight="1">
      <c r="A208" s="318" t="s">
        <v>130</v>
      </c>
      <c r="B208" s="262" t="s">
        <v>134</v>
      </c>
      <c r="C208" s="262"/>
      <c r="D208" s="277" t="s">
        <v>621</v>
      </c>
      <c r="E208" s="262" t="s">
        <v>203</v>
      </c>
      <c r="F208" s="259" t="s">
        <v>622</v>
      </c>
      <c r="G208" s="259"/>
      <c r="H208" s="259" t="s">
        <v>204</v>
      </c>
      <c r="I208" s="262" t="s">
        <v>500</v>
      </c>
      <c r="J208" s="262" t="s">
        <v>53</v>
      </c>
      <c r="K208" s="262"/>
      <c r="L208" s="262"/>
      <c r="M208" s="262" t="s">
        <v>206</v>
      </c>
      <c r="N208" s="262" t="s">
        <v>68</v>
      </c>
      <c r="O208" t="s">
        <v>582</v>
      </c>
      <c r="P208" s="262" t="s">
        <v>61</v>
      </c>
      <c r="Q208" s="262" t="s">
        <v>208</v>
      </c>
      <c r="R208" s="262" t="s">
        <v>144</v>
      </c>
      <c r="S208" s="547">
        <v>4</v>
      </c>
      <c r="T208" s="261" t="s">
        <v>145</v>
      </c>
      <c r="U208" s="261"/>
      <c r="V208" s="261" t="s">
        <v>210</v>
      </c>
      <c r="W208" s="261">
        <v>1</v>
      </c>
      <c r="X208" s="261">
        <v>2</v>
      </c>
      <c r="Y208" s="261">
        <f>Tabla_query__2[[#This Row],[Número
Semanas]]*5*8</f>
        <v>80</v>
      </c>
      <c r="Z208" s="268">
        <f>Tabla_query__2[[#This Row],[TOTAL]]/Tabla_query__2[[#This Row],[Número de Horas]]/2</f>
        <v>10.5</v>
      </c>
      <c r="AA208" s="261">
        <v>1</v>
      </c>
      <c r="AB208" s="261">
        <v>550</v>
      </c>
      <c r="AC208" s="261"/>
      <c r="AD208" s="388">
        <f>Tabla_query__2[[#This Row],[Número
Semanas]]*Tabla_query__2[[#This Row],[Número
Personas]]*Tabla_query__2[[#This Row],[Costo
Mano Obra/semana]]+580</f>
        <v>1680</v>
      </c>
      <c r="AE208" s="261"/>
      <c r="AF208" s="261"/>
      <c r="AG208" s="547" t="s">
        <v>154</v>
      </c>
      <c r="AH208" s="668">
        <v>45446</v>
      </c>
      <c r="AI208" s="668">
        <v>45458</v>
      </c>
      <c r="AJ208" s="668">
        <v>45510</v>
      </c>
      <c r="AK208" s="668">
        <v>45463</v>
      </c>
      <c r="AL208" s="668">
        <v>45468</v>
      </c>
      <c r="AM208" s="668">
        <v>45539</v>
      </c>
      <c r="AN208" s="692">
        <v>45471</v>
      </c>
      <c r="AO208" s="692">
        <v>45476</v>
      </c>
      <c r="AP208" s="385">
        <f>Tabla_query__2[[#This Row],[InicioDes]]</f>
        <v>45446</v>
      </c>
      <c r="AQ208" s="385">
        <f>Tabla_query__2[[#This Row],[FinDes2]]</f>
        <v>45476</v>
      </c>
      <c r="AR208" s="462">
        <f>Tabla_query__2[[#This Row],[Número
Semanas]]/4</f>
        <v>0.5</v>
      </c>
      <c r="AS208" s="269">
        <f>Tabla_query__2[[#This Row],[FinDes2]]-Tabla_query__2[[#This Row],[InicioDes2]]</f>
        <v>5</v>
      </c>
      <c r="AT208" s="261" t="s">
        <v>583</v>
      </c>
    </row>
    <row r="209" spans="1:49" ht="19.5" customHeight="1">
      <c r="A209" s="318" t="s">
        <v>130</v>
      </c>
      <c r="B209" s="262" t="s">
        <v>134</v>
      </c>
      <c r="C209" s="262"/>
      <c r="D209" s="277" t="s">
        <v>623</v>
      </c>
      <c r="E209" s="262" t="s">
        <v>203</v>
      </c>
      <c r="F209" s="259" t="s">
        <v>624</v>
      </c>
      <c r="G209" s="259"/>
      <c r="H209" s="259" t="s">
        <v>204</v>
      </c>
      <c r="I209" s="262" t="s">
        <v>500</v>
      </c>
      <c r="J209" s="262" t="s">
        <v>53</v>
      </c>
      <c r="K209" s="262"/>
      <c r="L209" s="262"/>
      <c r="M209" s="262" t="s">
        <v>206</v>
      </c>
      <c r="N209" s="262" t="s">
        <v>68</v>
      </c>
      <c r="O209" t="s">
        <v>582</v>
      </c>
      <c r="P209" s="262" t="s">
        <v>61</v>
      </c>
      <c r="Q209" s="262" t="s">
        <v>208</v>
      </c>
      <c r="R209" s="262" t="s">
        <v>144</v>
      </c>
      <c r="S209" s="547">
        <v>3</v>
      </c>
      <c r="T209" s="261" t="str">
        <f t="shared" ref="T209:T215" si="11">IF(MONTH(AH209)&lt;4, "Q1",IF(AND(MONTH(AH209)&gt;3,MONTH(AH209)&lt;=6),"Q2",IF(AND(MONTH(AH209)&gt;6,MONTH(AH209)&lt;=9),"Q3","Q4")))</f>
        <v>Q2</v>
      </c>
      <c r="U209" s="261"/>
      <c r="V209" s="261" t="s">
        <v>210</v>
      </c>
      <c r="W209" s="261">
        <v>1</v>
      </c>
      <c r="X209" s="261">
        <v>4</v>
      </c>
      <c r="Y209" s="261">
        <f>Tabla_query__2[[#This Row],[Número
Semanas]]*5*8</f>
        <v>160</v>
      </c>
      <c r="Z209" s="268">
        <f>Tabla_query__2[[#This Row],[TOTAL]]/Tabla_query__2[[#This Row],[Número de Horas]]/2</f>
        <v>8.6875</v>
      </c>
      <c r="AA209" s="261">
        <v>1</v>
      </c>
      <c r="AB209" s="261">
        <v>550</v>
      </c>
      <c r="AC209" s="261"/>
      <c r="AD209" s="388">
        <f>Tabla_query__2[[#This Row],[Número
Semanas]]*Tabla_query__2[[#This Row],[Número
Personas]]*Tabla_query__2[[#This Row],[Costo
Mano Obra/semana]]+580</f>
        <v>2780</v>
      </c>
      <c r="AE209" s="261"/>
      <c r="AF209" s="261"/>
      <c r="AG209" s="547" t="s">
        <v>191</v>
      </c>
      <c r="AH209" s="663">
        <v>45411</v>
      </c>
      <c r="AI209" s="676">
        <v>45439</v>
      </c>
      <c r="AJ209" s="676">
        <v>45440</v>
      </c>
      <c r="AK209" s="676">
        <v>45454</v>
      </c>
      <c r="AL209" s="676">
        <v>45455</v>
      </c>
      <c r="AM209" s="676">
        <v>45469</v>
      </c>
      <c r="AN209" s="676">
        <v>45461</v>
      </c>
      <c r="AO209" s="676">
        <v>45466</v>
      </c>
      <c r="AP209" s="385">
        <f>Tabla_query__2[[#This Row],[InicioDes]]</f>
        <v>45411</v>
      </c>
      <c r="AQ209" s="385">
        <f>Tabla_query__2[[#This Row],[FinDes2]]</f>
        <v>45466</v>
      </c>
      <c r="AR209" s="462">
        <f>Tabla_query__2[[#This Row],[Número
Semanas]]/4</f>
        <v>1</v>
      </c>
      <c r="AS209" s="269">
        <f>Tabla_query__2[[#This Row],[FinDes2]]-Tabla_query__2[[#This Row],[InicioDes2]]</f>
        <v>5</v>
      </c>
      <c r="AT209" s="261" t="s">
        <v>583</v>
      </c>
    </row>
    <row r="210" spans="1:49" ht="19.5" customHeight="1">
      <c r="A210" s="318" t="s">
        <v>130</v>
      </c>
      <c r="B210" s="262" t="s">
        <v>134</v>
      </c>
      <c r="C210" s="262"/>
      <c r="D210" s="277" t="s">
        <v>625</v>
      </c>
      <c r="E210" s="262"/>
      <c r="F210" s="259" t="s">
        <v>626</v>
      </c>
      <c r="G210" s="259"/>
      <c r="H210" s="259" t="s">
        <v>204</v>
      </c>
      <c r="I210" s="262" t="s">
        <v>627</v>
      </c>
      <c r="J210" s="262" t="s">
        <v>4</v>
      </c>
      <c r="K210" s="262"/>
      <c r="L210" s="262"/>
      <c r="M210" s="262" t="s">
        <v>206</v>
      </c>
      <c r="N210" s="262" t="s">
        <v>628</v>
      </c>
      <c r="O210" t="s">
        <v>629</v>
      </c>
      <c r="P210" s="262" t="s">
        <v>17</v>
      </c>
      <c r="Q210" s="262" t="s">
        <v>208</v>
      </c>
      <c r="R210" s="262" t="s">
        <v>144</v>
      </c>
      <c r="S210" s="547"/>
      <c r="T210" s="261" t="str">
        <f t="shared" si="11"/>
        <v>Q2</v>
      </c>
      <c r="U210" s="261" t="s">
        <v>630</v>
      </c>
      <c r="V210" s="261" t="s">
        <v>136</v>
      </c>
      <c r="W210" s="261">
        <v>1</v>
      </c>
      <c r="X210" s="261">
        <v>2</v>
      </c>
      <c r="Y210" s="261">
        <f>Tabla_query__2[[#This Row],[Número
Semanas]]*5*8</f>
        <v>80</v>
      </c>
      <c r="Z210" s="268">
        <f>Tabla_query__2[[#This Row],[TOTAL]]/Tabla_query__2[[#This Row],[Número de Horas]]/2</f>
        <v>10.5</v>
      </c>
      <c r="AA210" s="261">
        <v>1</v>
      </c>
      <c r="AB210" s="261">
        <v>550</v>
      </c>
      <c r="AC210" s="261"/>
      <c r="AD210" s="388">
        <f>Tabla_query__2[[#This Row],[Número
Semanas]]*Tabla_query__2[[#This Row],[Número
Personas]]*Tabla_query__2[[#This Row],[Costo
Mano Obra/semana]]+580</f>
        <v>1680</v>
      </c>
      <c r="AE210" s="261"/>
      <c r="AF210" s="261"/>
      <c r="AG210" s="547" t="s">
        <v>154</v>
      </c>
      <c r="AH210" s="663">
        <v>45446</v>
      </c>
      <c r="AI210" s="663">
        <v>45432</v>
      </c>
      <c r="AJ210" s="663">
        <f>Tabla_query__2[[#This Row],[FinDes]]-Tabla_query__2[[#This Row],[InicioDes]]</f>
        <v>-14</v>
      </c>
      <c r="AK210" s="663">
        <v>45448</v>
      </c>
      <c r="AL210" s="663">
        <v>45462</v>
      </c>
      <c r="AM210" s="663">
        <f t="shared" ref="AM210:AM228" si="12">AL210+ ((AK210*7))</f>
        <v>363598</v>
      </c>
      <c r="AN210" s="663">
        <v>45467</v>
      </c>
      <c r="AO210" s="663">
        <v>45471</v>
      </c>
      <c r="AP210" s="385">
        <f>Tabla_query__2[[#This Row],[InicioDes]]</f>
        <v>45446</v>
      </c>
      <c r="AQ210" s="385">
        <f>Tabla_query__2[[#This Row],[FinDes2]]</f>
        <v>45471</v>
      </c>
      <c r="AR210" s="462">
        <f>Tabla_query__2[[#This Row],[Número
Semanas]]/4</f>
        <v>0.5</v>
      </c>
      <c r="AS210" s="269">
        <f>Tabla_query__2[[#This Row],[FinDes2]]-Tabla_query__2[[#This Row],[InicioDes2]]</f>
        <v>4</v>
      </c>
      <c r="AT210" s="261" t="s">
        <v>532</v>
      </c>
      <c r="AU210" s="4"/>
    </row>
    <row r="211" spans="1:49" ht="19.5" customHeight="1">
      <c r="A211" s="318" t="s">
        <v>130</v>
      </c>
      <c r="B211" s="262" t="s">
        <v>134</v>
      </c>
      <c r="C211" s="262"/>
      <c r="D211" s="262" t="s">
        <v>631</v>
      </c>
      <c r="E211" s="262"/>
      <c r="F211" s="259" t="s">
        <v>632</v>
      </c>
      <c r="G211" s="259"/>
      <c r="H211" s="259" t="s">
        <v>204</v>
      </c>
      <c r="I211" s="262" t="s">
        <v>500</v>
      </c>
      <c r="J211" s="262" t="s">
        <v>53</v>
      </c>
      <c r="K211" s="262"/>
      <c r="L211" s="262"/>
      <c r="M211" s="262" t="s">
        <v>206</v>
      </c>
      <c r="N211" s="262" t="s">
        <v>69</v>
      </c>
      <c r="O211" t="s">
        <v>633</v>
      </c>
      <c r="P211" s="262" t="s">
        <v>61</v>
      </c>
      <c r="Q211" s="262" t="s">
        <v>208</v>
      </c>
      <c r="R211" s="262" t="s">
        <v>144</v>
      </c>
      <c r="S211" s="547"/>
      <c r="T211" s="261" t="str">
        <f t="shared" si="11"/>
        <v>Q2</v>
      </c>
      <c r="U211" s="261"/>
      <c r="V211" s="261" t="s">
        <v>136</v>
      </c>
      <c r="W211" s="261">
        <v>1</v>
      </c>
      <c r="X211" s="261">
        <v>4</v>
      </c>
      <c r="Y211" s="261">
        <f>Tabla_query__2[[#This Row],[Número
Semanas]]*5*8</f>
        <v>160</v>
      </c>
      <c r="Z211" s="268">
        <f>Tabla_query__2[[#This Row],[TOTAL]]/Tabla_query__2[[#This Row],[Número de Horas]]/2</f>
        <v>15.5625</v>
      </c>
      <c r="AA211" s="261">
        <v>2</v>
      </c>
      <c r="AB211" s="261">
        <v>550</v>
      </c>
      <c r="AC211" s="261"/>
      <c r="AD211" s="388">
        <f>Tabla_query__2[[#This Row],[Número
Semanas]]*Tabla_query__2[[#This Row],[Número
Personas]]*Tabla_query__2[[#This Row],[Costo
Mano Obra/semana]]+580</f>
        <v>4980</v>
      </c>
      <c r="AE211" s="261"/>
      <c r="AF211" s="261"/>
      <c r="AG211" s="547" t="s">
        <v>154</v>
      </c>
      <c r="AH211" s="665">
        <v>45446</v>
      </c>
      <c r="AI211" s="385">
        <v>45474</v>
      </c>
      <c r="AJ211" s="663" t="e">
        <f>#REF!</f>
        <v>#REF!</v>
      </c>
      <c r="AK211" s="385">
        <v>45475</v>
      </c>
      <c r="AL211" s="385">
        <v>45489</v>
      </c>
      <c r="AM211" s="663">
        <f t="shared" si="12"/>
        <v>363814</v>
      </c>
      <c r="AN211" s="665">
        <v>45490</v>
      </c>
      <c r="AO211" s="665">
        <v>45504</v>
      </c>
      <c r="AP211" s="665">
        <f>Tabla_query__2[[#This Row],[InicioDes]]</f>
        <v>45446</v>
      </c>
      <c r="AQ211" s="665">
        <f>Tabla_query__2[[#This Row],[FinDes2]]</f>
        <v>45504</v>
      </c>
      <c r="AR211" s="462">
        <f>Tabla_query__2[[#This Row],[Número
Semanas]]/4</f>
        <v>1</v>
      </c>
      <c r="AS211" s="269">
        <f>Tabla_query__2[[#This Row],[FinDes2]]-Tabla_query__2[[#This Row],[InicioDes2]]</f>
        <v>14</v>
      </c>
      <c r="AT211" s="261"/>
    </row>
    <row r="212" spans="1:49" ht="24.75" customHeight="1">
      <c r="A212" s="318" t="s">
        <v>130</v>
      </c>
      <c r="B212" s="262" t="s">
        <v>134</v>
      </c>
      <c r="C212" s="262"/>
      <c r="D212" s="262" t="s">
        <v>634</v>
      </c>
      <c r="E212" s="262" t="s">
        <v>635</v>
      </c>
      <c r="F212" s="259" t="s">
        <v>636</v>
      </c>
      <c r="G212" s="259"/>
      <c r="H212" s="259" t="s">
        <v>204</v>
      </c>
      <c r="I212" s="262" t="s">
        <v>500</v>
      </c>
      <c r="J212" s="262" t="s">
        <v>53</v>
      </c>
      <c r="K212" s="262"/>
      <c r="L212" s="262"/>
      <c r="M212" s="262" t="s">
        <v>206</v>
      </c>
      <c r="N212" s="262" t="s">
        <v>69</v>
      </c>
      <c r="O212" s="262" t="s">
        <v>633</v>
      </c>
      <c r="P212" s="262" t="s">
        <v>61</v>
      </c>
      <c r="Q212" s="262" t="s">
        <v>208</v>
      </c>
      <c r="R212" s="262" t="s">
        <v>144</v>
      </c>
      <c r="S212" s="547"/>
      <c r="T212" s="261" t="str">
        <f t="shared" si="11"/>
        <v>Q2</v>
      </c>
      <c r="U212" s="261" t="s">
        <v>602</v>
      </c>
      <c r="V212" s="261" t="s">
        <v>210</v>
      </c>
      <c r="W212" s="261">
        <v>1</v>
      </c>
      <c r="X212" s="261">
        <v>3</v>
      </c>
      <c r="Y212" s="261">
        <f>Tabla_query__2[[#This Row],[Número
Semanas]]*5*8</f>
        <v>120</v>
      </c>
      <c r="Z212" s="268">
        <f>Tabla_query__2[[#This Row],[TOTAL]]/Tabla_query__2[[#This Row],[Número de Horas]]/2</f>
        <v>9.2916666666666661</v>
      </c>
      <c r="AA212" s="261">
        <v>1</v>
      </c>
      <c r="AB212" s="261">
        <v>550</v>
      </c>
      <c r="AC212" s="261"/>
      <c r="AD212" s="388">
        <f>Tabla_query__2[[#This Row],[Número
Semanas]]*Tabla_query__2[[#This Row],[Número
Personas]]*Tabla_query__2[[#This Row],[Costo
Mano Obra/semana]]+580</f>
        <v>2230</v>
      </c>
      <c r="AE212" s="261"/>
      <c r="AF212" s="261"/>
      <c r="AG212" s="547" t="s">
        <v>191</v>
      </c>
      <c r="AH212" s="282">
        <v>45411</v>
      </c>
      <c r="AI212" s="680">
        <v>45435</v>
      </c>
      <c r="AJ212" s="663" t="e">
        <f>#REF!</f>
        <v>#REF!</v>
      </c>
      <c r="AK212" s="385">
        <v>45436</v>
      </c>
      <c r="AL212" s="385">
        <v>45450</v>
      </c>
      <c r="AM212" s="691">
        <f t="shared" si="12"/>
        <v>363502</v>
      </c>
      <c r="AN212" s="384">
        <v>45451</v>
      </c>
      <c r="AO212" s="384">
        <v>45465</v>
      </c>
      <c r="AP212" s="384">
        <f>Tabla_query__2[[#This Row],[InicioDes]]</f>
        <v>45411</v>
      </c>
      <c r="AQ212" s="384">
        <f>Tabla_query__2[[#This Row],[FinDes2]]</f>
        <v>45465</v>
      </c>
      <c r="AR212" s="462">
        <f>Tabla_query__2[[#This Row],[Número
Semanas]]/4</f>
        <v>0.75</v>
      </c>
      <c r="AS212" s="269">
        <f>Tabla_query__2[[#This Row],[FinDes2]]-Tabla_query__2[[#This Row],[InicioDes2]]</f>
        <v>14</v>
      </c>
      <c r="AT212" s="261"/>
    </row>
    <row r="213" spans="1:49" ht="58.15">
      <c r="A213" s="318" t="s">
        <v>130</v>
      </c>
      <c r="B213" s="262" t="s">
        <v>134</v>
      </c>
      <c r="C213" s="262"/>
      <c r="D213" s="262" t="s">
        <v>637</v>
      </c>
      <c r="E213" s="262" t="s">
        <v>131</v>
      </c>
      <c r="F213" s="259" t="s">
        <v>638</v>
      </c>
      <c r="G213" s="259"/>
      <c r="H213" s="259" t="s">
        <v>204</v>
      </c>
      <c r="I213" s="262" t="s">
        <v>500</v>
      </c>
      <c r="J213" s="262" t="s">
        <v>53</v>
      </c>
      <c r="K213" s="262"/>
      <c r="L213" s="262"/>
      <c r="M213" s="262" t="s">
        <v>206</v>
      </c>
      <c r="N213" s="262" t="s">
        <v>69</v>
      </c>
      <c r="O213" t="s">
        <v>633</v>
      </c>
      <c r="P213" s="262" t="s">
        <v>61</v>
      </c>
      <c r="Q213" s="262" t="s">
        <v>208</v>
      </c>
      <c r="R213" s="262" t="s">
        <v>144</v>
      </c>
      <c r="S213" s="547"/>
      <c r="T213" s="261" t="str">
        <f t="shared" si="11"/>
        <v>Q3</v>
      </c>
      <c r="U213" s="261"/>
      <c r="V213" s="261" t="s">
        <v>210</v>
      </c>
      <c r="W213" s="261">
        <v>1</v>
      </c>
      <c r="X213" s="261">
        <v>5</v>
      </c>
      <c r="Y213" s="261">
        <f>Tabla_query__2[[#This Row],[Número
Semanas]]*5*8</f>
        <v>200</v>
      </c>
      <c r="Z213" s="268">
        <f>Tabla_query__2[[#This Row],[TOTAL]]/Tabla_query__2[[#This Row],[Número de Horas]]/2</f>
        <v>8.3249999999999993</v>
      </c>
      <c r="AA213" s="261">
        <v>1</v>
      </c>
      <c r="AB213" s="261">
        <v>550</v>
      </c>
      <c r="AC213" s="261"/>
      <c r="AD213" s="388">
        <f>Tabla_query__2[[#This Row],[Número
Semanas]]*Tabla_query__2[[#This Row],[Número
Personas]]*Tabla_query__2[[#This Row],[Costo
Mano Obra/semana]]+580</f>
        <v>3330</v>
      </c>
      <c r="AE213" s="261"/>
      <c r="AF213" s="261"/>
      <c r="AG213" s="547">
        <v>5</v>
      </c>
      <c r="AH213" s="384">
        <v>45509</v>
      </c>
      <c r="AI213" s="680">
        <v>45544</v>
      </c>
      <c r="AJ213" s="663" t="e">
        <f>#REF!</f>
        <v>#REF!</v>
      </c>
      <c r="AK213" s="385">
        <v>45545</v>
      </c>
      <c r="AL213" s="385">
        <v>45559</v>
      </c>
      <c r="AM213" s="691">
        <f t="shared" si="12"/>
        <v>364374</v>
      </c>
      <c r="AN213" s="384">
        <v>45560</v>
      </c>
      <c r="AO213" s="384">
        <v>45574</v>
      </c>
      <c r="AP213" s="384">
        <f>Tabla_query__2[[#This Row],[InicioDes]]</f>
        <v>45509</v>
      </c>
      <c r="AQ213" s="384">
        <f>Tabla_query__2[[#This Row],[FinDes2]]</f>
        <v>45574</v>
      </c>
      <c r="AR213" s="462">
        <f>Tabla_query__2[[#This Row],[Número
Semanas]]/4</f>
        <v>1.25</v>
      </c>
      <c r="AS213" s="269">
        <f>Tabla_query__2[[#This Row],[FinDes2]]-Tabla_query__2[[#This Row],[InicioDes2]]</f>
        <v>14</v>
      </c>
      <c r="AT213" s="261"/>
    </row>
    <row r="214" spans="1:49" ht="19.5" customHeight="1">
      <c r="A214" s="318" t="s">
        <v>130</v>
      </c>
      <c r="B214" s="262" t="s">
        <v>134</v>
      </c>
      <c r="C214" s="262"/>
      <c r="D214" s="277" t="s">
        <v>639</v>
      </c>
      <c r="E214" s="262" t="s">
        <v>131</v>
      </c>
      <c r="F214" s="259" t="s">
        <v>640</v>
      </c>
      <c r="G214" s="259"/>
      <c r="H214" s="259" t="s">
        <v>204</v>
      </c>
      <c r="I214" s="262" t="s">
        <v>500</v>
      </c>
      <c r="J214" s="262" t="s">
        <v>53</v>
      </c>
      <c r="K214" s="262"/>
      <c r="L214" s="262"/>
      <c r="M214" s="262" t="s">
        <v>206</v>
      </c>
      <c r="N214" s="262" t="s">
        <v>69</v>
      </c>
      <c r="O214" t="s">
        <v>633</v>
      </c>
      <c r="P214" s="262" t="s">
        <v>61</v>
      </c>
      <c r="Q214" s="262" t="s">
        <v>208</v>
      </c>
      <c r="R214" s="262" t="s">
        <v>144</v>
      </c>
      <c r="S214" s="547"/>
      <c r="T214" s="261" t="str">
        <f t="shared" si="11"/>
        <v>Q3</v>
      </c>
      <c r="U214" s="261"/>
      <c r="V214" s="261" t="s">
        <v>210</v>
      </c>
      <c r="W214" s="261">
        <v>1</v>
      </c>
      <c r="X214" s="261">
        <v>4</v>
      </c>
      <c r="Y214" s="261">
        <f>Tabla_query__2[[#This Row],[Número
Semanas]]*5*8</f>
        <v>160</v>
      </c>
      <c r="Z214" s="268">
        <f>Tabla_query__2[[#This Row],[TOTAL]]/Tabla_query__2[[#This Row],[Número de Horas]]/2</f>
        <v>15.5625</v>
      </c>
      <c r="AA214" s="261">
        <v>2</v>
      </c>
      <c r="AB214" s="261">
        <v>550</v>
      </c>
      <c r="AC214" s="261"/>
      <c r="AD214" s="388">
        <f>Tabla_query__2[[#This Row],[Número
Semanas]]*Tabla_query__2[[#This Row],[Número
Personas]]*Tabla_query__2[[#This Row],[Costo
Mano Obra/semana]]+580</f>
        <v>4980</v>
      </c>
      <c r="AE214" s="261"/>
      <c r="AF214" s="261"/>
      <c r="AG214" s="547">
        <v>5</v>
      </c>
      <c r="AH214" s="418">
        <v>45523</v>
      </c>
      <c r="AI214" s="385">
        <v>45558</v>
      </c>
      <c r="AJ214" s="663" t="e">
        <f>#REF!</f>
        <v>#REF!</v>
      </c>
      <c r="AK214" s="385">
        <v>45559</v>
      </c>
      <c r="AL214" s="385">
        <v>45573</v>
      </c>
      <c r="AM214" s="663">
        <f t="shared" si="12"/>
        <v>364486</v>
      </c>
      <c r="AN214" s="418">
        <v>45574</v>
      </c>
      <c r="AO214" s="418">
        <v>45588</v>
      </c>
      <c r="AP214" s="418">
        <f>Tabla_query__2[[#This Row],[InicioDes]]</f>
        <v>45523</v>
      </c>
      <c r="AQ214" s="418">
        <f>Tabla_query__2[[#This Row],[FinDes2]]</f>
        <v>45588</v>
      </c>
      <c r="AR214" s="384">
        <f>Tabla_query__2[[#This Row],[Número
Semanas]]/4</f>
        <v>1</v>
      </c>
      <c r="AS214" s="269">
        <f>Tabla_query__2[[#This Row],[FinDes2]]-Tabla_query__2[[#This Row],[InicioDes2]]</f>
        <v>14</v>
      </c>
      <c r="AT214" s="261"/>
      <c r="AW214" s="559" t="s">
        <v>641</v>
      </c>
    </row>
    <row r="215" spans="1:49" ht="46.5">
      <c r="A215" s="318" t="s">
        <v>130</v>
      </c>
      <c r="B215" s="262" t="s">
        <v>134</v>
      </c>
      <c r="C215" s="262"/>
      <c r="D215" s="262" t="s">
        <v>642</v>
      </c>
      <c r="E215" s="262" t="s">
        <v>203</v>
      </c>
      <c r="F215" s="259" t="s">
        <v>643</v>
      </c>
      <c r="G215" s="259"/>
      <c r="H215" s="259" t="s">
        <v>204</v>
      </c>
      <c r="I215" s="262" t="s">
        <v>500</v>
      </c>
      <c r="J215" s="262" t="s">
        <v>53</v>
      </c>
      <c r="K215" s="262"/>
      <c r="L215" s="262"/>
      <c r="M215" s="262" t="s">
        <v>206</v>
      </c>
      <c r="N215" s="262" t="s">
        <v>69</v>
      </c>
      <c r="O215" t="s">
        <v>633</v>
      </c>
      <c r="P215" s="262" t="s">
        <v>61</v>
      </c>
      <c r="Q215" s="262" t="s">
        <v>208</v>
      </c>
      <c r="R215" s="262" t="s">
        <v>144</v>
      </c>
      <c r="S215" s="547"/>
      <c r="T215" s="261" t="str">
        <f t="shared" si="11"/>
        <v>Q3</v>
      </c>
      <c r="U215" s="261" t="s">
        <v>602</v>
      </c>
      <c r="V215" s="261" t="s">
        <v>210</v>
      </c>
      <c r="W215" s="261">
        <v>1</v>
      </c>
      <c r="X215" s="261">
        <v>5</v>
      </c>
      <c r="Y215" s="261">
        <f>Tabla_query__2[[#This Row],[Número
Semanas]]*5*8</f>
        <v>200</v>
      </c>
      <c r="Z215" s="268">
        <f>Tabla_query__2[[#This Row],[TOTAL]]/Tabla_query__2[[#This Row],[Número de Horas]]/2</f>
        <v>8.3249999999999993</v>
      </c>
      <c r="AA215" s="261">
        <v>1</v>
      </c>
      <c r="AB215" s="261">
        <v>550</v>
      </c>
      <c r="AC215" s="261"/>
      <c r="AD215" s="388">
        <f>Tabla_query__2[[#This Row],[Número
Semanas]]*Tabla_query__2[[#This Row],[Número
Personas]]*Tabla_query__2[[#This Row],[Costo
Mano Obra/semana]]+580</f>
        <v>3330</v>
      </c>
      <c r="AE215" s="261"/>
      <c r="AF215" s="261"/>
      <c r="AG215" s="547">
        <v>4</v>
      </c>
      <c r="AH215" s="385">
        <v>45474</v>
      </c>
      <c r="AI215" s="385">
        <v>45509</v>
      </c>
      <c r="AJ215" s="663" t="e">
        <f>#REF!</f>
        <v>#REF!</v>
      </c>
      <c r="AK215" s="385">
        <v>45510</v>
      </c>
      <c r="AL215" s="385">
        <v>45524</v>
      </c>
      <c r="AM215" s="663">
        <f t="shared" si="12"/>
        <v>364094</v>
      </c>
      <c r="AN215" s="385">
        <v>45525</v>
      </c>
      <c r="AO215" s="385">
        <v>45539</v>
      </c>
      <c r="AP215" s="385">
        <f>Tabla_query__2[[#This Row],[InicioDes]]</f>
        <v>45474</v>
      </c>
      <c r="AQ215" s="385">
        <f>Tabla_query__2[[#This Row],[FinDes2]]</f>
        <v>45539</v>
      </c>
      <c r="AR215" s="462">
        <f>Tabla_query__2[[#This Row],[Número
Semanas]]/4</f>
        <v>1.25</v>
      </c>
      <c r="AS215" s="269">
        <f>Tabla_query__2[[#This Row],[FinDes2]]-Tabla_query__2[[#This Row],[InicioDes2]]</f>
        <v>14</v>
      </c>
      <c r="AT215" s="261"/>
    </row>
    <row r="216" spans="1:49" ht="40.5" customHeight="1">
      <c r="A216" s="318" t="s">
        <v>130</v>
      </c>
      <c r="B216" s="262" t="s">
        <v>457</v>
      </c>
      <c r="C216" s="262"/>
      <c r="D216" s="262" t="s">
        <v>644</v>
      </c>
      <c r="E216" s="262"/>
      <c r="F216" s="259" t="s">
        <v>645</v>
      </c>
      <c r="G216" s="259"/>
      <c r="H216" s="259" t="s">
        <v>204</v>
      </c>
      <c r="I216" s="262" t="s">
        <v>578</v>
      </c>
      <c r="J216" s="262" t="s">
        <v>72</v>
      </c>
      <c r="K216" s="262"/>
      <c r="L216" s="262"/>
      <c r="M216" s="262" t="s">
        <v>206</v>
      </c>
      <c r="N216" s="262" t="s">
        <v>76</v>
      </c>
      <c r="O216" t="s">
        <v>646</v>
      </c>
      <c r="P216" s="262" t="s">
        <v>40</v>
      </c>
      <c r="Q216" s="262" t="s">
        <v>208</v>
      </c>
      <c r="R216" s="262" t="s">
        <v>144</v>
      </c>
      <c r="S216" s="261"/>
      <c r="T216" s="261" t="s">
        <v>320</v>
      </c>
      <c r="U216" s="261"/>
      <c r="V216" s="261" t="s">
        <v>136</v>
      </c>
      <c r="W216" s="261"/>
      <c r="X216" s="261">
        <v>8</v>
      </c>
      <c r="Y216" s="261">
        <f>Tabla_query__2[[#This Row],[Número
Semanas]]*5*8</f>
        <v>320</v>
      </c>
      <c r="Z216" s="268">
        <f>Tabla_query__2[[#This Row],[TOTAL]]/Tabla_query__2[[#This Row],[Número de Horas]]/2</f>
        <v>13.5</v>
      </c>
      <c r="AA216" s="261">
        <v>1</v>
      </c>
      <c r="AB216" s="261">
        <v>1000</v>
      </c>
      <c r="AC216" s="261"/>
      <c r="AD216" s="268">
        <f>Tabla_query__2[[#This Row],[Número
Semanas]]*Tabla_query__2[[#This Row],[Número
Personas]]*Tabla_query__2[[#This Row],[Costo
Mano Obra/semana]] + 640</f>
        <v>8640</v>
      </c>
      <c r="AE216" s="261">
        <v>4000</v>
      </c>
      <c r="AF216" s="261"/>
      <c r="AG216" s="261"/>
      <c r="AH216" s="662">
        <v>45518</v>
      </c>
      <c r="AI216" s="662">
        <v>45556</v>
      </c>
      <c r="AJ216" s="663" t="e">
        <f>#REF!</f>
        <v>#REF!</v>
      </c>
      <c r="AK216" s="662">
        <v>45556</v>
      </c>
      <c r="AL216" s="662">
        <v>45572</v>
      </c>
      <c r="AM216" s="663">
        <f t="shared" si="12"/>
        <v>364464</v>
      </c>
      <c r="AN216" s="662">
        <v>45572</v>
      </c>
      <c r="AO216" s="662">
        <v>45586</v>
      </c>
      <c r="AP216" s="385">
        <f>Tabla_query__2[[#This Row],[InicioDes]]</f>
        <v>45518</v>
      </c>
      <c r="AQ216" s="385">
        <f>Tabla_query__2[[#This Row],[FinDes2]]</f>
        <v>45586</v>
      </c>
      <c r="AR216" s="462">
        <f>Tabla_query__2[[#This Row],[Número
Semanas]]/4</f>
        <v>2</v>
      </c>
      <c r="AS216" s="269">
        <f>Tabla_query__2[[#This Row],[FinDes2]]-Tabla_query__2[[#This Row],[InicioDes2]]</f>
        <v>14</v>
      </c>
      <c r="AT216" s="261"/>
    </row>
    <row r="217" spans="1:49">
      <c r="A217" s="318" t="s">
        <v>130</v>
      </c>
      <c r="B217" s="262" t="s">
        <v>218</v>
      </c>
      <c r="C217" s="262"/>
      <c r="D217" s="262" t="s">
        <v>647</v>
      </c>
      <c r="E217" s="262"/>
      <c r="F217" s="259"/>
      <c r="G217" s="259"/>
      <c r="H217" s="259"/>
      <c r="I217" s="262" t="s">
        <v>220</v>
      </c>
      <c r="J217" s="262" t="s">
        <v>139</v>
      </c>
      <c r="K217" s="262"/>
      <c r="L217" s="262"/>
      <c r="M217" s="262" t="s">
        <v>206</v>
      </c>
      <c r="N217" s="262" t="s">
        <v>648</v>
      </c>
      <c r="O217" s="262" t="s">
        <v>649</v>
      </c>
      <c r="P217" s="262" t="s">
        <v>139</v>
      </c>
      <c r="Q217" s="262" t="s">
        <v>143</v>
      </c>
      <c r="R217" s="262" t="s">
        <v>144</v>
      </c>
      <c r="S217" s="261"/>
      <c r="T217" s="261" t="s">
        <v>221</v>
      </c>
      <c r="U217" s="261"/>
      <c r="V217" s="261" t="s">
        <v>210</v>
      </c>
      <c r="W217" s="261"/>
      <c r="X217" s="261">
        <v>2</v>
      </c>
      <c r="Y217" s="261">
        <f>Tabla_query__2[[#This Row],[Número
Semanas]]*5*8</f>
        <v>80</v>
      </c>
      <c r="Z217" s="268">
        <f>Tabla_query__2[[#This Row],[TOTAL]]/Tabla_query__2[[#This Row],[Número de Horas]]/2</f>
        <v>14</v>
      </c>
      <c r="AA217" s="261">
        <v>2</v>
      </c>
      <c r="AB217" s="261">
        <v>400</v>
      </c>
      <c r="AC217" s="261"/>
      <c r="AD217" s="268">
        <f>Tabla_query__2[[#This Row],[Número
Semanas]]*Tabla_query__2[[#This Row],[Número
Personas]]*Tabla_query__2[[#This Row],[Costo
Mano Obra/semana]] + 640</f>
        <v>2240</v>
      </c>
      <c r="AE217" s="261"/>
      <c r="AF217" s="261"/>
      <c r="AG217" s="261"/>
      <c r="AH217" s="662">
        <v>45537</v>
      </c>
      <c r="AI217" s="662">
        <v>45552</v>
      </c>
      <c r="AJ217" s="663" t="e">
        <f>#REF!</f>
        <v>#REF!</v>
      </c>
      <c r="AK217" s="662">
        <v>45559</v>
      </c>
      <c r="AL217" s="662">
        <v>45565</v>
      </c>
      <c r="AM217" s="663">
        <f t="shared" si="12"/>
        <v>364478</v>
      </c>
      <c r="AN217" s="679"/>
      <c r="AO217" s="679"/>
      <c r="AP217" s="385">
        <f>Tabla_query__2[[#This Row],[InicioDes]]</f>
        <v>45537</v>
      </c>
      <c r="AQ217" s="385">
        <f>Tabla_query__2[[#This Row],[FinDes2]]</f>
        <v>0</v>
      </c>
      <c r="AR217" s="462">
        <f>Tabla_query__2[[#This Row],[Número
Semanas]]/4</f>
        <v>0.5</v>
      </c>
      <c r="AS217" s="269">
        <f>Tabla_query__2[[#This Row],[FinDes2]]-Tabla_query__2[[#This Row],[InicioDes2]]</f>
        <v>0</v>
      </c>
      <c r="AT217" s="261"/>
    </row>
    <row r="218" spans="1:49" ht="79.5" customHeight="1">
      <c r="A218" s="318" t="s">
        <v>130</v>
      </c>
      <c r="B218" s="262" t="s">
        <v>218</v>
      </c>
      <c r="C218" s="262"/>
      <c r="D218" s="262" t="s">
        <v>650</v>
      </c>
      <c r="E218" s="262"/>
      <c r="F218" s="259"/>
      <c r="G218" s="259"/>
      <c r="H218" s="259" t="s">
        <v>204</v>
      </c>
      <c r="I218" s="262" t="s">
        <v>220</v>
      </c>
      <c r="J218" s="262" t="s">
        <v>139</v>
      </c>
      <c r="K218" s="262"/>
      <c r="L218" s="262"/>
      <c r="M218" s="262" t="s">
        <v>206</v>
      </c>
      <c r="N218" s="262" t="s">
        <v>648</v>
      </c>
      <c r="O218" s="582" t="s">
        <v>649</v>
      </c>
      <c r="P218" s="262" t="s">
        <v>139</v>
      </c>
      <c r="Q218" s="262" t="s">
        <v>143</v>
      </c>
      <c r="R218" s="262" t="s">
        <v>144</v>
      </c>
      <c r="S218" s="261"/>
      <c r="T218" s="261" t="s">
        <v>145</v>
      </c>
      <c r="U218" s="261"/>
      <c r="V218" s="261" t="s">
        <v>210</v>
      </c>
      <c r="W218" s="261"/>
      <c r="X218" s="261">
        <v>2</v>
      </c>
      <c r="Y218" s="261">
        <f>Tabla_query__2[[#This Row],[Número
Semanas]]*5*8</f>
        <v>80</v>
      </c>
      <c r="Z218" s="268">
        <f>Tabla_query__2[[#This Row],[TOTAL]]/Tabla_query__2[[#This Row],[Número de Horas]]/2</f>
        <v>14</v>
      </c>
      <c r="AA218" s="261">
        <v>2</v>
      </c>
      <c r="AB218" s="261">
        <v>400</v>
      </c>
      <c r="AC218" s="261"/>
      <c r="AD218" s="268">
        <f>Tabla_query__2[[#This Row],[Número
Semanas]]*Tabla_query__2[[#This Row],[Número
Personas]]*Tabla_query__2[[#This Row],[Costo
Mano Obra/semana]] + 640</f>
        <v>2240</v>
      </c>
      <c r="AE218" s="261"/>
      <c r="AF218" s="261"/>
      <c r="AG218" s="547" t="s">
        <v>191</v>
      </c>
      <c r="AH218" s="662">
        <v>45425</v>
      </c>
      <c r="AI218" s="662">
        <v>45429</v>
      </c>
      <c r="AJ218" s="663" t="e">
        <f>#REF!</f>
        <v>#REF!</v>
      </c>
      <c r="AK218" s="662">
        <v>45433</v>
      </c>
      <c r="AL218" s="662">
        <v>45440</v>
      </c>
      <c r="AM218" s="663">
        <f t="shared" si="12"/>
        <v>363471</v>
      </c>
      <c r="AN218" s="662">
        <v>45447</v>
      </c>
      <c r="AO218" s="662">
        <v>45447</v>
      </c>
      <c r="AP218" s="662">
        <f>Tabla_query__2[[#This Row],[InicioDes]]</f>
        <v>45425</v>
      </c>
      <c r="AQ218" s="662">
        <f>Tabla_query__2[[#This Row],[FinDes2]]</f>
        <v>45447</v>
      </c>
      <c r="AR218" s="462">
        <f>Tabla_query__2[[#This Row],[Número
Semanas]]/4</f>
        <v>0.5</v>
      </c>
      <c r="AS218" s="269">
        <f>Tabla_query__2[[#This Row],[FinDes2]]-Tabla_query__2[[#This Row],[InicioDes2]]</f>
        <v>0</v>
      </c>
      <c r="AT218" s="261"/>
    </row>
    <row r="219" spans="1:49" ht="30.75" customHeight="1">
      <c r="A219" s="318" t="s">
        <v>130</v>
      </c>
      <c r="B219" s="262" t="s">
        <v>218</v>
      </c>
      <c r="C219" s="262"/>
      <c r="D219" s="277" t="s">
        <v>651</v>
      </c>
      <c r="E219" s="262"/>
      <c r="F219" s="259"/>
      <c r="G219" s="259"/>
      <c r="H219" s="259" t="s">
        <v>652</v>
      </c>
      <c r="I219" s="262" t="s">
        <v>220</v>
      </c>
      <c r="J219" s="262" t="s">
        <v>139</v>
      </c>
      <c r="K219" s="262"/>
      <c r="L219" s="262"/>
      <c r="M219" s="262" t="s">
        <v>206</v>
      </c>
      <c r="N219" s="262" t="s">
        <v>648</v>
      </c>
      <c r="O219" s="262" t="s">
        <v>649</v>
      </c>
      <c r="P219" s="262" t="s">
        <v>139</v>
      </c>
      <c r="Q219" s="262" t="s">
        <v>143</v>
      </c>
      <c r="R219" s="262" t="s">
        <v>144</v>
      </c>
      <c r="S219" s="261"/>
      <c r="T219" s="261" t="s">
        <v>320</v>
      </c>
      <c r="U219" s="261"/>
      <c r="V219" s="261" t="s">
        <v>210</v>
      </c>
      <c r="W219" s="261"/>
      <c r="X219" s="261">
        <v>2</v>
      </c>
      <c r="Y219" s="261">
        <f>Tabla_query__2[[#This Row],[Número
Semanas]]*5*8</f>
        <v>80</v>
      </c>
      <c r="Z219" s="268">
        <f>Tabla_query__2[[#This Row],[TOTAL]]/Tabla_query__2[[#This Row],[Número de Horas]]/2</f>
        <v>14</v>
      </c>
      <c r="AA219" s="261">
        <v>2</v>
      </c>
      <c r="AB219" s="261">
        <v>400</v>
      </c>
      <c r="AC219" s="261"/>
      <c r="AD219" s="268">
        <f>Tabla_query__2[[#This Row],[Número
Semanas]]*Tabla_query__2[[#This Row],[Número
Personas]]*Tabla_query__2[[#This Row],[Costo
Mano Obra/semana]] + 640</f>
        <v>2240</v>
      </c>
      <c r="AE219" s="261"/>
      <c r="AF219" s="261"/>
      <c r="AG219" s="261"/>
      <c r="AH219" s="662">
        <v>45579</v>
      </c>
      <c r="AI219" s="662">
        <v>45590</v>
      </c>
      <c r="AJ219" s="663" t="e">
        <f>#REF!</f>
        <v>#REF!</v>
      </c>
      <c r="AK219" s="662">
        <v>45594</v>
      </c>
      <c r="AL219" s="662">
        <v>45601</v>
      </c>
      <c r="AM219" s="663">
        <f t="shared" si="12"/>
        <v>364759</v>
      </c>
      <c r="AN219" s="679"/>
      <c r="AO219" s="679"/>
      <c r="AP219" s="385">
        <f>Tabla_query__2[[#This Row],[InicioDes]]</f>
        <v>45579</v>
      </c>
      <c r="AQ219" s="385">
        <f>Tabla_query__2[[#This Row],[FinDes2]]</f>
        <v>0</v>
      </c>
      <c r="AR219" s="462">
        <f>Tabla_query__2[[#This Row],[Número
Semanas]]/4</f>
        <v>0.5</v>
      </c>
      <c r="AS219" s="269">
        <f>Tabla_query__2[[#This Row],[FinDes2]]-Tabla_query__2[[#This Row],[InicioDes2]]</f>
        <v>0</v>
      </c>
      <c r="AT219" s="261"/>
    </row>
    <row r="220" spans="1:49" ht="28.5" customHeight="1">
      <c r="A220" s="318" t="s">
        <v>130</v>
      </c>
      <c r="B220" s="262" t="s">
        <v>218</v>
      </c>
      <c r="C220" s="262"/>
      <c r="D220" s="262" t="s">
        <v>653</v>
      </c>
      <c r="E220" s="262"/>
      <c r="F220" s="259" t="s">
        <v>654</v>
      </c>
      <c r="G220" s="259"/>
      <c r="H220" s="259"/>
      <c r="I220" s="262" t="s">
        <v>220</v>
      </c>
      <c r="J220" s="262" t="s">
        <v>139</v>
      </c>
      <c r="K220" s="262"/>
      <c r="L220" s="262"/>
      <c r="M220" s="262" t="s">
        <v>206</v>
      </c>
      <c r="N220" s="262" t="s">
        <v>648</v>
      </c>
      <c r="O220" s="262" t="s">
        <v>649</v>
      </c>
      <c r="P220" s="262" t="s">
        <v>139</v>
      </c>
      <c r="Q220" s="262" t="s">
        <v>143</v>
      </c>
      <c r="R220" s="262" t="s">
        <v>144</v>
      </c>
      <c r="S220" s="261"/>
      <c r="T220" s="261" t="s">
        <v>221</v>
      </c>
      <c r="U220" s="261"/>
      <c r="V220" s="261" t="s">
        <v>210</v>
      </c>
      <c r="W220" s="261"/>
      <c r="X220" s="261">
        <v>3</v>
      </c>
      <c r="Y220" s="261">
        <f>Tabla_query__2[[#This Row],[Número
Semanas]]*5*8</f>
        <v>120</v>
      </c>
      <c r="Z220" s="268">
        <f>Tabla_query__2[[#This Row],[TOTAL]]/Tabla_query__2[[#This Row],[Número de Horas]]/2</f>
        <v>12.666666666666666</v>
      </c>
      <c r="AA220" s="261">
        <v>2</v>
      </c>
      <c r="AB220" s="261">
        <v>400</v>
      </c>
      <c r="AC220" s="261"/>
      <c r="AD220" s="268">
        <f>Tabla_query__2[[#This Row],[Número
Semanas]]*Tabla_query__2[[#This Row],[Número
Personas]]*Tabla_query__2[[#This Row],[Costo
Mano Obra/semana]] + 640</f>
        <v>3040</v>
      </c>
      <c r="AE220" s="261"/>
      <c r="AF220" s="261"/>
      <c r="AG220" s="261"/>
      <c r="AH220" s="662">
        <v>45558</v>
      </c>
      <c r="AI220" s="662">
        <v>45569</v>
      </c>
      <c r="AJ220" s="663" t="e">
        <f>#REF!</f>
        <v>#REF!</v>
      </c>
      <c r="AK220" s="662">
        <v>45573</v>
      </c>
      <c r="AL220" s="662">
        <v>45580</v>
      </c>
      <c r="AM220" s="663">
        <f t="shared" si="12"/>
        <v>364591</v>
      </c>
      <c r="AN220" s="679"/>
      <c r="AO220" s="679"/>
      <c r="AP220" s="385">
        <f>Tabla_query__2[[#This Row],[InicioDes]]</f>
        <v>45558</v>
      </c>
      <c r="AQ220" s="385">
        <f>Tabla_query__2[[#This Row],[FinDes2]]</f>
        <v>0</v>
      </c>
      <c r="AR220" s="462">
        <f>Tabla_query__2[[#This Row],[Número
Semanas]]/4</f>
        <v>0.75</v>
      </c>
      <c r="AS220" s="269">
        <f>Tabla_query__2[[#This Row],[FinDes2]]-Tabla_query__2[[#This Row],[InicioDes2]]</f>
        <v>0</v>
      </c>
      <c r="AT220" s="261"/>
    </row>
    <row r="221" spans="1:49" ht="28.5" customHeight="1">
      <c r="A221" s="318" t="s">
        <v>130</v>
      </c>
      <c r="B221" s="262" t="s">
        <v>218</v>
      </c>
      <c r="C221" s="262"/>
      <c r="D221" s="277" t="s">
        <v>655</v>
      </c>
      <c r="E221" s="262"/>
      <c r="F221" s="259" t="s">
        <v>656</v>
      </c>
      <c r="G221" s="259"/>
      <c r="H221" s="259"/>
      <c r="I221" s="262" t="s">
        <v>220</v>
      </c>
      <c r="J221" s="262" t="s">
        <v>139</v>
      </c>
      <c r="K221" s="262"/>
      <c r="L221" s="262"/>
      <c r="M221" s="262" t="s">
        <v>206</v>
      </c>
      <c r="N221" s="262" t="s">
        <v>648</v>
      </c>
      <c r="O221" s="262" t="s">
        <v>649</v>
      </c>
      <c r="P221" s="262" t="s">
        <v>139</v>
      </c>
      <c r="Q221" s="262" t="s">
        <v>143</v>
      </c>
      <c r="R221" s="262" t="s">
        <v>144</v>
      </c>
      <c r="S221" s="261"/>
      <c r="T221" s="261" t="s">
        <v>320</v>
      </c>
      <c r="U221" s="261"/>
      <c r="V221" s="261" t="s">
        <v>146</v>
      </c>
      <c r="W221" s="261"/>
      <c r="X221" s="261">
        <v>3</v>
      </c>
      <c r="Y221" s="261">
        <f>Tabla_query__2[[#This Row],[Número
Semanas]]*5*8</f>
        <v>120</v>
      </c>
      <c r="Z221" s="268">
        <f>Tabla_query__2[[#This Row],[TOTAL]]/Tabla_query__2[[#This Row],[Número de Horas]]/2</f>
        <v>12.666666666666666</v>
      </c>
      <c r="AA221" s="261">
        <v>2</v>
      </c>
      <c r="AB221" s="261">
        <v>400</v>
      </c>
      <c r="AC221" s="261"/>
      <c r="AD221" s="268">
        <f>Tabla_query__2[[#This Row],[Número
Semanas]]*Tabla_query__2[[#This Row],[Número
Personas]]*Tabla_query__2[[#This Row],[Costo
Mano Obra/semana]] + 640</f>
        <v>3040</v>
      </c>
      <c r="AE221" s="261"/>
      <c r="AF221" s="261"/>
      <c r="AG221" s="261"/>
      <c r="AH221" s="662">
        <v>45579</v>
      </c>
      <c r="AI221" s="662">
        <v>45597</v>
      </c>
      <c r="AJ221" s="663" t="e">
        <f>#REF!</f>
        <v>#REF!</v>
      </c>
      <c r="AK221" s="662">
        <v>45601</v>
      </c>
      <c r="AL221" s="662">
        <v>45608</v>
      </c>
      <c r="AM221" s="663">
        <f t="shared" si="12"/>
        <v>364815</v>
      </c>
      <c r="AN221" s="679"/>
      <c r="AO221" s="679"/>
      <c r="AP221" s="385">
        <f>Tabla_query__2[[#This Row],[InicioDes]]</f>
        <v>45579</v>
      </c>
      <c r="AQ221" s="385">
        <f>Tabla_query__2[[#This Row],[FinDes2]]</f>
        <v>0</v>
      </c>
      <c r="AR221" s="462">
        <f>Tabla_query__2[[#This Row],[Número
Semanas]]/4</f>
        <v>0.75</v>
      </c>
      <c r="AS221" s="269">
        <f>Tabla_query__2[[#This Row],[FinDes2]]-Tabla_query__2[[#This Row],[InicioDes2]]</f>
        <v>0</v>
      </c>
      <c r="AT221" s="261"/>
    </row>
    <row r="222" spans="1:49" ht="30" customHeight="1">
      <c r="A222" s="318" t="s">
        <v>130</v>
      </c>
      <c r="B222" s="262" t="s">
        <v>218</v>
      </c>
      <c r="C222" s="262"/>
      <c r="D222" s="262" t="s">
        <v>657</v>
      </c>
      <c r="E222" s="262"/>
      <c r="F222" s="259"/>
      <c r="G222" s="259"/>
      <c r="H222" s="259"/>
      <c r="I222" s="262" t="s">
        <v>220</v>
      </c>
      <c r="J222" s="262" t="s">
        <v>139</v>
      </c>
      <c r="K222" s="262"/>
      <c r="L222" s="262"/>
      <c r="M222" s="262" t="s">
        <v>206</v>
      </c>
      <c r="N222" s="262" t="s">
        <v>648</v>
      </c>
      <c r="O222" s="262" t="s">
        <v>649</v>
      </c>
      <c r="P222" s="262" t="s">
        <v>139</v>
      </c>
      <c r="Q222" s="262" t="s">
        <v>143</v>
      </c>
      <c r="R222" s="262" t="s">
        <v>144</v>
      </c>
      <c r="S222" s="261"/>
      <c r="T222" s="261" t="s">
        <v>221</v>
      </c>
      <c r="U222" s="261"/>
      <c r="V222" s="261" t="s">
        <v>210</v>
      </c>
      <c r="W222" s="261"/>
      <c r="X222" s="261">
        <v>1</v>
      </c>
      <c r="Y222" s="261">
        <f>Tabla_query__2[[#This Row],[Número
Semanas]]*5*8</f>
        <v>40</v>
      </c>
      <c r="Z222" s="268">
        <f>Tabla_query__2[[#This Row],[TOTAL]]/Tabla_query__2[[#This Row],[Número de Horas]]/2</f>
        <v>17.375</v>
      </c>
      <c r="AA222" s="261">
        <v>1</v>
      </c>
      <c r="AB222" s="261">
        <v>400</v>
      </c>
      <c r="AC222" s="261"/>
      <c r="AD222" s="268">
        <f>Tabla_query__2[[#This Row],[Número
Semanas]]*Tabla_query__2[[#This Row],[Número
Personas]]*Tabla_query__2[[#This Row],[Costo
Mano Obra/semana]] + 640 +350</f>
        <v>1390</v>
      </c>
      <c r="AE222" s="261"/>
      <c r="AF222" s="261"/>
      <c r="AG222" s="261"/>
      <c r="AH222" s="662">
        <v>45481</v>
      </c>
      <c r="AI222" s="662">
        <v>45485</v>
      </c>
      <c r="AJ222" s="663" t="e">
        <f>#REF!</f>
        <v>#REF!</v>
      </c>
      <c r="AK222" s="662">
        <v>45489</v>
      </c>
      <c r="AL222" s="662">
        <v>45496</v>
      </c>
      <c r="AM222" s="663">
        <f t="shared" si="12"/>
        <v>363919</v>
      </c>
      <c r="AN222" s="679"/>
      <c r="AO222" s="679"/>
      <c r="AP222" s="385">
        <f>Tabla_query__2[[#This Row],[InicioDes]]</f>
        <v>45481</v>
      </c>
      <c r="AQ222" s="385">
        <f>Tabla_query__2[[#This Row],[FinDes2]]</f>
        <v>0</v>
      </c>
      <c r="AR222" s="462">
        <f>Tabla_query__2[[#This Row],[Número
Semanas]]/4</f>
        <v>0.25</v>
      </c>
      <c r="AS222" s="269">
        <f>Tabla_query__2[[#This Row],[FinDes2]]-Tabla_query__2[[#This Row],[InicioDes2]]</f>
        <v>0</v>
      </c>
      <c r="AT222" s="261"/>
    </row>
    <row r="223" spans="1:49" ht="30" customHeight="1">
      <c r="A223" s="318" t="s">
        <v>130</v>
      </c>
      <c r="B223" s="262" t="s">
        <v>218</v>
      </c>
      <c r="C223" s="262"/>
      <c r="D223" s="277" t="s">
        <v>658</v>
      </c>
      <c r="E223" s="262"/>
      <c r="F223" s="259" t="s">
        <v>659</v>
      </c>
      <c r="G223" s="259"/>
      <c r="H223" s="259" t="s">
        <v>204</v>
      </c>
      <c r="I223" s="262" t="s">
        <v>220</v>
      </c>
      <c r="J223" s="262" t="s">
        <v>139</v>
      </c>
      <c r="K223" s="262"/>
      <c r="L223" s="262"/>
      <c r="M223" s="262" t="s">
        <v>206</v>
      </c>
      <c r="N223" s="262" t="s">
        <v>648</v>
      </c>
      <c r="O223" s="262" t="s">
        <v>649</v>
      </c>
      <c r="P223" s="262" t="s">
        <v>139</v>
      </c>
      <c r="Q223" s="262" t="s">
        <v>143</v>
      </c>
      <c r="R223" s="262" t="s">
        <v>197</v>
      </c>
      <c r="S223" s="261"/>
      <c r="T223" s="261" t="s">
        <v>152</v>
      </c>
      <c r="U223" s="261"/>
      <c r="V223" s="261" t="s">
        <v>210</v>
      </c>
      <c r="W223" s="261"/>
      <c r="X223" s="261">
        <v>2</v>
      </c>
      <c r="Y223" s="261">
        <f>Tabla_query__2[[#This Row],[Número
Semanas]]*5*8</f>
        <v>80</v>
      </c>
      <c r="Z223" s="268">
        <f>Tabla_query__2[[#This Row],[TOTAL]]/Tabla_query__2[[#This Row],[Número de Horas]]/2</f>
        <v>9</v>
      </c>
      <c r="AA223" s="261">
        <v>1</v>
      </c>
      <c r="AB223" s="261">
        <v>400</v>
      </c>
      <c r="AC223" s="261"/>
      <c r="AD223" s="268">
        <f>Tabla_query__2[[#This Row],[Número
Semanas]]*Tabla_query__2[[#This Row],[Número
Personas]]*Tabla_query__2[[#This Row],[Costo
Mano Obra/semana]] + 640</f>
        <v>1440</v>
      </c>
      <c r="AE223" s="261"/>
      <c r="AF223" s="261"/>
      <c r="AG223" s="547">
        <v>0</v>
      </c>
      <c r="AH223" s="662">
        <v>45355</v>
      </c>
      <c r="AI223" s="662">
        <v>45372</v>
      </c>
      <c r="AJ223" s="663" t="e">
        <f>#REF!</f>
        <v>#REF!</v>
      </c>
      <c r="AK223" s="662">
        <v>45377</v>
      </c>
      <c r="AL223" s="662">
        <v>45370</v>
      </c>
      <c r="AM223" s="663">
        <f t="shared" si="12"/>
        <v>363009</v>
      </c>
      <c r="AN223" s="679"/>
      <c r="AO223" s="679"/>
      <c r="AP223" s="385">
        <f>Tabla_query__2[[#This Row],[InicioDes]]</f>
        <v>45355</v>
      </c>
      <c r="AQ223" s="385">
        <f>Tabla_query__2[[#This Row],[FinDes2]]</f>
        <v>0</v>
      </c>
      <c r="AR223" s="462">
        <f>Tabla_query__2[[#This Row],[Número
Semanas]]/4</f>
        <v>0.5</v>
      </c>
      <c r="AS223" s="269">
        <f>Tabla_query__2[[#This Row],[FinDes2]]-Tabla_query__2[[#This Row],[InicioDes2]]</f>
        <v>0</v>
      </c>
      <c r="AT223" s="261"/>
      <c r="AV223" s="324"/>
    </row>
    <row r="224" spans="1:49" ht="30" customHeight="1">
      <c r="A224" s="318" t="s">
        <v>130</v>
      </c>
      <c r="B224" s="262" t="s">
        <v>218</v>
      </c>
      <c r="C224" s="262"/>
      <c r="D224" s="277" t="s">
        <v>660</v>
      </c>
      <c r="E224" s="262"/>
      <c r="F224" s="259" t="s">
        <v>661</v>
      </c>
      <c r="G224" s="259"/>
      <c r="H224" s="259" t="s">
        <v>204</v>
      </c>
      <c r="I224" s="262" t="s">
        <v>220</v>
      </c>
      <c r="J224" s="262" t="s">
        <v>139</v>
      </c>
      <c r="K224" s="262"/>
      <c r="L224" s="262"/>
      <c r="M224" s="262" t="s">
        <v>206</v>
      </c>
      <c r="N224" s="262" t="s">
        <v>648</v>
      </c>
      <c r="O224" s="582" t="s">
        <v>649</v>
      </c>
      <c r="P224" s="262" t="s">
        <v>139</v>
      </c>
      <c r="Q224" s="262" t="s">
        <v>143</v>
      </c>
      <c r="R224" s="262" t="s">
        <v>209</v>
      </c>
      <c r="S224" s="261"/>
      <c r="T224" s="261" t="s">
        <v>145</v>
      </c>
      <c r="U224" s="261"/>
      <c r="V224" s="261" t="s">
        <v>210</v>
      </c>
      <c r="W224" s="261"/>
      <c r="X224" s="261">
        <v>2</v>
      </c>
      <c r="Y224" s="261">
        <f>Tabla_query__2[[#This Row],[Número
Semanas]]*5*8</f>
        <v>80</v>
      </c>
      <c r="Z224" s="268">
        <f>Tabla_query__2[[#This Row],[TOTAL]]/Tabla_query__2[[#This Row],[Número de Horas]]/2</f>
        <v>14</v>
      </c>
      <c r="AA224" s="261">
        <v>2</v>
      </c>
      <c r="AB224" s="261">
        <v>400</v>
      </c>
      <c r="AC224" s="261"/>
      <c r="AD224" s="268">
        <f>Tabla_query__2[[#This Row],[Número
Semanas]]*Tabla_query__2[[#This Row],[Número
Personas]]*Tabla_query__2[[#This Row],[Costo
Mano Obra/semana]] + 640</f>
        <v>2240</v>
      </c>
      <c r="AE224" s="261"/>
      <c r="AF224" s="261"/>
      <c r="AG224" s="547" t="s">
        <v>211</v>
      </c>
      <c r="AH224" s="662">
        <v>45348</v>
      </c>
      <c r="AI224" s="662">
        <v>45359</v>
      </c>
      <c r="AJ224" s="663" t="e">
        <f>#REF!</f>
        <v>#REF!</v>
      </c>
      <c r="AK224" s="662">
        <v>45363</v>
      </c>
      <c r="AL224" s="662">
        <v>45370</v>
      </c>
      <c r="AM224" s="663">
        <f t="shared" si="12"/>
        <v>362911</v>
      </c>
      <c r="AN224" s="662">
        <v>45427</v>
      </c>
      <c r="AO224" s="662">
        <v>45427</v>
      </c>
      <c r="AP224" s="385">
        <f>Tabla_query__2[[#This Row],[InicioDes]]</f>
        <v>45348</v>
      </c>
      <c r="AQ224" s="385">
        <f>Tabla_query__2[[#This Row],[FinDes2]]</f>
        <v>45427</v>
      </c>
      <c r="AR224" s="462">
        <f>Tabla_query__2[[#This Row],[Número
Semanas]]/4</f>
        <v>0.5</v>
      </c>
      <c r="AS224" s="269">
        <f>Tabla_query__2[[#This Row],[FinDes2]]-Tabla_query__2[[#This Row],[InicioDes2]]</f>
        <v>0</v>
      </c>
      <c r="AT224" s="261"/>
    </row>
    <row r="225" spans="1:49" ht="30" customHeight="1">
      <c r="A225" s="318" t="s">
        <v>130</v>
      </c>
      <c r="B225" s="262" t="s">
        <v>218</v>
      </c>
      <c r="C225" s="262"/>
      <c r="D225" s="262" t="s">
        <v>662</v>
      </c>
      <c r="E225" s="262"/>
      <c r="F225" s="259"/>
      <c r="G225" s="259"/>
      <c r="H225" s="259" t="s">
        <v>204</v>
      </c>
      <c r="I225" s="262" t="s">
        <v>220</v>
      </c>
      <c r="J225" s="262" t="s">
        <v>139</v>
      </c>
      <c r="K225" s="262"/>
      <c r="L225" s="262"/>
      <c r="M225" s="262" t="s">
        <v>206</v>
      </c>
      <c r="N225" s="262" t="s">
        <v>648</v>
      </c>
      <c r="O225" s="262" t="s">
        <v>649</v>
      </c>
      <c r="P225" s="262" t="s">
        <v>139</v>
      </c>
      <c r="Q225" s="262" t="s">
        <v>143</v>
      </c>
      <c r="R225" s="262" t="s">
        <v>144</v>
      </c>
      <c r="S225" s="261"/>
      <c r="T225" s="261" t="s">
        <v>221</v>
      </c>
      <c r="U225" s="261"/>
      <c r="V225" s="261" t="s">
        <v>210</v>
      </c>
      <c r="W225" s="261"/>
      <c r="X225" s="261">
        <v>2</v>
      </c>
      <c r="Y225" s="261">
        <f>Tabla_query__2[[#This Row],[Número
Semanas]]*5*8</f>
        <v>80</v>
      </c>
      <c r="Z225" s="268">
        <f>Tabla_query__2[[#This Row],[TOTAL]]/Tabla_query__2[[#This Row],[Número de Horas]]/2</f>
        <v>9</v>
      </c>
      <c r="AA225" s="261">
        <v>1</v>
      </c>
      <c r="AB225" s="261">
        <v>400</v>
      </c>
      <c r="AC225" s="261"/>
      <c r="AD225" s="268">
        <f>Tabla_query__2[[#This Row],[Número
Semanas]]*Tabla_query__2[[#This Row],[Número
Personas]]*Tabla_query__2[[#This Row],[Costo
Mano Obra/semana]] + 640</f>
        <v>1440</v>
      </c>
      <c r="AE225" s="261"/>
      <c r="AF225" s="261"/>
      <c r="AG225" s="261"/>
      <c r="AH225" s="536">
        <v>45551</v>
      </c>
      <c r="AI225" s="536">
        <v>45562</v>
      </c>
      <c r="AJ225" s="536" t="e">
        <f>#REF!</f>
        <v>#REF!</v>
      </c>
      <c r="AK225" s="536">
        <v>45566</v>
      </c>
      <c r="AL225" s="536">
        <v>45572</v>
      </c>
      <c r="AM225" s="536">
        <f t="shared" si="12"/>
        <v>364534</v>
      </c>
      <c r="AN225" s="536"/>
      <c r="AO225" s="536"/>
      <c r="AP225" s="536">
        <f>Tabla_query__2[[#This Row],[InicioDes]]</f>
        <v>45551</v>
      </c>
      <c r="AQ225" s="536">
        <f>Tabla_query__2[[#This Row],[FinDes2]]</f>
        <v>0</v>
      </c>
      <c r="AR225" s="462">
        <f>Tabla_query__2[[#This Row],[Número
Semanas]]/4</f>
        <v>0.5</v>
      </c>
      <c r="AS225" s="269">
        <f>Tabla_query__2[[#This Row],[FinDes2]]-Tabla_query__2[[#This Row],[InicioDes2]]</f>
        <v>0</v>
      </c>
      <c r="AT225" s="261"/>
    </row>
    <row r="226" spans="1:49" ht="31.5" customHeight="1">
      <c r="A226" s="318" t="s">
        <v>130</v>
      </c>
      <c r="B226" s="262" t="s">
        <v>218</v>
      </c>
      <c r="C226" s="262"/>
      <c r="D226" s="262" t="s">
        <v>220</v>
      </c>
      <c r="E226" s="262"/>
      <c r="F226" s="259"/>
      <c r="G226" s="259"/>
      <c r="H226" s="259" t="s">
        <v>204</v>
      </c>
      <c r="I226" s="262" t="s">
        <v>220</v>
      </c>
      <c r="J226" s="262" t="s">
        <v>139</v>
      </c>
      <c r="K226" s="262"/>
      <c r="L226" s="262"/>
      <c r="M226" s="262" t="s">
        <v>206</v>
      </c>
      <c r="N226" s="262" t="s">
        <v>648</v>
      </c>
      <c r="O226" s="262" t="s">
        <v>649</v>
      </c>
      <c r="P226" s="262" t="s">
        <v>139</v>
      </c>
      <c r="Q226" s="262" t="s">
        <v>143</v>
      </c>
      <c r="R226" s="262"/>
      <c r="S226" s="261"/>
      <c r="T226" s="261" t="s">
        <v>320</v>
      </c>
      <c r="U226" s="261"/>
      <c r="V226" s="261"/>
      <c r="W226" s="261"/>
      <c r="X226" s="261">
        <v>40</v>
      </c>
      <c r="Y226" s="261">
        <f>Tabla_query__2[[#This Row],[Número
Semanas]]*5*8</f>
        <v>1600</v>
      </c>
      <c r="Z226" s="268">
        <f>Tabla_query__2[[#This Row],[TOTAL]]/Tabla_query__2[[#This Row],[Número de Horas]]/2</f>
        <v>2.5750000000000002</v>
      </c>
      <c r="AA226" s="261">
        <v>1</v>
      </c>
      <c r="AB226" s="261">
        <v>190</v>
      </c>
      <c r="AC226" s="261"/>
      <c r="AD226" s="268">
        <f>Tabla_query__2[[#This Row],[Número
Semanas]]*Tabla_query__2[[#This Row],[Número
Personas]]*Tabla_query__2[[#This Row],[Costo
Mano Obra/semana]] + 640</f>
        <v>8240</v>
      </c>
      <c r="AE226" s="261"/>
      <c r="AF226" s="261"/>
      <c r="AG226" s="261"/>
      <c r="AH226" s="458">
        <v>45352</v>
      </c>
      <c r="AI226" s="281">
        <v>45657</v>
      </c>
      <c r="AJ226" s="536" t="e">
        <f>#REF!</f>
        <v>#REF!</v>
      </c>
      <c r="AK226" s="281"/>
      <c r="AL226" s="281"/>
      <c r="AM226" s="536">
        <f t="shared" si="12"/>
        <v>0</v>
      </c>
      <c r="AN226" s="281"/>
      <c r="AO226" s="281"/>
      <c r="AP226" s="698">
        <f>Tabla_query__2[[#This Row],[InicioDes]]</f>
        <v>45352</v>
      </c>
      <c r="AQ226" s="698">
        <f>Tabla_query__2[[#This Row],[FinDes2]]</f>
        <v>0</v>
      </c>
      <c r="AR226" s="462">
        <f>Tabla_query__2[[#This Row],[Número
Semanas]]/4</f>
        <v>10</v>
      </c>
      <c r="AS226" s="269">
        <f>Tabla_query__2[[#This Row],[FinDes2]]-Tabla_query__2[[#This Row],[InicioDes2]]</f>
        <v>0</v>
      </c>
      <c r="AT226" s="261"/>
    </row>
    <row r="227" spans="1:49" ht="44.25" customHeight="1">
      <c r="A227" s="318" t="s">
        <v>130</v>
      </c>
      <c r="B227" s="262" t="s">
        <v>134</v>
      </c>
      <c r="C227" s="262"/>
      <c r="D227" s="262" t="s">
        <v>663</v>
      </c>
      <c r="E227" s="262"/>
      <c r="F227" s="259" t="s">
        <v>664</v>
      </c>
      <c r="G227" s="259"/>
      <c r="H227" s="259" t="s">
        <v>204</v>
      </c>
      <c r="I227" s="277" t="s">
        <v>220</v>
      </c>
      <c r="J227" s="262" t="s">
        <v>139</v>
      </c>
      <c r="K227" s="262"/>
      <c r="L227" s="262"/>
      <c r="M227" s="262" t="s">
        <v>329</v>
      </c>
      <c r="N227" s="262" t="s">
        <v>648</v>
      </c>
      <c r="O227" s="262" t="s">
        <v>649</v>
      </c>
      <c r="P227" s="262" t="s">
        <v>665</v>
      </c>
      <c r="Q227" s="262" t="s">
        <v>143</v>
      </c>
      <c r="R227" s="262" t="s">
        <v>179</v>
      </c>
      <c r="S227" s="261"/>
      <c r="T227" s="261" t="s">
        <v>152</v>
      </c>
      <c r="U227" s="261"/>
      <c r="V227" s="261" t="s">
        <v>136</v>
      </c>
      <c r="W227" s="261">
        <v>1</v>
      </c>
      <c r="X227" s="261">
        <v>3</v>
      </c>
      <c r="Y227" s="261">
        <f>Tabla_query__2[[#This Row],[Número
Semanas]]*5*8</f>
        <v>120</v>
      </c>
      <c r="Z227" s="268">
        <f>Tabla_query__2[[#This Row],[TOTAL]]/Tabla_query__2[[#This Row],[Número de Horas]]/2</f>
        <v>101.5625</v>
      </c>
      <c r="AA227" s="261">
        <v>13</v>
      </c>
      <c r="AB227" s="261">
        <v>625</v>
      </c>
      <c r="AC227" s="261"/>
      <c r="AD227" s="268">
        <f>Tabla_query__2[[#This Row],[Número
Semanas]]*Tabla_query__2[[#This Row],[Número
Personas]]*Tabla_query__2[[#This Row],[Costo
Mano Obra/semana]]</f>
        <v>24375</v>
      </c>
      <c r="AE227" s="261"/>
      <c r="AF227" s="261"/>
      <c r="AG227" s="261"/>
      <c r="AH227" s="662">
        <v>45292</v>
      </c>
      <c r="AI227" s="662">
        <v>45373</v>
      </c>
      <c r="AJ227" s="663" t="e">
        <f>#REF!</f>
        <v>#REF!</v>
      </c>
      <c r="AK227" s="662">
        <v>45376</v>
      </c>
      <c r="AL227" s="662">
        <v>45380</v>
      </c>
      <c r="AM227" s="663">
        <f t="shared" si="12"/>
        <v>363012</v>
      </c>
      <c r="AN227" s="662">
        <v>45383</v>
      </c>
      <c r="AO227" s="662">
        <v>45394</v>
      </c>
      <c r="AP227" s="385">
        <f>Tabla_query__2[[#This Row],[InicioDes]]</f>
        <v>45292</v>
      </c>
      <c r="AQ227" s="385">
        <f>Tabla_query__2[[#This Row],[FinDes2]]</f>
        <v>45394</v>
      </c>
      <c r="AR227" s="462">
        <f>Tabla_query__2[[#This Row],[Número
Semanas]]/4</f>
        <v>0.75</v>
      </c>
      <c r="AS227" s="269">
        <f>Tabla_query__2[[#This Row],[FinDes2]]-Tabla_query__2[[#This Row],[InicioDes2]]</f>
        <v>11</v>
      </c>
      <c r="AT227" s="261"/>
      <c r="AV227" s="449"/>
    </row>
    <row r="228" spans="1:49" ht="19.5" customHeight="1">
      <c r="A228" s="318" t="s">
        <v>130</v>
      </c>
      <c r="B228" s="262" t="s">
        <v>218</v>
      </c>
      <c r="C228" s="262"/>
      <c r="D228" s="262" t="s">
        <v>666</v>
      </c>
      <c r="E228" s="262"/>
      <c r="F228" s="259"/>
      <c r="G228" s="259"/>
      <c r="H228" s="259" t="s">
        <v>204</v>
      </c>
      <c r="I228" s="262" t="s">
        <v>220</v>
      </c>
      <c r="J228" s="262" t="s">
        <v>139</v>
      </c>
      <c r="K228" s="262"/>
      <c r="L228" s="262"/>
      <c r="M228" s="262" t="s">
        <v>206</v>
      </c>
      <c r="N228" s="262" t="s">
        <v>648</v>
      </c>
      <c r="O228" s="582" t="s">
        <v>649</v>
      </c>
      <c r="P228" s="262" t="s">
        <v>139</v>
      </c>
      <c r="Q228" s="262" t="s">
        <v>143</v>
      </c>
      <c r="R228" s="262" t="s">
        <v>144</v>
      </c>
      <c r="S228" s="261"/>
      <c r="T228" s="261" t="s">
        <v>145</v>
      </c>
      <c r="U228" s="261"/>
      <c r="V228" s="261" t="s">
        <v>210</v>
      </c>
      <c r="W228" s="261"/>
      <c r="X228" s="261">
        <v>2</v>
      </c>
      <c r="Y228" s="261">
        <f>Tabla_query__2[[#This Row],[Número
Semanas]]*5*8</f>
        <v>80</v>
      </c>
      <c r="Z228" s="268">
        <f>Tabla_query__2[[#This Row],[TOTAL]]/Tabla_query__2[[#This Row],[Número de Horas]]/2</f>
        <v>14</v>
      </c>
      <c r="AA228" s="261">
        <v>2</v>
      </c>
      <c r="AB228" s="261">
        <v>400</v>
      </c>
      <c r="AC228" s="261"/>
      <c r="AD228" s="268">
        <f>Tabla_query__2[[#This Row],[Número
Semanas]]*Tabla_query__2[[#This Row],[Número
Personas]]*Tabla_query__2[[#This Row],[Costo
Mano Obra/semana]] + 640</f>
        <v>2240</v>
      </c>
      <c r="AE228" s="261"/>
      <c r="AF228" s="261"/>
      <c r="AG228" s="547" t="s">
        <v>191</v>
      </c>
      <c r="AH228" s="662">
        <v>45411</v>
      </c>
      <c r="AI228" s="662"/>
      <c r="AJ228" s="663" t="e">
        <f>#REF!</f>
        <v>#REF!</v>
      </c>
      <c r="AK228" s="662"/>
      <c r="AL228" s="662"/>
      <c r="AM228" s="663">
        <f t="shared" si="12"/>
        <v>0</v>
      </c>
      <c r="AN228" s="662">
        <v>45468</v>
      </c>
      <c r="AO228" s="662">
        <v>45468</v>
      </c>
      <c r="AP228" s="662">
        <f>Tabla_query__2[[#This Row],[InicioDes]]</f>
        <v>45411</v>
      </c>
      <c r="AQ228" s="662">
        <f>Tabla_query__2[[#This Row],[FinDes2]]</f>
        <v>45468</v>
      </c>
      <c r="AR228" s="462">
        <f>Tabla_query__2[[#This Row],[Número
Semanas]]/4</f>
        <v>0.5</v>
      </c>
      <c r="AS228" s="269">
        <f>Tabla_query__2[[#This Row],[FinDes2]]-Tabla_query__2[[#This Row],[InicioDes2]]</f>
        <v>0</v>
      </c>
      <c r="AT228" s="261"/>
      <c r="AV228" s="293"/>
    </row>
    <row r="229" spans="1:49" ht="63" customHeight="1">
      <c r="A229" s="318" t="s">
        <v>130</v>
      </c>
      <c r="B229" s="262" t="s">
        <v>457</v>
      </c>
      <c r="C229" s="262"/>
      <c r="D229" s="259" t="s">
        <v>667</v>
      </c>
      <c r="E229" s="262"/>
      <c r="F229" s="259" t="s">
        <v>668</v>
      </c>
      <c r="G229" s="259"/>
      <c r="H229" s="259" t="s">
        <v>204</v>
      </c>
      <c r="I229" s="277" t="s">
        <v>669</v>
      </c>
      <c r="J229" s="262" t="s">
        <v>4</v>
      </c>
      <c r="K229" s="262"/>
      <c r="L229" s="262"/>
      <c r="M229" s="277" t="s">
        <v>206</v>
      </c>
      <c r="N229" s="277" t="s">
        <v>30</v>
      </c>
      <c r="O229" s="277" t="s">
        <v>670</v>
      </c>
      <c r="P229" s="277" t="s">
        <v>28</v>
      </c>
      <c r="Q229" s="262" t="s">
        <v>208</v>
      </c>
      <c r="R229" s="277" t="s">
        <v>144</v>
      </c>
      <c r="S229" s="259" t="s">
        <v>145</v>
      </c>
      <c r="T229" s="259" t="s">
        <v>320</v>
      </c>
      <c r="U229" s="259"/>
      <c r="V229" s="261" t="s">
        <v>136</v>
      </c>
      <c r="W229" s="259">
        <v>1</v>
      </c>
      <c r="X229" s="259">
        <v>5</v>
      </c>
      <c r="Y229" s="259">
        <f>Tabla_query__2[[#This Row],[Número
Semanas]]*5*8</f>
        <v>200</v>
      </c>
      <c r="Z229" s="387">
        <f>Tabla_query__2[[#This Row],[TOTAL]]/Tabla_query__2[[#This Row],[Número de Horas]]/2</f>
        <v>9.875</v>
      </c>
      <c r="AA229" s="259">
        <v>1</v>
      </c>
      <c r="AB229" s="259">
        <v>550</v>
      </c>
      <c r="AC229" s="259"/>
      <c r="AD229" s="268">
        <f>Tabla_query__2[[#This Row],[Número
Semanas]]*Tabla_query__2[[#This Row],[Número
Personas]]*Tabla_query__2[[#This Row],[Costo
Mano Obra/semana]]+(40*30)</f>
        <v>3950</v>
      </c>
      <c r="AE229" s="259"/>
      <c r="AF229" s="259"/>
      <c r="AG229" s="259"/>
      <c r="AH229" s="662">
        <v>45566</v>
      </c>
      <c r="AI229" s="662">
        <v>45937</v>
      </c>
      <c r="AJ229" s="662">
        <v>45597</v>
      </c>
      <c r="AK229" s="662">
        <v>45937</v>
      </c>
      <c r="AL229" s="662">
        <v>45579</v>
      </c>
      <c r="AM229" s="662">
        <v>45603</v>
      </c>
      <c r="AN229" s="662">
        <v>45586</v>
      </c>
      <c r="AO229" s="693">
        <v>45403</v>
      </c>
      <c r="AP229" s="385">
        <f>Tabla_query__2[[#This Row],[InicioDes]]</f>
        <v>45566</v>
      </c>
      <c r="AQ229" s="385">
        <f>Tabla_query__2[[#This Row],[FinDes2]]</f>
        <v>45403</v>
      </c>
      <c r="AR229" s="462">
        <f>Tabla_query__2[[#This Row],[Número
Semanas]]/4</f>
        <v>1.25</v>
      </c>
      <c r="AS229" s="405">
        <f>Tabla_query__2[[#This Row],[FinDes2]]-Tabla_query__2[[#This Row],[InicioDes2]]</f>
        <v>-183</v>
      </c>
      <c r="AT229" s="259"/>
      <c r="AU229" s="703"/>
      <c r="AV229" s="224"/>
    </row>
    <row r="230" spans="1:49" ht="24.75" customHeight="1">
      <c r="A230" s="318" t="s">
        <v>130</v>
      </c>
      <c r="B230" s="262" t="s">
        <v>671</v>
      </c>
      <c r="C230" s="262"/>
      <c r="D230" s="277" t="s">
        <v>672</v>
      </c>
      <c r="E230" s="262"/>
      <c r="F230" s="277" t="s">
        <v>672</v>
      </c>
      <c r="G230" s="277"/>
      <c r="H230" s="259" t="s">
        <v>204</v>
      </c>
      <c r="I230" s="266" t="s">
        <v>672</v>
      </c>
      <c r="J230" s="262" t="s">
        <v>4</v>
      </c>
      <c r="K230" s="262"/>
      <c r="L230" s="262"/>
      <c r="M230" s="262" t="s">
        <v>206</v>
      </c>
      <c r="N230" s="262" t="s">
        <v>31</v>
      </c>
      <c r="O230" s="582" t="s">
        <v>670</v>
      </c>
      <c r="P230" s="262" t="s">
        <v>28</v>
      </c>
      <c r="Q230" s="262" t="s">
        <v>208</v>
      </c>
      <c r="R230" s="262" t="s">
        <v>144</v>
      </c>
      <c r="S230" s="261"/>
      <c r="T230" s="261" t="str">
        <f>IF(MONTH(AH230)&lt;4, "Q1",IF(AND(MONTH(AH230)&gt;3,MONTH(AH230)&lt;=6),"Q2",IF(AND(MONTH(AH230)&gt;6,MONTH(AH230)&lt;=9),"Q3","Q4")))</f>
        <v>Q1</v>
      </c>
      <c r="U230" s="261" t="s">
        <v>673</v>
      </c>
      <c r="V230" s="261" t="s">
        <v>210</v>
      </c>
      <c r="W230" s="261">
        <v>1</v>
      </c>
      <c r="X230" s="261">
        <v>5</v>
      </c>
      <c r="Y230" s="261">
        <f>Tabla_query__2[[#This Row],[Número
Semanas]]*5*8</f>
        <v>200</v>
      </c>
      <c r="Z230" s="268">
        <f>Tabla_query__2[[#This Row],[TOTAL]]/Tabla_query__2[[#This Row],[Número de Horas]]/2</f>
        <v>13.75</v>
      </c>
      <c r="AA230" s="261">
        <v>2</v>
      </c>
      <c r="AB230" s="261">
        <v>550</v>
      </c>
      <c r="AC230" s="261"/>
      <c r="AD230" s="388">
        <f>Tabla_query__2[[#This Row],[Número
Semanas]]*Tabla_query__2[[#This Row],[Número
Personas]]*Tabla_query__2[[#This Row],[Costo
Mano Obra/semana]]</f>
        <v>5500</v>
      </c>
      <c r="AE230" s="261"/>
      <c r="AF230" s="261"/>
      <c r="AG230" s="261"/>
      <c r="AH230" s="669"/>
      <c r="AI230" s="679"/>
      <c r="AJ230" s="663">
        <f>Tabla_query__2[[#This Row],[FinDes]]-Tabla_query__2[[#This Row],[InicioDes]]</f>
        <v>0</v>
      </c>
      <c r="AK230" s="679"/>
      <c r="AL230" s="679"/>
      <c r="AM230" s="663">
        <f t="shared" ref="AM230:AM261" si="13">AL230+ ((AK230*7))</f>
        <v>0</v>
      </c>
      <c r="AN230" s="669"/>
      <c r="AO230" s="669"/>
      <c r="AP230" s="665">
        <f>Tabla_query__2[[#This Row],[InicioDes]]</f>
        <v>0</v>
      </c>
      <c r="AQ230" s="665">
        <f>Tabla_query__2[[#This Row],[FinDes2]]</f>
        <v>0</v>
      </c>
      <c r="AR230" s="462">
        <f>Tabla_query__2[[#This Row],[Número
Semanas]]/4</f>
        <v>1.25</v>
      </c>
      <c r="AS230" s="269">
        <f>Tabla_query__2[[#This Row],[FinDes2]]-Tabla_query__2[[#This Row],[InicioDes2]]</f>
        <v>0</v>
      </c>
      <c r="AT230" s="261"/>
    </row>
    <row r="231" spans="1:49" ht="30.75" customHeight="1">
      <c r="A231" s="318" t="s">
        <v>130</v>
      </c>
      <c r="B231" s="262" t="s">
        <v>457</v>
      </c>
      <c r="C231" s="262"/>
      <c r="D231" s="277" t="s">
        <v>674</v>
      </c>
      <c r="E231" s="262"/>
      <c r="F231" s="259" t="s">
        <v>675</v>
      </c>
      <c r="G231" s="260"/>
      <c r="H231" s="259" t="s">
        <v>204</v>
      </c>
      <c r="I231" s="262" t="s">
        <v>676</v>
      </c>
      <c r="J231" s="262" t="s">
        <v>4</v>
      </c>
      <c r="K231" s="262"/>
      <c r="L231" s="262"/>
      <c r="M231" s="262" t="s">
        <v>206</v>
      </c>
      <c r="N231" s="262" t="s">
        <v>21</v>
      </c>
      <c r="O231" t="s">
        <v>677</v>
      </c>
      <c r="P231" s="262" t="s">
        <v>19</v>
      </c>
      <c r="Q231" s="262" t="s">
        <v>208</v>
      </c>
      <c r="R231" s="262" t="s">
        <v>144</v>
      </c>
      <c r="S231" s="261" t="s">
        <v>145</v>
      </c>
      <c r="T231" s="261" t="s">
        <v>145</v>
      </c>
      <c r="U231" s="261" t="s">
        <v>678</v>
      </c>
      <c r="V231" s="261" t="s">
        <v>146</v>
      </c>
      <c r="W231" s="261"/>
      <c r="X231" s="261">
        <v>10</v>
      </c>
      <c r="Y231" s="261">
        <f>Tabla_query__2[[#This Row],[Número
Semanas]]*5*8</f>
        <v>400</v>
      </c>
      <c r="Z231" s="268">
        <f>Tabla_query__2[[#This Row],[TOTAL]]/Tabla_query__2[[#This Row],[Número de Horas]]/2</f>
        <v>10.5</v>
      </c>
      <c r="AA231" s="261">
        <v>2</v>
      </c>
      <c r="AB231" s="261">
        <v>420</v>
      </c>
      <c r="AC231" s="261"/>
      <c r="AD231" s="268">
        <f>Tabla_query__2[[#This Row],[Número
Semanas]]*Tabla_query__2[[#This Row],[Número
Personas]]*Tabla_query__2[[#This Row],[Costo
Mano Obra/semana]]</f>
        <v>8400</v>
      </c>
      <c r="AE231" s="261"/>
      <c r="AF231" s="261"/>
      <c r="AG231" s="261"/>
      <c r="AH231" s="267">
        <v>45383</v>
      </c>
      <c r="AI231" s="675">
        <v>45458</v>
      </c>
      <c r="AJ231" s="663" t="e">
        <f>#REF!</f>
        <v>#REF!</v>
      </c>
      <c r="AK231" s="662">
        <v>45458</v>
      </c>
      <c r="AL231" s="662">
        <v>45473</v>
      </c>
      <c r="AM231" s="691">
        <f t="shared" si="13"/>
        <v>363679</v>
      </c>
      <c r="AN231" s="267">
        <v>45473</v>
      </c>
      <c r="AO231" s="267">
        <v>45114</v>
      </c>
      <c r="AP231" s="384">
        <f>Tabla_query__2[[#This Row],[InicioDes]]</f>
        <v>45383</v>
      </c>
      <c r="AQ231" s="384">
        <f>Tabla_query__2[[#This Row],[FinDes2]]</f>
        <v>45114</v>
      </c>
      <c r="AR231" s="462">
        <f>Tabla_query__2[[#This Row],[Número
Semanas]]/4</f>
        <v>2.5</v>
      </c>
      <c r="AS231" s="269">
        <f>Tabla_query__2[[#This Row],[FinDes2]]-Tabla_query__2[[#This Row],[InicioDes2]]</f>
        <v>-359</v>
      </c>
      <c r="AT231" s="261"/>
      <c r="AU231" t="s">
        <v>679</v>
      </c>
    </row>
    <row r="232" spans="1:49" ht="26.25" customHeight="1">
      <c r="A232" s="318" t="s">
        <v>130</v>
      </c>
      <c r="B232" s="262" t="s">
        <v>457</v>
      </c>
      <c r="C232" s="262"/>
      <c r="D232" s="277" t="s">
        <v>680</v>
      </c>
      <c r="E232" s="262"/>
      <c r="F232" s="259" t="s">
        <v>681</v>
      </c>
      <c r="G232" s="259"/>
      <c r="H232" s="259" t="s">
        <v>204</v>
      </c>
      <c r="I232" s="262" t="s">
        <v>682</v>
      </c>
      <c r="J232" s="262" t="s">
        <v>4</v>
      </c>
      <c r="K232" s="262"/>
      <c r="L232" s="262"/>
      <c r="M232" s="262" t="s">
        <v>206</v>
      </c>
      <c r="N232" s="262" t="s">
        <v>8</v>
      </c>
      <c r="O232" t="s">
        <v>677</v>
      </c>
      <c r="P232" s="262" t="s">
        <v>7</v>
      </c>
      <c r="Q232" s="262" t="s">
        <v>208</v>
      </c>
      <c r="R232" s="262" t="s">
        <v>144</v>
      </c>
      <c r="S232" s="261"/>
      <c r="T232" s="261" t="s">
        <v>221</v>
      </c>
      <c r="U232" s="261"/>
      <c r="V232" s="261" t="s">
        <v>146</v>
      </c>
      <c r="W232" s="261"/>
      <c r="X232" s="261">
        <v>15</v>
      </c>
      <c r="Y232" s="261">
        <f>Tabla_query__2[[#This Row],[Número
Semanas]]*5*8</f>
        <v>600</v>
      </c>
      <c r="Z232" s="268">
        <f>Tabla_query__2[[#This Row],[TOTAL]]/Tabla_query__2[[#This Row],[Número de Horas]]/2</f>
        <v>7.4083333333333332</v>
      </c>
      <c r="AA232" s="261">
        <v>1</v>
      </c>
      <c r="AB232" s="261">
        <v>550</v>
      </c>
      <c r="AC232" s="261"/>
      <c r="AD232" s="268">
        <f>Tabla_query__2[[#This Row],[Número
Semanas]]*Tabla_query__2[[#This Row],[Número
Personas]]*Tabla_query__2[[#This Row],[Costo
Mano Obra/semana]] + 640</f>
        <v>8890</v>
      </c>
      <c r="AE232" s="261"/>
      <c r="AF232" s="261"/>
      <c r="AG232" s="261"/>
      <c r="AH232" s="267">
        <v>45474</v>
      </c>
      <c r="AI232" s="675">
        <v>45549</v>
      </c>
      <c r="AJ232" s="663" t="e">
        <f>#REF!</f>
        <v>#REF!</v>
      </c>
      <c r="AK232" s="662">
        <v>45549</v>
      </c>
      <c r="AL232" s="662">
        <v>45556</v>
      </c>
      <c r="AM232" s="691">
        <f t="shared" si="13"/>
        <v>364399</v>
      </c>
      <c r="AN232" s="267">
        <v>45556</v>
      </c>
      <c r="AO232" s="267">
        <v>45566</v>
      </c>
      <c r="AP232" s="384">
        <f>Tabla_query__2[[#This Row],[InicioDes]]</f>
        <v>45474</v>
      </c>
      <c r="AQ232" s="384">
        <f>Tabla_query__2[[#This Row],[FinDes2]]</f>
        <v>45566</v>
      </c>
      <c r="AR232" s="462">
        <f>Tabla_query__2[[#This Row],[Número
Semanas]]/4</f>
        <v>3.75</v>
      </c>
      <c r="AS232" s="269">
        <f>Tabla_query__2[[#This Row],[FinDes2]]-Tabla_query__2[[#This Row],[InicioDes2]]</f>
        <v>10</v>
      </c>
      <c r="AT232" s="261"/>
    </row>
    <row r="233" spans="1:49" ht="19.5" customHeight="1">
      <c r="A233" s="318" t="s">
        <v>130</v>
      </c>
      <c r="B233" s="262" t="s">
        <v>218</v>
      </c>
      <c r="C233" s="262"/>
      <c r="D233" s="277" t="s">
        <v>683</v>
      </c>
      <c r="E233" s="262"/>
      <c r="F233" s="259"/>
      <c r="G233" s="259"/>
      <c r="H233" s="259" t="s">
        <v>204</v>
      </c>
      <c r="I233" s="262" t="s">
        <v>445</v>
      </c>
      <c r="J233" s="262" t="s">
        <v>4</v>
      </c>
      <c r="K233" s="262"/>
      <c r="L233" s="262"/>
      <c r="M233" s="262" t="s">
        <v>206</v>
      </c>
      <c r="N233" s="262" t="s">
        <v>16</v>
      </c>
      <c r="O233" t="s">
        <v>684</v>
      </c>
      <c r="P233" s="262" t="s">
        <v>11</v>
      </c>
      <c r="Q233" s="262" t="s">
        <v>208</v>
      </c>
      <c r="R233" s="262" t="s">
        <v>197</v>
      </c>
      <c r="S233" s="261" t="s">
        <v>136</v>
      </c>
      <c r="T233" s="261" t="s">
        <v>152</v>
      </c>
      <c r="U233" s="261"/>
      <c r="V233" s="261" t="s">
        <v>210</v>
      </c>
      <c r="W233" s="261"/>
      <c r="X233" s="261">
        <v>1</v>
      </c>
      <c r="Y233" s="261">
        <f>Tabla_query__2[[#This Row],[Número
Semanas]]*5*8</f>
        <v>40</v>
      </c>
      <c r="Z233" s="268">
        <f>Tabla_query__2[[#This Row],[TOTAL]]/Tabla_query__2[[#This Row],[Número de Horas]]/2</f>
        <v>7.5</v>
      </c>
      <c r="AA233" s="261">
        <v>1</v>
      </c>
      <c r="AB233" s="261">
        <v>400</v>
      </c>
      <c r="AC233" s="261"/>
      <c r="AD233" s="268">
        <f>Tabla_query__2[[#This Row],[Número
Semanas]]*Tabla_query__2[[#This Row],[Número
Personas]]*Tabla_query__2[[#This Row],[Costo
Mano Obra/semana]] + 200</f>
        <v>600</v>
      </c>
      <c r="AE233" s="261"/>
      <c r="AF233" s="261"/>
      <c r="AG233" s="547">
        <v>0</v>
      </c>
      <c r="AH233" s="334">
        <v>45348</v>
      </c>
      <c r="AI233" s="662">
        <v>45359</v>
      </c>
      <c r="AJ233" s="663" t="e">
        <f>#REF!</f>
        <v>#REF!</v>
      </c>
      <c r="AK233" s="662">
        <v>45363</v>
      </c>
      <c r="AL233" s="662">
        <v>45370</v>
      </c>
      <c r="AM233" s="663">
        <f t="shared" si="13"/>
        <v>362911</v>
      </c>
      <c r="AN233" s="334">
        <v>45412</v>
      </c>
      <c r="AO233" s="334"/>
      <c r="AP233" s="418">
        <f>Tabla_query__2[[#This Row],[InicioDes]]</f>
        <v>45348</v>
      </c>
      <c r="AQ233" s="418">
        <f>Tabla_query__2[[#This Row],[FinDes2]]</f>
        <v>0</v>
      </c>
      <c r="AR233" s="267">
        <f>Tabla_query__2[[#This Row],[Número
Semanas]]/4</f>
        <v>0.25</v>
      </c>
      <c r="AS233" s="269">
        <f>Tabla_query__2[[#This Row],[FinDes2]]-Tabla_query__2[[#This Row],[InicioDes2]]</f>
        <v>-45412</v>
      </c>
      <c r="AT233" s="261"/>
    </row>
    <row r="234" spans="1:49" ht="19.5" customHeight="1">
      <c r="A234" s="318" t="s">
        <v>130</v>
      </c>
      <c r="B234" s="262" t="s">
        <v>218</v>
      </c>
      <c r="C234" s="262"/>
      <c r="D234" s="277" t="s">
        <v>685</v>
      </c>
      <c r="E234" s="262"/>
      <c r="F234" s="259" t="s">
        <v>686</v>
      </c>
      <c r="G234" s="259"/>
      <c r="H234" s="259" t="s">
        <v>204</v>
      </c>
      <c r="I234" s="262" t="s">
        <v>445</v>
      </c>
      <c r="J234" s="262" t="s">
        <v>4</v>
      </c>
      <c r="K234" s="262"/>
      <c r="L234" s="262"/>
      <c r="M234" s="262" t="s">
        <v>206</v>
      </c>
      <c r="N234" s="262" t="s">
        <v>16</v>
      </c>
      <c r="O234" s="582" t="s">
        <v>684</v>
      </c>
      <c r="P234" s="262" t="s">
        <v>11</v>
      </c>
      <c r="Q234" s="262" t="s">
        <v>208</v>
      </c>
      <c r="R234" s="262" t="s">
        <v>209</v>
      </c>
      <c r="S234" s="261" t="s">
        <v>136</v>
      </c>
      <c r="T234" s="261" t="s">
        <v>145</v>
      </c>
      <c r="U234" s="261"/>
      <c r="V234" s="261" t="s">
        <v>210</v>
      </c>
      <c r="W234" s="261"/>
      <c r="X234" s="261">
        <v>2</v>
      </c>
      <c r="Y234" s="261">
        <f>Tabla_query__2[[#This Row],[Número
Semanas]]*5*8</f>
        <v>80</v>
      </c>
      <c r="Z234" s="268">
        <f>Tabla_query__2[[#This Row],[TOTAL]]/Tabla_query__2[[#This Row],[Número de Horas]]/2</f>
        <v>14</v>
      </c>
      <c r="AA234" s="261">
        <v>2</v>
      </c>
      <c r="AB234" s="261">
        <v>400</v>
      </c>
      <c r="AC234" s="261"/>
      <c r="AD234" s="268">
        <f>Tabla_query__2[[#This Row],[Número
Semanas]]*Tabla_query__2[[#This Row],[Número
Personas]]*Tabla_query__2[[#This Row],[Costo
Mano Obra/semana]] + 640</f>
        <v>2240</v>
      </c>
      <c r="AE234" s="261"/>
      <c r="AF234" s="261"/>
      <c r="AG234" s="547" t="s">
        <v>211</v>
      </c>
      <c r="AH234" s="673">
        <v>45383</v>
      </c>
      <c r="AI234" s="673"/>
      <c r="AJ234" s="673">
        <v>45391</v>
      </c>
      <c r="AK234" s="673"/>
      <c r="AL234" s="662"/>
      <c r="AM234" s="663">
        <f t="shared" si="13"/>
        <v>0</v>
      </c>
      <c r="AN234" s="662">
        <v>45427</v>
      </c>
      <c r="AO234" s="662">
        <v>45427</v>
      </c>
      <c r="AP234" s="385">
        <f>Tabla_query__2[[#This Row],[InicioDes]]</f>
        <v>45383</v>
      </c>
      <c r="AQ234" s="385">
        <f>Tabla_query__2[[#This Row],[FinDes2]]</f>
        <v>45427</v>
      </c>
      <c r="AR234" s="462">
        <f>Tabla_query__2[[#This Row],[Número
Semanas]]/4</f>
        <v>0.5</v>
      </c>
      <c r="AS234" s="269">
        <f>Tabla_query__2[[#This Row],[FinDes2]]-Tabla_query__2[[#This Row],[InicioDes2]]</f>
        <v>0</v>
      </c>
      <c r="AT234" s="261"/>
    </row>
    <row r="235" spans="1:49" ht="19.5" customHeight="1">
      <c r="A235" s="318" t="s">
        <v>130</v>
      </c>
      <c r="B235" s="262" t="s">
        <v>218</v>
      </c>
      <c r="C235" s="262"/>
      <c r="D235" s="262" t="s">
        <v>687</v>
      </c>
      <c r="E235" s="262" t="s">
        <v>134</v>
      </c>
      <c r="F235" s="264" t="s">
        <v>688</v>
      </c>
      <c r="G235" s="259"/>
      <c r="H235" s="259" t="s">
        <v>204</v>
      </c>
      <c r="I235" s="323" t="s">
        <v>689</v>
      </c>
      <c r="J235" s="262" t="s">
        <v>4</v>
      </c>
      <c r="K235" s="262"/>
      <c r="L235" s="262"/>
      <c r="M235" s="262" t="s">
        <v>206</v>
      </c>
      <c r="N235" s="262" t="s">
        <v>6</v>
      </c>
      <c r="O235" t="s">
        <v>690</v>
      </c>
      <c r="P235" s="262" t="s">
        <v>5</v>
      </c>
      <c r="Q235" s="262" t="s">
        <v>208</v>
      </c>
      <c r="R235" s="262" t="s">
        <v>144</v>
      </c>
      <c r="S235" s="261" t="s">
        <v>152</v>
      </c>
      <c r="T235" s="261" t="s">
        <v>145</v>
      </c>
      <c r="U235" s="261" t="s">
        <v>691</v>
      </c>
      <c r="V235" s="261" t="s">
        <v>136</v>
      </c>
      <c r="X235" s="261">
        <v>3</v>
      </c>
      <c r="Y235" s="261">
        <f>Tabla_query__2[[#This Row],[Número
Semanas]]*5*8</f>
        <v>120</v>
      </c>
      <c r="Z235" s="268">
        <f>Tabla_query__2[[#This Row],[TOTAL]]/Tabla_query__2[[#This Row],[Número de Horas]]/2</f>
        <v>13.75</v>
      </c>
      <c r="AA235" s="261">
        <v>2</v>
      </c>
      <c r="AB235" s="261">
        <v>550</v>
      </c>
      <c r="AC235" s="261"/>
      <c r="AD235" s="388">
        <f>Tabla_query__2[[#This Row],[Número
Semanas]]*Tabla_query__2[[#This Row],[Número
Personas]]*Tabla_query__2[[#This Row],[Costo
Mano Obra/semana]]</f>
        <v>3300</v>
      </c>
      <c r="AE235" s="261"/>
      <c r="AF235" s="261"/>
      <c r="AG235" s="547" t="s">
        <v>154</v>
      </c>
      <c r="AH235" s="662">
        <v>45439</v>
      </c>
      <c r="AI235" s="662"/>
      <c r="AJ235" s="663" t="e">
        <f>#REF!</f>
        <v>#REF!</v>
      </c>
      <c r="AK235" s="662"/>
      <c r="AL235" s="662"/>
      <c r="AM235" s="663">
        <f t="shared" si="13"/>
        <v>0</v>
      </c>
      <c r="AN235" s="662">
        <v>45468</v>
      </c>
      <c r="AO235" s="662">
        <v>45468</v>
      </c>
      <c r="AP235" s="385">
        <f>Tabla_query__2[[#This Row],[InicioDes]]</f>
        <v>45439</v>
      </c>
      <c r="AQ235" s="385">
        <f>Tabla_query__2[[#This Row],[FinDes2]]</f>
        <v>45468</v>
      </c>
      <c r="AR235" s="462">
        <f>Tabla_query__2[[#This Row],[Número
Semanas]]/4</f>
        <v>0.75</v>
      </c>
      <c r="AS235" s="269">
        <f>Tabla_query__2[[#This Row],[FinDes2]]-Tabla_query__2[[#This Row],[InicioDes2]]</f>
        <v>0</v>
      </c>
      <c r="AT235" s="261"/>
    </row>
    <row r="236" spans="1:49" ht="23.25">
      <c r="A236" s="318" t="s">
        <v>130</v>
      </c>
      <c r="B236" s="262" t="s">
        <v>134</v>
      </c>
      <c r="C236" s="262"/>
      <c r="D236" s="262" t="s">
        <v>692</v>
      </c>
      <c r="E236" s="262" t="s">
        <v>203</v>
      </c>
      <c r="F236" s="259" t="s">
        <v>693</v>
      </c>
      <c r="G236" s="259"/>
      <c r="H236" s="259" t="s">
        <v>204</v>
      </c>
      <c r="I236" s="262" t="s">
        <v>694</v>
      </c>
      <c r="J236" s="262" t="s">
        <v>4</v>
      </c>
      <c r="K236" s="262"/>
      <c r="L236" s="262"/>
      <c r="M236" s="262" t="s">
        <v>206</v>
      </c>
      <c r="N236" s="262" t="s">
        <v>6</v>
      </c>
      <c r="O236" t="s">
        <v>690</v>
      </c>
      <c r="P236" s="262" t="s">
        <v>5</v>
      </c>
      <c r="Q236" s="262" t="s">
        <v>208</v>
      </c>
      <c r="R236" s="262" t="s">
        <v>144</v>
      </c>
      <c r="S236" s="547">
        <v>2</v>
      </c>
      <c r="T236" s="261" t="str">
        <f>IF(MONTH(AH236)&lt;4, "Q1",IF(AND(MONTH(AH236)&gt;3,MONTH(AH236)&lt;=6),"Q2",IF(AND(MONTH(AH236)&gt;6,MONTH(AH236)&lt;=9),"Q3","Q4")))</f>
        <v>Q2</v>
      </c>
      <c r="U236" s="261" t="s">
        <v>695</v>
      </c>
      <c r="V236" s="261" t="s">
        <v>210</v>
      </c>
      <c r="W236" s="261">
        <v>1</v>
      </c>
      <c r="X236" s="261">
        <v>3</v>
      </c>
      <c r="Y236" s="261">
        <f>Tabla_query__2[[#This Row],[Número
Semanas]]*5*8</f>
        <v>120</v>
      </c>
      <c r="Z236" s="268">
        <f>Tabla_query__2[[#This Row],[TOTAL]]/Tabla_query__2[[#This Row],[Número de Horas]]/2</f>
        <v>9.2916666666666661</v>
      </c>
      <c r="AA236" s="261">
        <v>1</v>
      </c>
      <c r="AB236" s="261">
        <v>550</v>
      </c>
      <c r="AC236" s="261"/>
      <c r="AD236" s="388">
        <f>Tabla_query__2[[#This Row],[Número
Semanas]]*Tabla_query__2[[#This Row],[Número
Personas]]*Tabla_query__2[[#This Row],[Costo
Mano Obra/semana]]+580</f>
        <v>2230</v>
      </c>
      <c r="AE236" s="261"/>
      <c r="AF236" s="261"/>
      <c r="AG236" s="547" t="s">
        <v>191</v>
      </c>
      <c r="AH236" s="663">
        <v>45411</v>
      </c>
      <c r="AI236" s="663">
        <v>45433</v>
      </c>
      <c r="AJ236" s="663">
        <f>Tabla_query__2[[#This Row],[FinDes]]-Tabla_query__2[[#This Row],[InicioDes]]</f>
        <v>22</v>
      </c>
      <c r="AK236" s="663">
        <v>45434</v>
      </c>
      <c r="AL236" s="663">
        <v>45448</v>
      </c>
      <c r="AM236" s="663">
        <f t="shared" si="13"/>
        <v>363486</v>
      </c>
      <c r="AN236" s="663">
        <v>45449</v>
      </c>
      <c r="AO236" s="663">
        <v>45463</v>
      </c>
      <c r="AP236" s="385">
        <f>Tabla_query__2[[#This Row],[InicioDes]]</f>
        <v>45411</v>
      </c>
      <c r="AQ236" s="385">
        <f>Tabla_query__2[[#This Row],[FinDes2]]</f>
        <v>45463</v>
      </c>
      <c r="AR236" s="462">
        <f>Tabla_query__2[[#This Row],[Número
Semanas]]/4</f>
        <v>0.75</v>
      </c>
      <c r="AS236" s="269">
        <f>Tabla_query__2[[#This Row],[FinDes2]]-Tabla_query__2[[#This Row],[InicioDes2]]</f>
        <v>14</v>
      </c>
      <c r="AT236" s="261"/>
    </row>
    <row r="237" spans="1:49" ht="42" customHeight="1">
      <c r="A237" s="318" t="s">
        <v>251</v>
      </c>
      <c r="B237" s="262" t="s">
        <v>218</v>
      </c>
      <c r="C237" s="262"/>
      <c r="D237" s="262" t="s">
        <v>696</v>
      </c>
      <c r="E237" s="262" t="s">
        <v>678</v>
      </c>
      <c r="F237" s="259" t="s">
        <v>581</v>
      </c>
      <c r="G237" s="259"/>
      <c r="H237" s="259" t="s">
        <v>204</v>
      </c>
      <c r="I237" s="262" t="s">
        <v>456</v>
      </c>
      <c r="J237" s="262" t="s">
        <v>4</v>
      </c>
      <c r="K237" s="262"/>
      <c r="L237" s="262"/>
      <c r="M237" s="262" t="s">
        <v>206</v>
      </c>
      <c r="N237" s="262" t="s">
        <v>6</v>
      </c>
      <c r="O237" t="s">
        <v>690</v>
      </c>
      <c r="P237" s="262" t="s">
        <v>5</v>
      </c>
      <c r="Q237" s="262" t="s">
        <v>143</v>
      </c>
      <c r="R237" s="262" t="s">
        <v>144</v>
      </c>
      <c r="S237" s="261"/>
      <c r="T237" s="261" t="s">
        <v>145</v>
      </c>
      <c r="U237" s="261"/>
      <c r="V237" s="261" t="s">
        <v>210</v>
      </c>
      <c r="W237" s="261"/>
      <c r="X237" s="261">
        <v>2</v>
      </c>
      <c r="Y237" s="261">
        <f>Tabla_query__2[[#This Row],[Número
Semanas]]*5*8</f>
        <v>80</v>
      </c>
      <c r="Z237" s="268">
        <f>Tabla_query__2[[#This Row],[TOTAL]]/Tabla_query__2[[#This Row],[Número de Horas]]/2</f>
        <v>0</v>
      </c>
      <c r="AA237" s="261">
        <v>2</v>
      </c>
      <c r="AB237" s="261">
        <v>400</v>
      </c>
      <c r="AC237" s="261"/>
      <c r="AD237" s="268"/>
      <c r="AE237" s="261"/>
      <c r="AF237" s="261"/>
      <c r="AG237" s="547" t="s">
        <v>191</v>
      </c>
      <c r="AH237" s="662">
        <v>45411</v>
      </c>
      <c r="AI237" s="662">
        <v>45429</v>
      </c>
      <c r="AJ237" s="663" t="e">
        <f>#REF!</f>
        <v>#REF!</v>
      </c>
      <c r="AK237" s="662">
        <v>45433</v>
      </c>
      <c r="AL237" s="662">
        <v>45439</v>
      </c>
      <c r="AM237" s="663">
        <f t="shared" si="13"/>
        <v>363470</v>
      </c>
      <c r="AN237" s="662">
        <v>45440</v>
      </c>
      <c r="AO237" s="679"/>
      <c r="AP237" s="385">
        <f>Tabla_query__2[[#This Row],[InicioDes]]</f>
        <v>45411</v>
      </c>
      <c r="AQ237" s="385">
        <f>Tabla_query__2[[#This Row],[FinDes2]]</f>
        <v>0</v>
      </c>
      <c r="AR237" s="462">
        <f>Tabla_query__2[[#This Row],[Número
Semanas]]/4</f>
        <v>0.5</v>
      </c>
      <c r="AS237" s="269">
        <f>Tabla_query__2[[#This Row],[FinDes2]]-Tabla_query__2[[#This Row],[InicioDes2]]</f>
        <v>-45440</v>
      </c>
      <c r="AT237" s="261" t="s">
        <v>583</v>
      </c>
      <c r="AU237" s="293"/>
    </row>
    <row r="238" spans="1:49" ht="23.25">
      <c r="A238" s="318" t="s">
        <v>130</v>
      </c>
      <c r="B238" s="262" t="s">
        <v>134</v>
      </c>
      <c r="C238" s="262"/>
      <c r="D238" s="262" t="s">
        <v>697</v>
      </c>
      <c r="E238" s="262" t="s">
        <v>203</v>
      </c>
      <c r="F238" s="259" t="s">
        <v>698</v>
      </c>
      <c r="G238" s="259"/>
      <c r="H238" s="259" t="s">
        <v>204</v>
      </c>
      <c r="I238" s="262" t="s">
        <v>694</v>
      </c>
      <c r="J238" s="262" t="s">
        <v>4</v>
      </c>
      <c r="K238" s="262"/>
      <c r="L238" s="262"/>
      <c r="M238" s="262" t="s">
        <v>206</v>
      </c>
      <c r="N238" s="262" t="s">
        <v>6</v>
      </c>
      <c r="O238" t="s">
        <v>690</v>
      </c>
      <c r="P238" s="262" t="s">
        <v>5</v>
      </c>
      <c r="Q238" s="262" t="s">
        <v>208</v>
      </c>
      <c r="R238" s="262" t="s">
        <v>144</v>
      </c>
      <c r="S238" s="547">
        <v>3</v>
      </c>
      <c r="T238" s="261" t="s">
        <v>221</v>
      </c>
      <c r="U238" s="261"/>
      <c r="V238" s="261" t="s">
        <v>210</v>
      </c>
      <c r="W238" s="261">
        <v>1</v>
      </c>
      <c r="X238" s="261">
        <v>1</v>
      </c>
      <c r="Y238" s="261">
        <f>Tabla_query__2[[#This Row],[Número
Semanas]]*5*8</f>
        <v>40</v>
      </c>
      <c r="Z238" s="268">
        <f>Tabla_query__2[[#This Row],[TOTAL]]/Tabla_query__2[[#This Row],[Número de Horas]]/2</f>
        <v>34.75</v>
      </c>
      <c r="AA238" s="261">
        <v>4</v>
      </c>
      <c r="AB238" s="261">
        <v>550</v>
      </c>
      <c r="AC238" s="261"/>
      <c r="AD238" s="388">
        <f>Tabla_query__2[[#This Row],[Número
Semanas]]*Tabla_query__2[[#This Row],[Número
Personas]]*Tabla_query__2[[#This Row],[Costo
Mano Obra/semana]]+580</f>
        <v>2780</v>
      </c>
      <c r="AE238" s="261"/>
      <c r="AF238" s="261"/>
      <c r="AG238" s="547">
        <v>4</v>
      </c>
      <c r="AH238" s="663">
        <v>45446</v>
      </c>
      <c r="AI238" s="663">
        <v>45467</v>
      </c>
      <c r="AJ238" s="663">
        <f>Tabla_query__2[[#This Row],[FinDes]]-Tabla_query__2[[#This Row],[InicioDes]]</f>
        <v>21</v>
      </c>
      <c r="AK238" s="663">
        <v>45468</v>
      </c>
      <c r="AL238" s="663">
        <v>45482</v>
      </c>
      <c r="AM238" s="663">
        <f t="shared" si="13"/>
        <v>363758</v>
      </c>
      <c r="AN238" s="663">
        <v>45483</v>
      </c>
      <c r="AO238" s="663">
        <v>45497</v>
      </c>
      <c r="AP238" s="385">
        <f>Tabla_query__2[[#This Row],[InicioDes]]</f>
        <v>45446</v>
      </c>
      <c r="AQ238" s="385">
        <f>Tabla_query__2[[#This Row],[FinDes2]]</f>
        <v>45497</v>
      </c>
      <c r="AR238" s="462">
        <f>Tabla_query__2[[#This Row],[Número
Semanas]]/4</f>
        <v>0.25</v>
      </c>
      <c r="AS238" s="269">
        <f>Tabla_query__2[[#This Row],[FinDes2]]-Tabla_query__2[[#This Row],[InicioDes2]]</f>
        <v>14</v>
      </c>
      <c r="AT238" s="261"/>
      <c r="AW238" t="s">
        <v>699</v>
      </c>
    </row>
    <row r="239" spans="1:49" ht="19.5" customHeight="1">
      <c r="A239" s="318" t="s">
        <v>130</v>
      </c>
      <c r="B239" s="262" t="s">
        <v>218</v>
      </c>
      <c r="C239" s="262"/>
      <c r="D239" s="262" t="s">
        <v>700</v>
      </c>
      <c r="E239" s="262"/>
      <c r="F239" s="259" t="s">
        <v>701</v>
      </c>
      <c r="G239" s="259"/>
      <c r="H239" s="259" t="s">
        <v>204</v>
      </c>
      <c r="I239" s="262" t="s">
        <v>689</v>
      </c>
      <c r="J239" s="262" t="s">
        <v>4</v>
      </c>
      <c r="K239" s="262"/>
      <c r="L239" s="262"/>
      <c r="M239" s="262" t="s">
        <v>206</v>
      </c>
      <c r="N239" s="262" t="s">
        <v>6</v>
      </c>
      <c r="O239" t="s">
        <v>690</v>
      </c>
      <c r="P239" s="262" t="s">
        <v>5</v>
      </c>
      <c r="Q239" s="262" t="s">
        <v>143</v>
      </c>
      <c r="R239" s="262" t="s">
        <v>209</v>
      </c>
      <c r="S239" s="261">
        <v>1</v>
      </c>
      <c r="T239" s="261" t="s">
        <v>145</v>
      </c>
      <c r="U239" s="261"/>
      <c r="V239" s="261" t="s">
        <v>136</v>
      </c>
      <c r="W239" s="261"/>
      <c r="X239" s="261">
        <v>4</v>
      </c>
      <c r="Y239" s="261">
        <f>Tabla_query__2[[#This Row],[Número
Semanas]]*5*8</f>
        <v>160</v>
      </c>
      <c r="Z239" s="268">
        <f>Tabla_query__2[[#This Row],[TOTAL]]/Tabla_query__2[[#This Row],[Número de Horas]]/2</f>
        <v>12</v>
      </c>
      <c r="AA239" s="261">
        <v>2</v>
      </c>
      <c r="AB239" s="261">
        <v>400</v>
      </c>
      <c r="AC239" s="261"/>
      <c r="AD239" s="268">
        <f>Tabla_query__2[[#This Row],[Número
Semanas]]*Tabla_query__2[[#This Row],[Número
Personas]]*Tabla_query__2[[#This Row],[Costo
Mano Obra/semana]] + 640</f>
        <v>3840</v>
      </c>
      <c r="AE239" s="261"/>
      <c r="AF239" s="261"/>
      <c r="AG239" s="547" t="s">
        <v>211</v>
      </c>
      <c r="AH239" s="662">
        <v>45383</v>
      </c>
      <c r="AI239" s="662"/>
      <c r="AJ239" s="663" t="e">
        <f>#REF!</f>
        <v>#REF!</v>
      </c>
      <c r="AK239" s="662"/>
      <c r="AL239" s="662"/>
      <c r="AM239" s="663">
        <f t="shared" si="13"/>
        <v>0</v>
      </c>
      <c r="AN239" s="662">
        <v>45468</v>
      </c>
      <c r="AO239" s="662">
        <v>45468</v>
      </c>
      <c r="AP239" s="385">
        <f>Tabla_query__2[[#This Row],[InicioDes]]</f>
        <v>45383</v>
      </c>
      <c r="AQ239" s="385">
        <f>Tabla_query__2[[#This Row],[FinDes2]]</f>
        <v>45468</v>
      </c>
      <c r="AR239" s="462">
        <f>Tabla_query__2[[#This Row],[Número
Semanas]]/4</f>
        <v>1</v>
      </c>
      <c r="AS239" s="269">
        <f>Tabla_query__2[[#This Row],[FinDes2]]-Tabla_query__2[[#This Row],[InicioDes2]]</f>
        <v>0</v>
      </c>
      <c r="AT239" s="261"/>
    </row>
    <row r="240" spans="1:49" ht="19.5" customHeight="1">
      <c r="A240" s="318" t="s">
        <v>130</v>
      </c>
      <c r="B240" s="262" t="s">
        <v>218</v>
      </c>
      <c r="C240" s="262"/>
      <c r="D240" s="262" t="s">
        <v>702</v>
      </c>
      <c r="E240" s="262"/>
      <c r="F240" s="259" t="s">
        <v>703</v>
      </c>
      <c r="G240" s="259"/>
      <c r="H240" s="259" t="s">
        <v>204</v>
      </c>
      <c r="I240" s="262" t="s">
        <v>689</v>
      </c>
      <c r="J240" s="262" t="s">
        <v>4</v>
      </c>
      <c r="K240" s="262"/>
      <c r="L240" s="262"/>
      <c r="M240" s="262" t="s">
        <v>206</v>
      </c>
      <c r="N240" s="262" t="s">
        <v>6</v>
      </c>
      <c r="O240" t="s">
        <v>690</v>
      </c>
      <c r="P240" s="262" t="s">
        <v>5</v>
      </c>
      <c r="Q240" s="262" t="s">
        <v>208</v>
      </c>
      <c r="R240" s="262" t="s">
        <v>144</v>
      </c>
      <c r="S240" s="261">
        <v>5</v>
      </c>
      <c r="T240" s="261" t="s">
        <v>320</v>
      </c>
      <c r="U240" s="261"/>
      <c r="V240" s="261" t="s">
        <v>146</v>
      </c>
      <c r="W240" s="261"/>
      <c r="X240" s="261">
        <v>4</v>
      </c>
      <c r="Y240" s="261">
        <f>Tabla_query__2[[#This Row],[Número
Semanas]]*5*8</f>
        <v>160</v>
      </c>
      <c r="Z240" s="268">
        <f>Tabla_query__2[[#This Row],[TOTAL]]/Tabla_query__2[[#This Row],[Número de Horas]]/2</f>
        <v>13.25</v>
      </c>
      <c r="AA240" s="261">
        <v>2</v>
      </c>
      <c r="AB240" s="261">
        <v>450</v>
      </c>
      <c r="AC240" s="261"/>
      <c r="AD240" s="268">
        <f>Tabla_query__2[[#This Row],[Número
Semanas]]*Tabla_query__2[[#This Row],[Número
Personas]]*Tabla_query__2[[#This Row],[Costo
Mano Obra/semana]] + 640</f>
        <v>4240</v>
      </c>
      <c r="AE240" s="261"/>
      <c r="AF240" s="261"/>
      <c r="AG240" s="261"/>
      <c r="AH240" s="667">
        <v>45537</v>
      </c>
      <c r="AI240" s="662">
        <v>45562</v>
      </c>
      <c r="AJ240" s="663" t="e">
        <f>#REF!</f>
        <v>#REF!</v>
      </c>
      <c r="AK240" s="662">
        <v>45566</v>
      </c>
      <c r="AL240" s="662">
        <v>45566</v>
      </c>
      <c r="AM240" s="663">
        <f t="shared" si="13"/>
        <v>364528</v>
      </c>
      <c r="AN240" s="669"/>
      <c r="AO240" s="669"/>
      <c r="AP240" s="665">
        <f>Tabla_query__2[[#This Row],[InicioDes]]</f>
        <v>45537</v>
      </c>
      <c r="AQ240" s="665">
        <f>Tabla_query__2[[#This Row],[FinDes2]]</f>
        <v>0</v>
      </c>
      <c r="AR240" s="462">
        <f>Tabla_query__2[[#This Row],[Número
Semanas]]/4</f>
        <v>1</v>
      </c>
      <c r="AS240" s="269">
        <f>Tabla_query__2[[#This Row],[FinDes2]]-Tabla_query__2[[#This Row],[InicioDes2]]</f>
        <v>0</v>
      </c>
      <c r="AT240" s="261" t="s">
        <v>704</v>
      </c>
    </row>
    <row r="241" spans="1:52" ht="58.15">
      <c r="A241" s="318" t="s">
        <v>130</v>
      </c>
      <c r="B241" s="262" t="s">
        <v>134</v>
      </c>
      <c r="C241" s="262"/>
      <c r="D241" s="262" t="s">
        <v>705</v>
      </c>
      <c r="E241" s="262" t="s">
        <v>203</v>
      </c>
      <c r="F241" s="259" t="s">
        <v>706</v>
      </c>
      <c r="G241" s="259"/>
      <c r="H241" s="259" t="s">
        <v>204</v>
      </c>
      <c r="I241" s="262" t="s">
        <v>694</v>
      </c>
      <c r="J241" s="262" t="s">
        <v>4</v>
      </c>
      <c r="K241" s="262"/>
      <c r="L241" s="262"/>
      <c r="M241" s="262" t="s">
        <v>206</v>
      </c>
      <c r="N241" s="262" t="s">
        <v>6</v>
      </c>
      <c r="O241" t="s">
        <v>690</v>
      </c>
      <c r="P241" s="262" t="s">
        <v>5</v>
      </c>
      <c r="Q241" s="262" t="s">
        <v>208</v>
      </c>
      <c r="R241" s="262" t="s">
        <v>144</v>
      </c>
      <c r="S241" s="547">
        <v>2</v>
      </c>
      <c r="T241" s="261" t="str">
        <f>IF(MONTH(AH241)&lt;4, "Q1",IF(AND(MONTH(AH241)&gt;3,MONTH(AH241)&lt;=6),"Q2",IF(AND(MONTH(AH241)&gt;6,MONTH(AH241)&lt;=9),"Q3","Q4")))</f>
        <v>Q2</v>
      </c>
      <c r="U241" s="261" t="s">
        <v>707</v>
      </c>
      <c r="V241" s="261" t="s">
        <v>210</v>
      </c>
      <c r="W241" s="261">
        <v>1</v>
      </c>
      <c r="X241" s="261">
        <v>2</v>
      </c>
      <c r="Y241" s="261">
        <f>Tabla_query__2[[#This Row],[Número
Semanas]]*5*8</f>
        <v>80</v>
      </c>
      <c r="Z241" s="268">
        <f>Tabla_query__2[[#This Row],[TOTAL]]/Tabla_query__2[[#This Row],[Número de Horas]]/2</f>
        <v>10.5</v>
      </c>
      <c r="AA241" s="261">
        <v>1</v>
      </c>
      <c r="AB241" s="261">
        <v>550</v>
      </c>
      <c r="AC241" s="261"/>
      <c r="AD241" s="388">
        <f>Tabla_query__2[[#This Row],[Número
Semanas]]*Tabla_query__2[[#This Row],[Número
Personas]]*Tabla_query__2[[#This Row],[Costo
Mano Obra/semana]]+580</f>
        <v>1680</v>
      </c>
      <c r="AE241" s="261"/>
      <c r="AF241" s="261"/>
      <c r="AG241" s="547" t="s">
        <v>191</v>
      </c>
      <c r="AH241" s="282">
        <v>45411</v>
      </c>
      <c r="AI241" s="684">
        <v>45427</v>
      </c>
      <c r="AJ241" s="663">
        <f>Tabla_query__2[[#This Row],[FinDes]]-Tabla_query__2[[#This Row],[InicioDes]]</f>
        <v>16</v>
      </c>
      <c r="AK241" s="663">
        <v>45428</v>
      </c>
      <c r="AL241" s="663">
        <v>45431</v>
      </c>
      <c r="AM241" s="691">
        <f t="shared" si="13"/>
        <v>363427</v>
      </c>
      <c r="AN241" s="282">
        <v>45432</v>
      </c>
      <c r="AO241" s="282">
        <v>45440</v>
      </c>
      <c r="AP241" s="384">
        <f>Tabla_query__2[[#This Row],[InicioDes]]</f>
        <v>45411</v>
      </c>
      <c r="AQ241" s="384">
        <f>Tabla_query__2[[#This Row],[FinDes2]]</f>
        <v>45440</v>
      </c>
      <c r="AR241" s="462">
        <f>Tabla_query__2[[#This Row],[Número
Semanas]]/4</f>
        <v>0.5</v>
      </c>
      <c r="AS241" s="269">
        <f>Tabla_query__2[[#This Row],[FinDes2]]-Tabla_query__2[[#This Row],[InicioDes2]]</f>
        <v>8</v>
      </c>
      <c r="AT241" s="261"/>
    </row>
    <row r="242" spans="1:52" s="325" customFormat="1" ht="23.25">
      <c r="A242" s="318" t="s">
        <v>130</v>
      </c>
      <c r="B242" s="262" t="s">
        <v>134</v>
      </c>
      <c r="C242" s="262"/>
      <c r="D242" s="262" t="s">
        <v>708</v>
      </c>
      <c r="E242" s="262"/>
      <c r="F242" s="259" t="s">
        <v>709</v>
      </c>
      <c r="G242" s="259"/>
      <c r="H242" s="259" t="s">
        <v>204</v>
      </c>
      <c r="I242" s="262" t="s">
        <v>694</v>
      </c>
      <c r="J242" s="262" t="s">
        <v>4</v>
      </c>
      <c r="K242" s="262"/>
      <c r="L242" s="262"/>
      <c r="M242" s="262" t="s">
        <v>206</v>
      </c>
      <c r="N242" s="262" t="s">
        <v>6</v>
      </c>
      <c r="O242" t="s">
        <v>690</v>
      </c>
      <c r="P242" s="262" t="s">
        <v>5</v>
      </c>
      <c r="Q242" s="262" t="s">
        <v>208</v>
      </c>
      <c r="R242" s="262" t="s">
        <v>144</v>
      </c>
      <c r="S242" s="547">
        <v>4</v>
      </c>
      <c r="T242" s="261" t="s">
        <v>221</v>
      </c>
      <c r="U242" s="261"/>
      <c r="V242" s="261" t="s">
        <v>210</v>
      </c>
      <c r="W242" s="261">
        <v>1</v>
      </c>
      <c r="X242" s="261">
        <v>2</v>
      </c>
      <c r="Y242" s="261">
        <f>Tabla_query__2[[#This Row],[Número
Semanas]]*5*8</f>
        <v>80</v>
      </c>
      <c r="Z242" s="268">
        <f>Tabla_query__2[[#This Row],[TOTAL]]/Tabla_query__2[[#This Row],[Número de Horas]]/2</f>
        <v>10.5</v>
      </c>
      <c r="AA242" s="261">
        <v>1</v>
      </c>
      <c r="AB242" s="261">
        <v>550</v>
      </c>
      <c r="AC242" s="261"/>
      <c r="AD242" s="388">
        <f>Tabla_query__2[[#This Row],[Número
Semanas]]*Tabla_query__2[[#This Row],[Número
Personas]]*Tabla_query__2[[#This Row],[Costo
Mano Obra/semana]]+580</f>
        <v>1680</v>
      </c>
      <c r="AE242" s="261"/>
      <c r="AF242" s="261"/>
      <c r="AG242" s="547">
        <v>4</v>
      </c>
      <c r="AH242" s="282">
        <v>45446</v>
      </c>
      <c r="AI242" s="282">
        <v>45468</v>
      </c>
      <c r="AJ242" s="282">
        <f>Tabla_query__2[[#This Row],[FinDes]]-Tabla_query__2[[#This Row],[InicioDes]]</f>
        <v>22</v>
      </c>
      <c r="AK242" s="282">
        <v>45469</v>
      </c>
      <c r="AL242" s="282">
        <v>45483</v>
      </c>
      <c r="AM242" s="282">
        <f t="shared" si="13"/>
        <v>363766</v>
      </c>
      <c r="AN242" s="282">
        <v>45484</v>
      </c>
      <c r="AO242" s="282">
        <v>45498</v>
      </c>
      <c r="AP242" s="384">
        <f>Tabla_query__2[[#This Row],[InicioDes]]</f>
        <v>45446</v>
      </c>
      <c r="AQ242" s="384">
        <f>Tabla_query__2[[#This Row],[FinDes2]]</f>
        <v>45498</v>
      </c>
      <c r="AR242" s="462">
        <f>Tabla_query__2[[#This Row],[Número
Semanas]]/4</f>
        <v>0.5</v>
      </c>
      <c r="AS242" s="269">
        <f>Tabla_query__2[[#This Row],[FinDes2]]-Tabla_query__2[[#This Row],[InicioDes2]]</f>
        <v>14</v>
      </c>
      <c r="AT242" s="261"/>
      <c r="AU242" s="293"/>
      <c r="AV242"/>
    </row>
    <row r="243" spans="1:52" ht="23.25">
      <c r="A243" s="318" t="s">
        <v>130</v>
      </c>
      <c r="B243" s="262" t="s">
        <v>134</v>
      </c>
      <c r="C243" s="262"/>
      <c r="D243" s="277" t="s">
        <v>710</v>
      </c>
      <c r="E243" s="262" t="s">
        <v>203</v>
      </c>
      <c r="F243" s="259" t="s">
        <v>711</v>
      </c>
      <c r="G243" s="259"/>
      <c r="H243" s="259" t="s">
        <v>204</v>
      </c>
      <c r="I243" s="262" t="s">
        <v>694</v>
      </c>
      <c r="J243" s="262" t="s">
        <v>4</v>
      </c>
      <c r="K243" s="262"/>
      <c r="L243" s="262"/>
      <c r="M243" s="262" t="s">
        <v>206</v>
      </c>
      <c r="N243" s="262" t="s">
        <v>6</v>
      </c>
      <c r="O243" t="s">
        <v>690</v>
      </c>
      <c r="P243" s="262" t="s">
        <v>5</v>
      </c>
      <c r="Q243" s="262" t="s">
        <v>208</v>
      </c>
      <c r="R243" s="262" t="s">
        <v>144</v>
      </c>
      <c r="S243" s="547">
        <v>1</v>
      </c>
      <c r="T243" s="261" t="s">
        <v>145</v>
      </c>
      <c r="U243" s="261"/>
      <c r="V243" s="261" t="s">
        <v>210</v>
      </c>
      <c r="W243" s="261">
        <v>1</v>
      </c>
      <c r="X243" s="261">
        <v>1</v>
      </c>
      <c r="Y243" s="261">
        <f>Tabla_query__2[[#This Row],[Número
Semanas]]*5*8</f>
        <v>40</v>
      </c>
      <c r="Z243" s="268">
        <f>Tabla_query__2[[#This Row],[TOTAL]]/Tabla_query__2[[#This Row],[Número de Horas]]/2</f>
        <v>21</v>
      </c>
      <c r="AA243" s="261">
        <v>2</v>
      </c>
      <c r="AB243" s="261">
        <v>550</v>
      </c>
      <c r="AC243" s="261"/>
      <c r="AD243" s="388">
        <f>Tabla_query__2[[#This Row],[Número
Semanas]]*Tabla_query__2[[#This Row],[Número
Personas]]*Tabla_query__2[[#This Row],[Costo
Mano Obra/semana]]+580</f>
        <v>1680</v>
      </c>
      <c r="AE243" s="261"/>
      <c r="AF243" s="261"/>
      <c r="AG243" s="547" t="s">
        <v>191</v>
      </c>
      <c r="AH243" s="282">
        <v>45411</v>
      </c>
      <c r="AI243" s="282">
        <v>45427</v>
      </c>
      <c r="AJ243" s="282">
        <f>Tabla_query__2[[#This Row],[FinDes]]-Tabla_query__2[[#This Row],[InicioDes]]</f>
        <v>16</v>
      </c>
      <c r="AK243" s="282">
        <v>45428</v>
      </c>
      <c r="AL243" s="282">
        <v>45432</v>
      </c>
      <c r="AM243" s="282">
        <f t="shared" si="13"/>
        <v>363428</v>
      </c>
      <c r="AN243" s="282">
        <v>45433</v>
      </c>
      <c r="AO243" s="282">
        <v>45440</v>
      </c>
      <c r="AP243" s="384">
        <f>Tabla_query__2[[#This Row],[InicioDes]]</f>
        <v>45411</v>
      </c>
      <c r="AQ243" s="384">
        <f>Tabla_query__2[[#This Row],[FinDes2]]</f>
        <v>45440</v>
      </c>
      <c r="AR243" s="462">
        <f>Tabla_query__2[[#This Row],[Número
Semanas]]/4</f>
        <v>0.25</v>
      </c>
      <c r="AS243" s="269">
        <f>Tabla_query__2[[#This Row],[FinDes2]]-Tabla_query__2[[#This Row],[InicioDes2]]</f>
        <v>7</v>
      </c>
      <c r="AT243" s="261"/>
    </row>
    <row r="244" spans="1:52" ht="23.25">
      <c r="A244" s="318" t="s">
        <v>130</v>
      </c>
      <c r="B244" s="262" t="s">
        <v>218</v>
      </c>
      <c r="C244" s="262"/>
      <c r="D244" s="262" t="s">
        <v>712</v>
      </c>
      <c r="E244" s="262"/>
      <c r="F244" s="259" t="s">
        <v>713</v>
      </c>
      <c r="G244" s="259"/>
      <c r="H244" s="259" t="s">
        <v>204</v>
      </c>
      <c r="I244" s="262" t="s">
        <v>689</v>
      </c>
      <c r="J244" s="262" t="s">
        <v>4</v>
      </c>
      <c r="K244" s="262"/>
      <c r="L244" s="262"/>
      <c r="M244" s="262" t="s">
        <v>206</v>
      </c>
      <c r="N244" s="262" t="s">
        <v>6</v>
      </c>
      <c r="O244" t="s">
        <v>690</v>
      </c>
      <c r="P244" s="262" t="s">
        <v>5</v>
      </c>
      <c r="Q244" s="262" t="s">
        <v>143</v>
      </c>
      <c r="R244" s="262" t="s">
        <v>209</v>
      </c>
      <c r="S244" s="261">
        <v>2</v>
      </c>
      <c r="T244" s="261" t="s">
        <v>145</v>
      </c>
      <c r="U244" s="261"/>
      <c r="V244" s="261" t="s">
        <v>146</v>
      </c>
      <c r="W244" s="261"/>
      <c r="X244" s="261">
        <v>2</v>
      </c>
      <c r="Y244" s="261">
        <f>Tabla_query__2[[#This Row],[Número
Semanas]]*5*8</f>
        <v>80</v>
      </c>
      <c r="Z244" s="268">
        <f>Tabla_query__2[[#This Row],[TOTAL]]/Tabla_query__2[[#This Row],[Número de Horas]]/2</f>
        <v>9</v>
      </c>
      <c r="AA244" s="261">
        <v>1</v>
      </c>
      <c r="AB244" s="261">
        <v>400</v>
      </c>
      <c r="AC244" s="261"/>
      <c r="AD244" s="268">
        <f>Tabla_query__2[[#This Row],[Número
Semanas]]*Tabla_query__2[[#This Row],[Número
Personas]]*Tabla_query__2[[#This Row],[Costo
Mano Obra/semana]] + 640</f>
        <v>1440</v>
      </c>
      <c r="AE244" s="261"/>
      <c r="AF244" s="261"/>
      <c r="AG244" s="547" t="s">
        <v>211</v>
      </c>
      <c r="AH244" s="267">
        <v>45383</v>
      </c>
      <c r="AI244" s="267">
        <v>45422</v>
      </c>
      <c r="AJ244" s="282" t="e">
        <f>#REF!</f>
        <v>#REF!</v>
      </c>
      <c r="AK244" s="267">
        <v>45426</v>
      </c>
      <c r="AL244" s="267">
        <v>45433</v>
      </c>
      <c r="AM244" s="282">
        <f t="shared" si="13"/>
        <v>363415</v>
      </c>
      <c r="AN244" s="267">
        <v>45427</v>
      </c>
      <c r="AO244" s="267">
        <v>45427</v>
      </c>
      <c r="AP244" s="384">
        <f>Tabla_query__2[[#This Row],[InicioDes]]</f>
        <v>45383</v>
      </c>
      <c r="AQ244" s="384">
        <f>Tabla_query__2[[#This Row],[FinDes2]]</f>
        <v>45427</v>
      </c>
      <c r="AR244" s="462">
        <f>Tabla_query__2[[#This Row],[Número
Semanas]]/4</f>
        <v>0.5</v>
      </c>
      <c r="AS244" s="269">
        <f>Tabla_query__2[[#This Row],[FinDes2]]-Tabla_query__2[[#This Row],[InicioDes2]]</f>
        <v>0</v>
      </c>
      <c r="AT244" s="261"/>
    </row>
    <row r="245" spans="1:52" ht="23.25">
      <c r="A245" s="318" t="s">
        <v>130</v>
      </c>
      <c r="B245" s="262" t="s">
        <v>218</v>
      </c>
      <c r="C245" s="262"/>
      <c r="D245" s="262" t="s">
        <v>714</v>
      </c>
      <c r="E245" s="262"/>
      <c r="F245" s="259" t="s">
        <v>715</v>
      </c>
      <c r="G245" s="259"/>
      <c r="H245" s="259" t="s">
        <v>204</v>
      </c>
      <c r="I245" s="262" t="s">
        <v>689</v>
      </c>
      <c r="J245" s="262" t="s">
        <v>4</v>
      </c>
      <c r="K245" s="262"/>
      <c r="L245" s="262"/>
      <c r="M245" s="262" t="s">
        <v>206</v>
      </c>
      <c r="N245" s="262" t="s">
        <v>6</v>
      </c>
      <c r="O245" t="s">
        <v>690</v>
      </c>
      <c r="P245" s="262" t="s">
        <v>5</v>
      </c>
      <c r="Q245" s="262" t="s">
        <v>208</v>
      </c>
      <c r="R245" s="262" t="s">
        <v>144</v>
      </c>
      <c r="S245" s="261">
        <v>3</v>
      </c>
      <c r="T245" s="261" t="s">
        <v>221</v>
      </c>
      <c r="U245" s="261"/>
      <c r="V245" s="261" t="s">
        <v>146</v>
      </c>
      <c r="W245" s="261"/>
      <c r="X245" s="261">
        <v>4</v>
      </c>
      <c r="Y245" s="261">
        <f>Tabla_query__2[[#This Row],[Número
Semanas]]*5*8</f>
        <v>160</v>
      </c>
      <c r="Z245" s="268">
        <f>Tabla_query__2[[#This Row],[TOTAL]]/Tabla_query__2[[#This Row],[Número de Horas]]/2</f>
        <v>12</v>
      </c>
      <c r="AA245" s="261">
        <v>2</v>
      </c>
      <c r="AB245" s="261">
        <v>400</v>
      </c>
      <c r="AC245" s="261"/>
      <c r="AD245" s="268">
        <f>Tabla_query__2[[#This Row],[Número
Semanas]]*Tabla_query__2[[#This Row],[Número
Personas]]*Tabla_query__2[[#This Row],[Costo
Mano Obra/semana]] + 640</f>
        <v>3840</v>
      </c>
      <c r="AE245" s="261"/>
      <c r="AF245" s="261"/>
      <c r="AG245" s="261"/>
      <c r="AH245" s="267">
        <v>45446</v>
      </c>
      <c r="AI245" s="267">
        <v>45471</v>
      </c>
      <c r="AJ245" s="282" t="e">
        <f>#REF!</f>
        <v>#REF!</v>
      </c>
      <c r="AK245" s="267">
        <v>45475</v>
      </c>
      <c r="AL245" s="267">
        <v>45482</v>
      </c>
      <c r="AM245" s="282">
        <f t="shared" si="13"/>
        <v>363807</v>
      </c>
      <c r="AN245" s="261"/>
      <c r="AO245" s="261"/>
      <c r="AP245" s="384">
        <f>Tabla_query__2[[#This Row],[InicioDes]]</f>
        <v>45446</v>
      </c>
      <c r="AQ245" s="384">
        <f>Tabla_query__2[[#This Row],[FinDes2]]</f>
        <v>0</v>
      </c>
      <c r="AR245" s="462">
        <f>Tabla_query__2[[#This Row],[Número
Semanas]]/4</f>
        <v>1</v>
      </c>
      <c r="AS245" s="269">
        <f>Tabla_query__2[[#This Row],[FinDes2]]-Tabla_query__2[[#This Row],[InicioDes2]]</f>
        <v>0</v>
      </c>
      <c r="AT245" s="261" t="s">
        <v>704</v>
      </c>
    </row>
    <row r="246" spans="1:52" ht="23.25">
      <c r="A246" s="318" t="s">
        <v>130</v>
      </c>
      <c r="B246" s="262" t="s">
        <v>134</v>
      </c>
      <c r="C246" s="262"/>
      <c r="D246" s="262" t="s">
        <v>716</v>
      </c>
      <c r="E246" s="262" t="s">
        <v>203</v>
      </c>
      <c r="F246" s="259" t="s">
        <v>717</v>
      </c>
      <c r="G246" s="259"/>
      <c r="H246" s="259" t="s">
        <v>204</v>
      </c>
      <c r="I246" s="262" t="s">
        <v>694</v>
      </c>
      <c r="J246" s="262" t="s">
        <v>4</v>
      </c>
      <c r="K246" s="262"/>
      <c r="L246" s="262"/>
      <c r="M246" s="262" t="s">
        <v>206</v>
      </c>
      <c r="N246" s="262" t="s">
        <v>6</v>
      </c>
      <c r="O246" t="s">
        <v>690</v>
      </c>
      <c r="P246" s="262" t="s">
        <v>5</v>
      </c>
      <c r="Q246" s="262" t="s">
        <v>208</v>
      </c>
      <c r="R246" s="262" t="s">
        <v>144</v>
      </c>
      <c r="S246" s="547">
        <v>1</v>
      </c>
      <c r="T246" s="261" t="str">
        <f>IF(MONTH(AH246)&lt;4, "Q1",IF(AND(MONTH(AH246)&gt;3,MONTH(AH246)&lt;=6),"Q2",IF(AND(MONTH(AH246)&gt;6,MONTH(AH246)&lt;=9),"Q3","Q4")))</f>
        <v>Q2</v>
      </c>
      <c r="U246" s="261"/>
      <c r="V246" s="261" t="s">
        <v>210</v>
      </c>
      <c r="W246" s="261">
        <v>1</v>
      </c>
      <c r="X246" s="261">
        <v>3</v>
      </c>
      <c r="Y246" s="261">
        <f>Tabla_query__2[[#This Row],[Número
Semanas]]*5*8</f>
        <v>120</v>
      </c>
      <c r="Z246" s="268">
        <f>Tabla_query__2[[#This Row],[TOTAL]]/Tabla_query__2[[#This Row],[Número de Horas]]/2</f>
        <v>9.2916666666666661</v>
      </c>
      <c r="AA246" s="261">
        <v>1</v>
      </c>
      <c r="AB246" s="261">
        <v>550</v>
      </c>
      <c r="AC246" s="261"/>
      <c r="AD246" s="388">
        <f>Tabla_query__2[[#This Row],[Número
Semanas]]*Tabla_query__2[[#This Row],[Número
Personas]]*Tabla_query__2[[#This Row],[Costo
Mano Obra/semana]]+580</f>
        <v>2230</v>
      </c>
      <c r="AE246" s="261"/>
      <c r="AF246" s="261"/>
      <c r="AG246" s="547" t="s">
        <v>154</v>
      </c>
      <c r="AH246" s="663">
        <v>45418</v>
      </c>
      <c r="AI246" s="663">
        <v>45439</v>
      </c>
      <c r="AJ246" s="282">
        <f>Tabla_query__2[[#This Row],[FinDes]]-Tabla_query__2[[#This Row],[InicioDes]]</f>
        <v>21</v>
      </c>
      <c r="AK246" s="282">
        <v>45430</v>
      </c>
      <c r="AL246" s="282">
        <v>45454</v>
      </c>
      <c r="AM246" s="282">
        <f t="shared" si="13"/>
        <v>363464</v>
      </c>
      <c r="AN246" s="663">
        <v>45455</v>
      </c>
      <c r="AO246" s="663">
        <v>45469</v>
      </c>
      <c r="AP246" s="384">
        <f>Tabla_query__2[[#This Row],[InicioDes]]</f>
        <v>45418</v>
      </c>
      <c r="AQ246" s="384">
        <f>Tabla_query__2[[#This Row],[FinDes2]]</f>
        <v>45469</v>
      </c>
      <c r="AR246" s="462">
        <f>Tabla_query__2[[#This Row],[Número
Semanas]]/4</f>
        <v>0.75</v>
      </c>
      <c r="AS246" s="269">
        <f>Tabla_query__2[[#This Row],[FinDes2]]-Tabla_query__2[[#This Row],[InicioDes2]]</f>
        <v>14</v>
      </c>
      <c r="AT246" s="261"/>
    </row>
    <row r="247" spans="1:52" ht="34.9">
      <c r="A247" s="318" t="s">
        <v>130</v>
      </c>
      <c r="B247" s="262" t="s">
        <v>134</v>
      </c>
      <c r="C247" s="262"/>
      <c r="D247" s="277" t="s">
        <v>718</v>
      </c>
      <c r="E247" s="262"/>
      <c r="F247" s="259" t="s">
        <v>719</v>
      </c>
      <c r="G247" s="259"/>
      <c r="H247" s="259" t="s">
        <v>204</v>
      </c>
      <c r="I247" s="262" t="s">
        <v>694</v>
      </c>
      <c r="J247" s="262" t="s">
        <v>4</v>
      </c>
      <c r="K247" s="262"/>
      <c r="L247" s="262"/>
      <c r="M247" s="262" t="s">
        <v>206</v>
      </c>
      <c r="N247" s="262" t="s">
        <v>6</v>
      </c>
      <c r="O247" t="s">
        <v>690</v>
      </c>
      <c r="P247" s="262" t="s">
        <v>5</v>
      </c>
      <c r="Q247" s="262" t="s">
        <v>208</v>
      </c>
      <c r="R247" s="262" t="s">
        <v>144</v>
      </c>
      <c r="S247" s="547">
        <v>2</v>
      </c>
      <c r="T247" s="261" t="str">
        <f>IF(MONTH(AH247)&lt;4, "Q1",IF(AND(MONTH(AH247)&gt;3,MONTH(AH247)&lt;=6),"Q2",IF(AND(MONTH(AH247)&gt;6,MONTH(AH247)&lt;=9),"Q3","Q4")))</f>
        <v>Q2</v>
      </c>
      <c r="U247" s="261"/>
      <c r="V247" s="261" t="s">
        <v>210</v>
      </c>
      <c r="W247" s="261">
        <v>1</v>
      </c>
      <c r="X247" s="261">
        <v>3</v>
      </c>
      <c r="Y247" s="261">
        <f>Tabla_query__2[[#This Row],[Número
Semanas]]*5*8</f>
        <v>120</v>
      </c>
      <c r="Z247" s="268">
        <f>Tabla_query__2[[#This Row],[TOTAL]]/Tabla_query__2[[#This Row],[Número de Horas]]/2</f>
        <v>9.2916666666666661</v>
      </c>
      <c r="AA247" s="261">
        <v>1</v>
      </c>
      <c r="AB247" s="261">
        <v>550</v>
      </c>
      <c r="AC247" s="261"/>
      <c r="AD247" s="388">
        <f>Tabla_query__2[[#This Row],[Número
Semanas]]*Tabla_query__2[[#This Row],[Número
Personas]]*Tabla_query__2[[#This Row],[Costo
Mano Obra/semana]]+580</f>
        <v>2230</v>
      </c>
      <c r="AE247" s="261"/>
      <c r="AF247" s="261"/>
      <c r="AG247" s="547" t="s">
        <v>154</v>
      </c>
      <c r="AH247" s="282">
        <v>45446</v>
      </c>
      <c r="AI247" s="282">
        <v>45489</v>
      </c>
      <c r="AJ247" s="282">
        <f>Tabla_query__2[[#This Row],[FinDes]]-Tabla_query__2[[#This Row],[InicioDes]]</f>
        <v>43</v>
      </c>
      <c r="AK247" s="282">
        <v>45490</v>
      </c>
      <c r="AL247" s="282">
        <v>45504</v>
      </c>
      <c r="AM247" s="282">
        <f t="shared" si="13"/>
        <v>363934</v>
      </c>
      <c r="AN247" s="282">
        <v>45505</v>
      </c>
      <c r="AO247" s="282">
        <v>45519</v>
      </c>
      <c r="AP247" s="384">
        <f>Tabla_query__2[[#This Row],[InicioDes]]</f>
        <v>45446</v>
      </c>
      <c r="AQ247" s="384">
        <f>Tabla_query__2[[#This Row],[FinDes2]]</f>
        <v>45519</v>
      </c>
      <c r="AR247" s="462">
        <f>Tabla_query__2[[#This Row],[Número
Semanas]]/4</f>
        <v>0.75</v>
      </c>
      <c r="AS247" s="269">
        <f>Tabla_query__2[[#This Row],[FinDes2]]-Tabla_query__2[[#This Row],[InicioDes2]]</f>
        <v>14</v>
      </c>
      <c r="AT247" s="261"/>
    </row>
    <row r="248" spans="1:52" s="293" customFormat="1" ht="93">
      <c r="A248" s="318" t="s">
        <v>130</v>
      </c>
      <c r="B248" s="262" t="s">
        <v>134</v>
      </c>
      <c r="C248" s="262"/>
      <c r="D248" s="262" t="s">
        <v>720</v>
      </c>
      <c r="E248" s="262" t="s">
        <v>203</v>
      </c>
      <c r="F248" s="259" t="s">
        <v>721</v>
      </c>
      <c r="G248" s="259"/>
      <c r="H248" s="259" t="s">
        <v>204</v>
      </c>
      <c r="I248" s="262" t="s">
        <v>694</v>
      </c>
      <c r="J248" s="262" t="s">
        <v>4</v>
      </c>
      <c r="K248" s="262"/>
      <c r="L248" s="262"/>
      <c r="M248" s="262" t="s">
        <v>206</v>
      </c>
      <c r="N248" s="262" t="s">
        <v>6</v>
      </c>
      <c r="O248" t="s">
        <v>690</v>
      </c>
      <c r="P248" s="262" t="s">
        <v>5</v>
      </c>
      <c r="Q248" s="262" t="s">
        <v>208</v>
      </c>
      <c r="R248" s="262" t="s">
        <v>144</v>
      </c>
      <c r="S248" s="547">
        <v>1</v>
      </c>
      <c r="T248" s="261" t="s">
        <v>145</v>
      </c>
      <c r="U248" s="261" t="s">
        <v>722</v>
      </c>
      <c r="V248" s="261" t="s">
        <v>210</v>
      </c>
      <c r="W248" s="261">
        <v>1</v>
      </c>
      <c r="X248" s="261">
        <v>4</v>
      </c>
      <c r="Y248" s="261">
        <f>Tabla_query__2[[#This Row],[Número
Semanas]]*5*8</f>
        <v>160</v>
      </c>
      <c r="Z248" s="268">
        <f>Tabla_query__2[[#This Row],[TOTAL]]/Tabla_query__2[[#This Row],[Número de Horas]]/2</f>
        <v>8.6875</v>
      </c>
      <c r="AA248" s="261">
        <v>1</v>
      </c>
      <c r="AB248" s="261">
        <v>550</v>
      </c>
      <c r="AC248" s="261"/>
      <c r="AD248" s="388">
        <f>Tabla_query__2[[#This Row],[Número
Semanas]]*Tabla_query__2[[#This Row],[Número
Personas]]*Tabla_query__2[[#This Row],[Costo
Mano Obra/semana]]+580</f>
        <v>2780</v>
      </c>
      <c r="AE248" s="261"/>
      <c r="AF248" s="261"/>
      <c r="AG248" s="547" t="s">
        <v>154</v>
      </c>
      <c r="AH248" s="282">
        <v>45446</v>
      </c>
      <c r="AI248" s="282">
        <v>45461</v>
      </c>
      <c r="AJ248" s="282">
        <f>Tabla_query__2[[#This Row],[FinDes]]-Tabla_query__2[[#This Row],[InicioDes]]</f>
        <v>15</v>
      </c>
      <c r="AK248" s="282">
        <v>45461</v>
      </c>
      <c r="AL248" s="282">
        <v>45462</v>
      </c>
      <c r="AM248" s="282">
        <f t="shared" si="13"/>
        <v>363689</v>
      </c>
      <c r="AN248" s="282">
        <v>45463</v>
      </c>
      <c r="AO248" s="282">
        <v>45471</v>
      </c>
      <c r="AP248" s="384">
        <f>Tabla_query__2[[#This Row],[InicioDes]]</f>
        <v>45446</v>
      </c>
      <c r="AQ248" s="384">
        <f>Tabla_query__2[[#This Row],[FinDes2]]</f>
        <v>45471</v>
      </c>
      <c r="AR248" s="462">
        <f>Tabla_query__2[[#This Row],[Número
Semanas]]/4</f>
        <v>1</v>
      </c>
      <c r="AS248" s="269">
        <f>Tabla_query__2[[#This Row],[FinDes2]]-Tabla_query__2[[#This Row],[InicioDes2]]</f>
        <v>8</v>
      </c>
      <c r="AT248" s="261"/>
      <c r="AU248"/>
      <c r="AV248"/>
      <c r="AZ248" s="293" t="s">
        <v>723</v>
      </c>
    </row>
    <row r="249" spans="1:52" ht="23.25">
      <c r="A249" s="318" t="s">
        <v>251</v>
      </c>
      <c r="B249" s="262" t="s">
        <v>218</v>
      </c>
      <c r="C249" s="262"/>
      <c r="D249" s="277" t="s">
        <v>724</v>
      </c>
      <c r="E249" s="262" t="s">
        <v>678</v>
      </c>
      <c r="F249" s="259" t="s">
        <v>725</v>
      </c>
      <c r="G249" s="259"/>
      <c r="H249" s="259" t="s">
        <v>204</v>
      </c>
      <c r="I249" s="262" t="s">
        <v>456</v>
      </c>
      <c r="J249" s="262" t="s">
        <v>4</v>
      </c>
      <c r="K249" s="262"/>
      <c r="L249" s="262"/>
      <c r="M249" s="262" t="s">
        <v>206</v>
      </c>
      <c r="N249" s="262" t="s">
        <v>6</v>
      </c>
      <c r="O249" t="s">
        <v>690</v>
      </c>
      <c r="P249" s="262" t="s">
        <v>5</v>
      </c>
      <c r="Q249" s="262" t="s">
        <v>143</v>
      </c>
      <c r="R249" s="262" t="s">
        <v>197</v>
      </c>
      <c r="S249" s="261">
        <v>1</v>
      </c>
      <c r="T249" s="261" t="s">
        <v>152</v>
      </c>
      <c r="U249" s="291"/>
      <c r="V249" s="261" t="s">
        <v>210</v>
      </c>
      <c r="W249" s="261"/>
      <c r="X249" s="291"/>
      <c r="Y249" s="291">
        <f>Tabla_query__2[[#This Row],[Número
Semanas]]*5*8</f>
        <v>0</v>
      </c>
      <c r="Z249" s="292" t="e">
        <f>Tabla_query__2[[#This Row],[TOTAL]]/Tabla_query__2[[#This Row],[Número de Horas]]/2</f>
        <v>#DIV/0!</v>
      </c>
      <c r="AA249" s="291"/>
      <c r="AB249" s="291"/>
      <c r="AC249" s="261"/>
      <c r="AD249" s="292"/>
      <c r="AE249" s="291"/>
      <c r="AF249" s="261"/>
      <c r="AG249" s="547">
        <v>0</v>
      </c>
      <c r="AH249" s="334">
        <v>45292</v>
      </c>
      <c r="AI249" s="334">
        <v>45312</v>
      </c>
      <c r="AJ249" s="282" t="e">
        <f>#REF!</f>
        <v>#REF!</v>
      </c>
      <c r="AK249" s="334">
        <v>45312</v>
      </c>
      <c r="AL249" s="334">
        <v>45343</v>
      </c>
      <c r="AM249" s="282">
        <f t="shared" si="13"/>
        <v>362527</v>
      </c>
      <c r="AN249" s="334">
        <v>45343</v>
      </c>
      <c r="AO249" s="334">
        <v>45350</v>
      </c>
      <c r="AP249" s="384">
        <f>Tabla_query__2[[#This Row],[InicioDes]]</f>
        <v>45292</v>
      </c>
      <c r="AQ249" s="384">
        <f>Tabla_query__2[[#This Row],[FinDes2]]</f>
        <v>45350</v>
      </c>
      <c r="AR249" s="462">
        <f>Tabla_query__2[[#This Row],[Número
Semanas]]/4</f>
        <v>0</v>
      </c>
      <c r="AS249" s="269">
        <f>Tabla_query__2[[#This Row],[FinDes2]]-Tabla_query__2[[#This Row],[InicioDes2]]</f>
        <v>7</v>
      </c>
      <c r="AT249" s="291"/>
      <c r="AZ249" t="s">
        <v>726</v>
      </c>
    </row>
    <row r="250" spans="1:52">
      <c r="A250" s="318" t="s">
        <v>130</v>
      </c>
      <c r="B250" s="262" t="s">
        <v>134</v>
      </c>
      <c r="C250" s="262"/>
      <c r="D250" s="262" t="s">
        <v>727</v>
      </c>
      <c r="E250" s="262" t="s">
        <v>203</v>
      </c>
      <c r="F250" s="259" t="s">
        <v>728</v>
      </c>
      <c r="G250" s="259"/>
      <c r="H250" s="259" t="s">
        <v>204</v>
      </c>
      <c r="I250" s="262" t="s">
        <v>694</v>
      </c>
      <c r="J250" s="262" t="s">
        <v>4</v>
      </c>
      <c r="K250" s="262"/>
      <c r="L250" s="262"/>
      <c r="M250" s="262" t="s">
        <v>206</v>
      </c>
      <c r="N250" s="262" t="s">
        <v>6</v>
      </c>
      <c r="O250" t="s">
        <v>690</v>
      </c>
      <c r="P250" s="262" t="s">
        <v>5</v>
      </c>
      <c r="Q250" s="262" t="s">
        <v>208</v>
      </c>
      <c r="R250" s="262" t="s">
        <v>144</v>
      </c>
      <c r="S250" s="547">
        <v>2</v>
      </c>
      <c r="T250" s="261" t="str">
        <f>IF(MONTH(AH250)&lt;4, "Q1",IF(AND(MONTH(AH250)&gt;3,MONTH(AH250)&lt;=6),"Q2",IF(AND(MONTH(AH250)&gt;6,MONTH(AH250)&lt;=9),"Q3","Q4")))</f>
        <v>Q2</v>
      </c>
      <c r="U250" s="261"/>
      <c r="V250" s="261" t="s">
        <v>210</v>
      </c>
      <c r="W250" s="261">
        <v>1</v>
      </c>
      <c r="X250" s="261">
        <v>1</v>
      </c>
      <c r="Y250" s="261">
        <f>Tabla_query__2[[#This Row],[Número
Semanas]]*5*8</f>
        <v>40</v>
      </c>
      <c r="Z250" s="268">
        <f>Tabla_query__2[[#This Row],[TOTAL]]/Tabla_query__2[[#This Row],[Número de Horas]]/2</f>
        <v>21</v>
      </c>
      <c r="AA250" s="261">
        <v>2</v>
      </c>
      <c r="AB250" s="261">
        <v>550</v>
      </c>
      <c r="AC250" s="261"/>
      <c r="AD250" s="388">
        <f>Tabla_query__2[[#This Row],[Número
Semanas]]*Tabla_query__2[[#This Row],[Número
Personas]]*Tabla_query__2[[#This Row],[Costo
Mano Obra/semana]]+580</f>
        <v>1680</v>
      </c>
      <c r="AE250" s="261"/>
      <c r="AF250" s="261"/>
      <c r="AG250" s="547" t="s">
        <v>154</v>
      </c>
      <c r="AH250" s="540">
        <v>45446</v>
      </c>
      <c r="AI250" s="540">
        <v>45453</v>
      </c>
      <c r="AJ250" s="282">
        <f>Tabla_query__2[[#This Row],[FinDes]]-Tabla_query__2[[#This Row],[InicioDes]]</f>
        <v>7</v>
      </c>
      <c r="AK250" s="540">
        <v>45454</v>
      </c>
      <c r="AL250" s="540">
        <v>45468</v>
      </c>
      <c r="AM250" s="282">
        <f t="shared" si="13"/>
        <v>363646</v>
      </c>
      <c r="AN250" s="540">
        <v>45469</v>
      </c>
      <c r="AO250" s="282">
        <v>45483</v>
      </c>
      <c r="AP250" s="384">
        <f>Tabla_query__2[[#This Row],[InicioDes]]</f>
        <v>45446</v>
      </c>
      <c r="AQ250" s="384">
        <f>Tabla_query__2[[#This Row],[FinDes2]]</f>
        <v>45483</v>
      </c>
      <c r="AR250" s="462">
        <f>Tabla_query__2[[#This Row],[Número
Semanas]]/4</f>
        <v>0.25</v>
      </c>
      <c r="AS250" s="269">
        <f>Tabla_query__2[[#This Row],[FinDes2]]-Tabla_query__2[[#This Row],[InicioDes2]]</f>
        <v>14</v>
      </c>
      <c r="AT250" s="261"/>
    </row>
    <row r="251" spans="1:52" ht="23.25">
      <c r="A251" s="318" t="s">
        <v>130</v>
      </c>
      <c r="B251" s="262" t="s">
        <v>218</v>
      </c>
      <c r="C251" s="262"/>
      <c r="D251" s="262" t="s">
        <v>729</v>
      </c>
      <c r="E251" s="262"/>
      <c r="F251" s="259" t="s">
        <v>730</v>
      </c>
      <c r="G251" s="259"/>
      <c r="H251" s="259" t="s">
        <v>204</v>
      </c>
      <c r="I251" s="262" t="s">
        <v>220</v>
      </c>
      <c r="J251" s="262" t="s">
        <v>139</v>
      </c>
      <c r="K251" s="262"/>
      <c r="L251" s="262"/>
      <c r="M251" s="262" t="s">
        <v>206</v>
      </c>
      <c r="N251" s="262" t="s">
        <v>6</v>
      </c>
      <c r="O251" t="s">
        <v>690</v>
      </c>
      <c r="P251" s="262" t="s">
        <v>139</v>
      </c>
      <c r="Q251" s="262" t="s">
        <v>143</v>
      </c>
      <c r="R251" s="262" t="s">
        <v>197</v>
      </c>
      <c r="S251" s="261">
        <v>1</v>
      </c>
      <c r="T251" s="261" t="s">
        <v>152</v>
      </c>
      <c r="U251" s="261"/>
      <c r="V251" s="261" t="s">
        <v>210</v>
      </c>
      <c r="W251" s="261"/>
      <c r="X251" s="261">
        <v>1</v>
      </c>
      <c r="Y251" s="261">
        <f>Tabla_query__2[[#This Row],[Número
Semanas]]*5*8</f>
        <v>40</v>
      </c>
      <c r="Z251" s="268">
        <f>Tabla_query__2[[#This Row],[TOTAL]]/Tabla_query__2[[#This Row],[Número de Horas]]/2</f>
        <v>17.625</v>
      </c>
      <c r="AA251" s="261">
        <v>1</v>
      </c>
      <c r="AB251" s="261">
        <v>400</v>
      </c>
      <c r="AC251" s="261"/>
      <c r="AD251" s="268">
        <f>Tabla_query__2[[#This Row],[Número
Semanas]]*Tabla_query__2[[#This Row],[Número
Personas]]*Tabla_query__2[[#This Row],[Costo
Mano Obra/semana]] + 640 +370</f>
        <v>1410</v>
      </c>
      <c r="AE251" s="261"/>
      <c r="AF251" s="261"/>
      <c r="AG251" s="547">
        <v>0</v>
      </c>
      <c r="AH251" s="664">
        <v>45348</v>
      </c>
      <c r="AI251" s="664">
        <v>45359</v>
      </c>
      <c r="AJ251" s="281" t="e">
        <f>#REF!</f>
        <v>#REF!</v>
      </c>
      <c r="AK251" s="664">
        <v>45363</v>
      </c>
      <c r="AL251" s="664">
        <v>45370</v>
      </c>
      <c r="AM251" s="281">
        <f t="shared" si="13"/>
        <v>362911</v>
      </c>
      <c r="AN251" s="664">
        <v>45383</v>
      </c>
      <c r="AO251" s="594">
        <v>45497</v>
      </c>
      <c r="AP251" s="281">
        <f>Tabla_query__2[[#This Row],[InicioDes]]</f>
        <v>45348</v>
      </c>
      <c r="AQ251" s="281">
        <f>Tabla_query__2[[#This Row],[FinDes2]]</f>
        <v>45497</v>
      </c>
      <c r="AR251" s="462">
        <f>Tabla_query__2[[#This Row],[Número
Semanas]]/4</f>
        <v>0.25</v>
      </c>
      <c r="AS251" s="269">
        <f>Tabla_query__2[[#This Row],[FinDes2]]-Tabla_query__2[[#This Row],[InicioDes2]]</f>
        <v>114</v>
      </c>
      <c r="AT251" s="261" t="s">
        <v>731</v>
      </c>
    </row>
    <row r="252" spans="1:52" ht="23.25">
      <c r="A252" s="318" t="s">
        <v>130</v>
      </c>
      <c r="B252" s="262" t="s">
        <v>134</v>
      </c>
      <c r="C252" s="262"/>
      <c r="D252" s="262" t="s">
        <v>732</v>
      </c>
      <c r="E252" s="262" t="s">
        <v>203</v>
      </c>
      <c r="F252" s="259" t="s">
        <v>733</v>
      </c>
      <c r="G252" s="259"/>
      <c r="H252" s="259" t="s">
        <v>204</v>
      </c>
      <c r="I252" s="262" t="s">
        <v>627</v>
      </c>
      <c r="J252" s="262" t="s">
        <v>4</v>
      </c>
      <c r="K252" s="262"/>
      <c r="L252" s="262"/>
      <c r="M252" s="262" t="s">
        <v>206</v>
      </c>
      <c r="N252" s="277" t="s">
        <v>734</v>
      </c>
      <c r="O252" s="730" t="s">
        <v>690</v>
      </c>
      <c r="P252" s="262" t="s">
        <v>17</v>
      </c>
      <c r="Q252" s="262" t="s">
        <v>208</v>
      </c>
      <c r="R252" s="262" t="s">
        <v>144</v>
      </c>
      <c r="S252" s="547">
        <v>2</v>
      </c>
      <c r="T252" s="261" t="s">
        <v>145</v>
      </c>
      <c r="U252" s="261" t="s">
        <v>735</v>
      </c>
      <c r="V252" s="261" t="s">
        <v>210</v>
      </c>
      <c r="W252" s="261">
        <v>1</v>
      </c>
      <c r="X252" s="261">
        <v>4</v>
      </c>
      <c r="Y252" s="261">
        <f>Tabla_query__2[[#This Row],[Número
Semanas]]*5*8</f>
        <v>160</v>
      </c>
      <c r="Z252" s="268">
        <f>Tabla_query__2[[#This Row],[TOTAL]]/Tabla_query__2[[#This Row],[Número de Horas]]/2</f>
        <v>8.6875</v>
      </c>
      <c r="AA252" s="596">
        <v>1</v>
      </c>
      <c r="AB252" s="261">
        <v>550</v>
      </c>
      <c r="AC252" s="261"/>
      <c r="AD252" s="388">
        <f>Tabla_query__2[[#This Row],[Número
Semanas]]*Tabla_query__2[[#This Row],[Número
Personas]]*Tabla_query__2[[#This Row],[Costo
Mano Obra/semana]]+580</f>
        <v>2780</v>
      </c>
      <c r="AE252" s="261"/>
      <c r="AF252" s="261"/>
      <c r="AG252" s="547" t="s">
        <v>191</v>
      </c>
      <c r="AH252" s="540">
        <v>45411</v>
      </c>
      <c r="AI252" s="540">
        <v>45411</v>
      </c>
      <c r="AJ252" s="282">
        <f>Tabla_query__2[[#This Row],[FinDes]]-Tabla_query__2[[#This Row],[InicioDes]]</f>
        <v>0</v>
      </c>
      <c r="AK252" s="540">
        <v>45412</v>
      </c>
      <c r="AL252" s="540">
        <v>45426</v>
      </c>
      <c r="AM252" s="282">
        <f t="shared" si="13"/>
        <v>363310</v>
      </c>
      <c r="AN252" s="540">
        <v>45427</v>
      </c>
      <c r="AO252" s="696">
        <v>45441</v>
      </c>
      <c r="AP252" s="384">
        <f>Tabla_query__2[[#This Row],[InicioDes]]</f>
        <v>45411</v>
      </c>
      <c r="AQ252" s="384">
        <f>Tabla_query__2[[#This Row],[FinDes2]]</f>
        <v>45441</v>
      </c>
      <c r="AR252" s="462">
        <f>Tabla_query__2[[#This Row],[Número
Semanas]]/4</f>
        <v>1</v>
      </c>
      <c r="AS252" s="269">
        <f>Tabla_query__2[[#This Row],[FinDes2]]-Tabla_query__2[[#This Row],[InicioDes2]]</f>
        <v>14</v>
      </c>
      <c r="AT252" s="259" t="s">
        <v>736</v>
      </c>
    </row>
    <row r="253" spans="1:52" ht="23.25">
      <c r="A253" s="318" t="s">
        <v>130</v>
      </c>
      <c r="B253" s="262" t="s">
        <v>131</v>
      </c>
      <c r="C253" s="262" t="s">
        <v>175</v>
      </c>
      <c r="D253" s="262" t="s">
        <v>737</v>
      </c>
      <c r="E253" s="262" t="s">
        <v>164</v>
      </c>
      <c r="F253" s="259" t="s">
        <v>738</v>
      </c>
      <c r="G253" s="259" t="s">
        <v>210</v>
      </c>
      <c r="H253" s="259" t="s">
        <v>204</v>
      </c>
      <c r="I253" s="266" t="s">
        <v>260</v>
      </c>
      <c r="J253" s="266" t="s">
        <v>4</v>
      </c>
      <c r="K253" s="266"/>
      <c r="L253" s="266"/>
      <c r="M253" s="266" t="s">
        <v>206</v>
      </c>
      <c r="N253" s="266" t="s">
        <v>71</v>
      </c>
      <c r="O253" t="s">
        <v>739</v>
      </c>
      <c r="P253" s="262" t="s">
        <v>61</v>
      </c>
      <c r="Q253" s="262" t="s">
        <v>143</v>
      </c>
      <c r="R253" s="266" t="s">
        <v>144</v>
      </c>
      <c r="S253" s="275" t="s">
        <v>320</v>
      </c>
      <c r="T253" s="275" t="s">
        <v>320</v>
      </c>
      <c r="U253" s="261" t="s">
        <v>740</v>
      </c>
      <c r="V253" s="261" t="s">
        <v>136</v>
      </c>
      <c r="W253" s="261"/>
      <c r="X253" s="275">
        <v>10</v>
      </c>
      <c r="Y253" s="275">
        <f>Tabla_query__2[[#This Row],[Número
Semanas]]*5*8</f>
        <v>400</v>
      </c>
      <c r="Z253" s="641">
        <f>Tabla_query__2[[#This Row],[TOTAL]]/Tabla_query__2[[#This Row],[Número de Horas]]/2</f>
        <v>14.55</v>
      </c>
      <c r="AA253" s="275">
        <v>2</v>
      </c>
      <c r="AB253" s="261">
        <v>550</v>
      </c>
      <c r="AC253" s="261"/>
      <c r="AD253" s="268">
        <f>Tabla_query__2[[#This Row],[Número
Semanas]]*Tabla_query__2[[#This Row],[Número
Personas]]*Tabla_query__2[[#This Row],[Costo
Mano Obra/semana]] + 640</f>
        <v>11640</v>
      </c>
      <c r="AE253" s="261"/>
      <c r="AF253" s="261"/>
      <c r="AG253" s="261" t="s">
        <v>322</v>
      </c>
      <c r="AH253" s="538">
        <v>45572</v>
      </c>
      <c r="AI253" s="682">
        <v>45607</v>
      </c>
      <c r="AJ253" s="462">
        <f>Tabla_query__2[[#This Row],[FinDes]]-Tabla_query__2[[#This Row],[InicioDes]]</f>
        <v>35</v>
      </c>
      <c r="AK253" s="682">
        <v>45607</v>
      </c>
      <c r="AL253" s="682">
        <v>45621</v>
      </c>
      <c r="AM253" s="462">
        <f t="shared" si="13"/>
        <v>364870</v>
      </c>
      <c r="AN253" s="682">
        <v>45621</v>
      </c>
      <c r="AO253" s="697">
        <v>45628</v>
      </c>
      <c r="AP253" s="456">
        <v>45566</v>
      </c>
      <c r="AQ253" s="281">
        <f>Tabla_query__2[[#This Row],[Inicio Real]]+(Tabla_query__2[[#This Row],[Número
Semanas]]*7)</f>
        <v>45636</v>
      </c>
      <c r="AR253" s="462">
        <f>Tabla_query__2[[#This Row],[Número
Semanas]]/4</f>
        <v>2.5</v>
      </c>
      <c r="AS253" s="269">
        <f>Tabla_query__2[[#This Row],[FinDes2]]-Tabla_query__2[[#This Row],[InicioDes2]]</f>
        <v>7</v>
      </c>
      <c r="AT253" s="261"/>
      <c r="AV253" s="434" t="s">
        <v>148</v>
      </c>
    </row>
    <row r="254" spans="1:52" ht="58.15">
      <c r="A254" s="318" t="s">
        <v>130</v>
      </c>
      <c r="B254" s="262" t="s">
        <v>131</v>
      </c>
      <c r="C254" s="262" t="s">
        <v>519</v>
      </c>
      <c r="D254" s="277" t="s">
        <v>520</v>
      </c>
      <c r="E254" s="262" t="s">
        <v>303</v>
      </c>
      <c r="F254" s="259" t="s">
        <v>741</v>
      </c>
      <c r="G254" s="259" t="s">
        <v>136</v>
      </c>
      <c r="H254" s="259" t="s">
        <v>137</v>
      </c>
      <c r="I254" s="262" t="s">
        <v>266</v>
      </c>
      <c r="J254" s="262" t="s">
        <v>53</v>
      </c>
      <c r="K254" s="262"/>
      <c r="L254" s="262"/>
      <c r="M254" s="266" t="s">
        <v>206</v>
      </c>
      <c r="N254" s="262" t="s">
        <v>71</v>
      </c>
      <c r="O254" t="s">
        <v>739</v>
      </c>
      <c r="P254" s="262" t="s">
        <v>139</v>
      </c>
      <c r="Q254" s="262" t="s">
        <v>143</v>
      </c>
      <c r="R254" s="262" t="s">
        <v>179</v>
      </c>
      <c r="S254" s="261"/>
      <c r="T254" s="584" t="s">
        <v>145</v>
      </c>
      <c r="U254" s="261" t="s">
        <v>522</v>
      </c>
      <c r="V254" s="261" t="s">
        <v>136</v>
      </c>
      <c r="W254" s="261">
        <v>1</v>
      </c>
      <c r="X254" s="261">
        <v>6</v>
      </c>
      <c r="Y254" s="261">
        <f>Tabla_query__2[[#This Row],[Número
Semanas]]*5*8</f>
        <v>240</v>
      </c>
      <c r="Z254" s="268">
        <f>Tabla_query__2[[#This Row],[TOTAL]]/Tabla_query__2[[#This Row],[Número de Horas]]/2</f>
        <v>15.083333333333334</v>
      </c>
      <c r="AA254" s="261">
        <v>2</v>
      </c>
      <c r="AB254" s="261">
        <v>550</v>
      </c>
      <c r="AC254" s="261"/>
      <c r="AD254" s="387">
        <f>(Tabla_query__2[[#This Row],[Número
Semanas]]*Tabla_query__2[[#This Row],[Número
Personas]]*Tabla_query__2[[#This Row],[Costo
Mano Obra/semana]]+640)*Tabla_query__2[[#This Row],[Factor País]]</f>
        <v>7240</v>
      </c>
      <c r="AE254" s="261"/>
      <c r="AF254" s="322"/>
      <c r="AG254" s="322" t="s">
        <v>365</v>
      </c>
      <c r="AH254" s="535">
        <v>45327</v>
      </c>
      <c r="AI254" s="674">
        <v>45362</v>
      </c>
      <c r="AJ254" s="462">
        <f>Tabla_query__2[[#This Row],[FinDes]]-Tabla_query__2[[#This Row],[InicioDes]]</f>
        <v>35</v>
      </c>
      <c r="AK254" s="535">
        <v>45362</v>
      </c>
      <c r="AL254" s="535">
        <v>45369</v>
      </c>
      <c r="AM254" s="462">
        <f t="shared" si="13"/>
        <v>362903</v>
      </c>
      <c r="AN254" s="535">
        <v>45369</v>
      </c>
      <c r="AO254" s="674">
        <v>45383</v>
      </c>
      <c r="AP254" s="281">
        <v>45383</v>
      </c>
      <c r="AQ254" s="281">
        <f>Tabla_query__2[[#This Row],[Inicio Real]]+(Tabla_query__2[[#This Row],[Número
Semanas]]*7)</f>
        <v>45425</v>
      </c>
      <c r="AR254" s="462">
        <f>Tabla_query__2[[#This Row],[Número
Semanas]]/4</f>
        <v>1.5</v>
      </c>
      <c r="AS254" s="587">
        <f>Tabla_query__2[[#This Row],[FinDes2]]-Tabla_query__2[[#This Row],[InicioDes2]]</f>
        <v>14</v>
      </c>
      <c r="AT254" s="261" t="s">
        <v>155</v>
      </c>
    </row>
    <row r="255" spans="1:52" ht="23.25">
      <c r="A255" s="318" t="s">
        <v>130</v>
      </c>
      <c r="B255" s="262" t="s">
        <v>131</v>
      </c>
      <c r="C255" s="262" t="s">
        <v>333</v>
      </c>
      <c r="D255" s="262" t="s">
        <v>742</v>
      </c>
      <c r="E255" s="262" t="s">
        <v>164</v>
      </c>
      <c r="F255" s="259" t="s">
        <v>743</v>
      </c>
      <c r="G255" s="259" t="s">
        <v>210</v>
      </c>
      <c r="H255" s="259" t="s">
        <v>204</v>
      </c>
      <c r="I255" s="262" t="s">
        <v>266</v>
      </c>
      <c r="J255" s="262" t="s">
        <v>53</v>
      </c>
      <c r="K255" s="262"/>
      <c r="L255" s="262"/>
      <c r="M255" s="266" t="s">
        <v>206</v>
      </c>
      <c r="N255" s="262" t="s">
        <v>71</v>
      </c>
      <c r="O255" t="s">
        <v>739</v>
      </c>
      <c r="P255" s="262" t="s">
        <v>70</v>
      </c>
      <c r="Q255" s="262" t="s">
        <v>143</v>
      </c>
      <c r="R255" s="262" t="s">
        <v>144</v>
      </c>
      <c r="S255" s="261"/>
      <c r="T255" s="261" t="s">
        <v>221</v>
      </c>
      <c r="U255" s="261" t="s">
        <v>744</v>
      </c>
      <c r="V255" s="261" t="s">
        <v>136</v>
      </c>
      <c r="W255" s="261"/>
      <c r="X255" s="261">
        <v>8</v>
      </c>
      <c r="Y255" s="261">
        <f>Tabla_query__2[[#This Row],[Número
Semanas]]*5*8</f>
        <v>320</v>
      </c>
      <c r="Z255" s="268">
        <f>Tabla_query__2[[#This Row],[TOTAL]]/Tabla_query__2[[#This Row],[Número de Horas]]/2</f>
        <v>7.875</v>
      </c>
      <c r="AA255" s="261">
        <v>1</v>
      </c>
      <c r="AB255" s="261">
        <v>550</v>
      </c>
      <c r="AC255" s="261"/>
      <c r="AD255" s="268">
        <f>Tabla_query__2[[#This Row],[Número
Semanas]]*Tabla_query__2[[#This Row],[Número
Personas]]*Tabla_query__2[[#This Row],[Costo
Mano Obra/semana]] + 640</f>
        <v>5040</v>
      </c>
      <c r="AE255" s="261"/>
      <c r="AF255" s="261"/>
      <c r="AG255" s="591" t="s">
        <v>354</v>
      </c>
      <c r="AH255" s="538">
        <v>45537</v>
      </c>
      <c r="AI255" s="682">
        <v>45558</v>
      </c>
      <c r="AJ255" s="462">
        <f>Tabla_query__2[[#This Row],[FinDes]]-Tabla_query__2[[#This Row],[InicioDes]]</f>
        <v>21</v>
      </c>
      <c r="AK255" s="682">
        <v>45558</v>
      </c>
      <c r="AL255" s="682">
        <v>45565</v>
      </c>
      <c r="AM255" s="462">
        <f t="shared" si="13"/>
        <v>364471</v>
      </c>
      <c r="AN255" s="682">
        <v>45565</v>
      </c>
      <c r="AO255" s="695">
        <v>45572</v>
      </c>
      <c r="AP255" s="320">
        <v>45536</v>
      </c>
      <c r="AQ255" s="281">
        <f>Tabla_query__2[[#This Row],[Inicio Real]]+(Tabla_query__2[[#This Row],[Número
Semanas]]*7)</f>
        <v>45592</v>
      </c>
      <c r="AR255" s="462">
        <f>Tabla_query__2[[#This Row],[Número
Semanas]]/4</f>
        <v>2</v>
      </c>
      <c r="AS255" s="269">
        <f>Tabla_query__2[[#This Row],[FinDes2]]-Tabla_query__2[[#This Row],[InicioDes2]]</f>
        <v>7</v>
      </c>
      <c r="AT255" s="261"/>
    </row>
    <row r="256" spans="1:52">
      <c r="A256" s="318" t="s">
        <v>130</v>
      </c>
      <c r="B256" s="262" t="s">
        <v>131</v>
      </c>
      <c r="C256" s="262" t="s">
        <v>745</v>
      </c>
      <c r="D256" s="262" t="s">
        <v>746</v>
      </c>
      <c r="E256" s="262" t="s">
        <v>164</v>
      </c>
      <c r="F256" s="259" t="s">
        <v>747</v>
      </c>
      <c r="G256" s="259" t="s">
        <v>210</v>
      </c>
      <c r="H256" s="259" t="s">
        <v>204</v>
      </c>
      <c r="I256" s="262" t="s">
        <v>266</v>
      </c>
      <c r="J256" s="262" t="s">
        <v>53</v>
      </c>
      <c r="K256" s="262"/>
      <c r="L256" s="262"/>
      <c r="M256" s="266" t="s">
        <v>206</v>
      </c>
      <c r="N256" s="262" t="s">
        <v>71</v>
      </c>
      <c r="O256" t="s">
        <v>739</v>
      </c>
      <c r="P256" s="262" t="s">
        <v>70</v>
      </c>
      <c r="Q256" s="262" t="s">
        <v>143</v>
      </c>
      <c r="R256" s="262" t="s">
        <v>144</v>
      </c>
      <c r="S256" s="261"/>
      <c r="T256" s="261" t="s">
        <v>221</v>
      </c>
      <c r="U256" s="261" t="s">
        <v>748</v>
      </c>
      <c r="V256" s="261" t="s">
        <v>136</v>
      </c>
      <c r="W256" s="261"/>
      <c r="X256" s="261">
        <v>8</v>
      </c>
      <c r="Y256" s="261">
        <f>Tabla_query__2[[#This Row],[Número
Semanas]]*5*8</f>
        <v>320</v>
      </c>
      <c r="Z256" s="268">
        <f>Tabla_query__2[[#This Row],[TOTAL]]/Tabla_query__2[[#This Row],[Número de Horas]]/2</f>
        <v>7.875</v>
      </c>
      <c r="AA256" s="261">
        <v>1</v>
      </c>
      <c r="AB256" s="261">
        <v>550</v>
      </c>
      <c r="AC256" s="261"/>
      <c r="AD256" s="268">
        <f>Tabla_query__2[[#This Row],[Número
Semanas]]*Tabla_query__2[[#This Row],[Número
Personas]]*Tabla_query__2[[#This Row],[Costo
Mano Obra/semana]] + 640</f>
        <v>5040</v>
      </c>
      <c r="AE256" s="261"/>
      <c r="AF256" s="261"/>
      <c r="AG256" s="591" t="s">
        <v>147</v>
      </c>
      <c r="AH256" s="538">
        <v>45516</v>
      </c>
      <c r="AI256" s="682">
        <v>45558</v>
      </c>
      <c r="AJ256" s="462">
        <f>Tabla_query__2[[#This Row],[FinDes]]-Tabla_query__2[[#This Row],[InicioDes]]</f>
        <v>42</v>
      </c>
      <c r="AK256" s="682">
        <v>45558</v>
      </c>
      <c r="AL256" s="682">
        <v>45565</v>
      </c>
      <c r="AM256" s="462">
        <f t="shared" si="13"/>
        <v>364471</v>
      </c>
      <c r="AN256" s="682">
        <v>45565</v>
      </c>
      <c r="AO256" s="695">
        <v>45572</v>
      </c>
      <c r="AP256" s="456">
        <v>45505</v>
      </c>
      <c r="AQ256" s="281">
        <f>Tabla_query__2[[#This Row],[Inicio Real]]+(Tabla_query__2[[#This Row],[Número
Semanas]]*7)</f>
        <v>45561</v>
      </c>
      <c r="AR256" s="462">
        <f>Tabla_query__2[[#This Row],[Número
Semanas]]/4</f>
        <v>2</v>
      </c>
      <c r="AS256" s="269">
        <f>Tabla_query__2[[#This Row],[FinDes2]]-Tabla_query__2[[#This Row],[InicioDes2]]</f>
        <v>7</v>
      </c>
      <c r="AT256" s="261"/>
    </row>
    <row r="257" spans="1:52" ht="23.25">
      <c r="A257" s="318" t="s">
        <v>130</v>
      </c>
      <c r="B257" s="262" t="s">
        <v>131</v>
      </c>
      <c r="C257" s="262" t="s">
        <v>333</v>
      </c>
      <c r="D257" s="266" t="s">
        <v>749</v>
      </c>
      <c r="E257" s="277" t="s">
        <v>164</v>
      </c>
      <c r="F257" s="450" t="s">
        <v>747</v>
      </c>
      <c r="G257" s="259" t="s">
        <v>210</v>
      </c>
      <c r="H257" s="259" t="s">
        <v>204</v>
      </c>
      <c r="I257" s="262" t="s">
        <v>266</v>
      </c>
      <c r="J257" s="262" t="s">
        <v>53</v>
      </c>
      <c r="K257" s="262"/>
      <c r="L257" s="262"/>
      <c r="M257" s="266" t="s">
        <v>206</v>
      </c>
      <c r="N257" s="262" t="s">
        <v>71</v>
      </c>
      <c r="O257" t="s">
        <v>739</v>
      </c>
      <c r="P257" s="262" t="s">
        <v>70</v>
      </c>
      <c r="Q257" s="262" t="s">
        <v>143</v>
      </c>
      <c r="R257" s="262" t="s">
        <v>144</v>
      </c>
      <c r="S257" s="261"/>
      <c r="T257" s="261" t="s">
        <v>221</v>
      </c>
      <c r="U257" s="261" t="s">
        <v>750</v>
      </c>
      <c r="V257" s="261" t="s">
        <v>136</v>
      </c>
      <c r="W257" s="261"/>
      <c r="X257" s="261">
        <v>6</v>
      </c>
      <c r="Y257" s="261">
        <f>Tabla_query__2[[#This Row],[Número
Semanas]]*5*8</f>
        <v>240</v>
      </c>
      <c r="Z257" s="268">
        <f>Tabla_query__2[[#This Row],[TOTAL]]/Tabla_query__2[[#This Row],[Número de Horas]]/2</f>
        <v>8.2083333333333339</v>
      </c>
      <c r="AA257" s="261">
        <v>1</v>
      </c>
      <c r="AB257" s="261">
        <v>550</v>
      </c>
      <c r="AC257" s="261"/>
      <c r="AD257" s="268">
        <f>Tabla_query__2[[#This Row],[Número
Semanas]]*Tabla_query__2[[#This Row],[Número
Personas]]*Tabla_query__2[[#This Row],[Costo
Mano Obra/semana]] + 640</f>
        <v>3940</v>
      </c>
      <c r="AE257" s="261"/>
      <c r="AF257" s="261"/>
      <c r="AG257" s="591" t="s">
        <v>354</v>
      </c>
      <c r="AH257" s="463">
        <v>45537</v>
      </c>
      <c r="AI257" s="682">
        <v>45551</v>
      </c>
      <c r="AJ257" s="462">
        <f>Tabla_query__2[[#This Row],[FinDes]]-Tabla_query__2[[#This Row],[InicioDes]]</f>
        <v>14</v>
      </c>
      <c r="AK257" s="682">
        <v>45551</v>
      </c>
      <c r="AL257" s="682">
        <v>45558</v>
      </c>
      <c r="AM257" s="462">
        <f t="shared" si="13"/>
        <v>364415</v>
      </c>
      <c r="AN257" s="682">
        <v>45558</v>
      </c>
      <c r="AO257" s="456">
        <v>45565</v>
      </c>
      <c r="AP257" s="320">
        <v>45536</v>
      </c>
      <c r="AQ257" s="281">
        <f>Tabla_query__2[[#This Row],[Inicio Real]]+(Tabla_query__2[[#This Row],[Número
Semanas]]*7)</f>
        <v>45578</v>
      </c>
      <c r="AR257" s="462">
        <f>Tabla_query__2[[#This Row],[Número
Semanas]]/4</f>
        <v>1.5</v>
      </c>
      <c r="AS257" s="269">
        <f>Tabla_query__2[[#This Row],[FinDes2]]-Tabla_query__2[[#This Row],[InicioDes2]]</f>
        <v>7</v>
      </c>
      <c r="AT257" s="261"/>
      <c r="AU257" s="293"/>
    </row>
    <row r="258" spans="1:52" ht="23.25">
      <c r="A258" s="318" t="s">
        <v>251</v>
      </c>
      <c r="B258" s="262" t="s">
        <v>131</v>
      </c>
      <c r="C258" s="262" t="s">
        <v>149</v>
      </c>
      <c r="D258" s="277" t="s">
        <v>150</v>
      </c>
      <c r="E258" s="277" t="s">
        <v>164</v>
      </c>
      <c r="F258" s="450" t="s">
        <v>751</v>
      </c>
      <c r="G258" s="259" t="s">
        <v>146</v>
      </c>
      <c r="H258" s="259" t="s">
        <v>137</v>
      </c>
      <c r="I258" s="262" t="s">
        <v>138</v>
      </c>
      <c r="J258" s="262" t="s">
        <v>139</v>
      </c>
      <c r="K258" s="262"/>
      <c r="L258" s="262"/>
      <c r="M258" s="262" t="s">
        <v>328</v>
      </c>
      <c r="N258" s="262" t="s">
        <v>752</v>
      </c>
      <c r="O258" t="s">
        <v>753</v>
      </c>
      <c r="P258" s="262" t="s">
        <v>178</v>
      </c>
      <c r="Q258" s="262" t="s">
        <v>143</v>
      </c>
      <c r="R258" s="262" t="s">
        <v>144</v>
      </c>
      <c r="S258" s="261"/>
      <c r="T258" s="584" t="s">
        <v>152</v>
      </c>
      <c r="U258" s="261"/>
      <c r="V258" s="261" t="s">
        <v>146</v>
      </c>
      <c r="W258" s="261">
        <v>1</v>
      </c>
      <c r="X258" s="261">
        <v>4</v>
      </c>
      <c r="Y258" s="261">
        <f>Tabla_query__2[[#This Row],[Número
Semanas]]*5*8</f>
        <v>160</v>
      </c>
      <c r="Z258" s="268">
        <f>Tabla_query__2[[#This Row],[TOTAL]]/Tabla_query__2[[#This Row],[Número de Horas]]/2</f>
        <v>7.8125</v>
      </c>
      <c r="AA258" s="261">
        <v>1</v>
      </c>
      <c r="AB258" s="261">
        <v>625</v>
      </c>
      <c r="AC258" s="261"/>
      <c r="AD258" s="388">
        <f>Tabla_query__2[[#This Row],[Número
Semanas]]*Tabla_query__2[[#This Row],[Número
Personas]]*Tabla_query__2[[#This Row],[Costo
Mano Obra/semana]]</f>
        <v>2500</v>
      </c>
      <c r="AE258" s="261"/>
      <c r="AF258" s="410"/>
      <c r="AG258" s="261" t="s">
        <v>154</v>
      </c>
      <c r="AH258" s="528">
        <v>45277</v>
      </c>
      <c r="AI258" s="528">
        <v>45324</v>
      </c>
      <c r="AJ258" s="281" t="e">
        <f>#REF!</f>
        <v>#REF!</v>
      </c>
      <c r="AK258" s="528">
        <v>45326</v>
      </c>
      <c r="AL258" s="528">
        <v>45331</v>
      </c>
      <c r="AM258" s="281">
        <f t="shared" si="13"/>
        <v>362613</v>
      </c>
      <c r="AN258" s="528">
        <v>45333</v>
      </c>
      <c r="AO258" s="694">
        <v>45337</v>
      </c>
      <c r="AP258" s="281">
        <v>45444</v>
      </c>
      <c r="AQ258" s="281">
        <v>45486</v>
      </c>
      <c r="AR258" s="462">
        <f>Tabla_query__2[[#This Row],[Número
Semanas]]/4</f>
        <v>1</v>
      </c>
      <c r="AS258" s="587">
        <f>Tabla_query__2[[#This Row],[FinDes2]]-Tabla_query__2[[#This Row],[InicioDes2]]</f>
        <v>4</v>
      </c>
      <c r="AT258" s="261"/>
    </row>
    <row r="259" spans="1:52">
      <c r="A259" s="318" t="s">
        <v>130</v>
      </c>
      <c r="B259" s="262" t="s">
        <v>131</v>
      </c>
      <c r="C259" s="262" t="s">
        <v>170</v>
      </c>
      <c r="D259" s="277" t="s">
        <v>506</v>
      </c>
      <c r="E259" s="262" t="s">
        <v>172</v>
      </c>
      <c r="F259" s="262" t="s">
        <v>507</v>
      </c>
      <c r="G259" s="262" t="s">
        <v>136</v>
      </c>
      <c r="H259" s="262" t="s">
        <v>137</v>
      </c>
      <c r="I259" s="262" t="s">
        <v>508</v>
      </c>
      <c r="J259" s="262" t="s">
        <v>139</v>
      </c>
      <c r="K259" s="262"/>
      <c r="L259" s="262"/>
      <c r="M259" s="266" t="s">
        <v>328</v>
      </c>
      <c r="N259" s="262" t="s">
        <v>752</v>
      </c>
      <c r="O259" t="s">
        <v>753</v>
      </c>
      <c r="P259" s="262" t="s">
        <v>178</v>
      </c>
      <c r="Q259" s="262" t="s">
        <v>143</v>
      </c>
      <c r="R259" s="262" t="s">
        <v>144</v>
      </c>
      <c r="S259" s="261"/>
      <c r="T259" s="584" t="s">
        <v>145</v>
      </c>
      <c r="U259" s="261" t="s">
        <v>509</v>
      </c>
      <c r="V259" s="261" t="s">
        <v>146</v>
      </c>
      <c r="W259" s="261">
        <v>0.27</v>
      </c>
      <c r="X259" s="261">
        <v>1</v>
      </c>
      <c r="Y259" s="261">
        <f>Tabla_query__2[[#This Row],[Número
Semanas]]*5*8</f>
        <v>40</v>
      </c>
      <c r="Z259" s="268">
        <f>Tabla_query__2[[#This Row],[TOTAL]]/Tabla_query__2[[#This Row],[Número de Horas]]/2</f>
        <v>344.47950000000003</v>
      </c>
      <c r="AA259" s="261">
        <v>1</v>
      </c>
      <c r="AB259" s="261">
        <v>101428</v>
      </c>
      <c r="AC259" s="261"/>
      <c r="AD259" s="387">
        <f>(Tabla_query__2[[#This Row],[Número
Semanas]]*Tabla_query__2[[#This Row],[Número
Personas]]*Tabla_query__2[[#This Row],[Costo
Mano Obra/semana]]+640)*Tabla_query__2[[#This Row],[Factor País]]</f>
        <v>27558.36</v>
      </c>
      <c r="AE259" s="261"/>
      <c r="AF259" s="261"/>
      <c r="AG259" s="547" t="s">
        <v>191</v>
      </c>
      <c r="AH259" s="528">
        <v>45432</v>
      </c>
      <c r="AI259" s="528"/>
      <c r="AJ259" s="281">
        <f>Tabla_query__2[[#This Row],[FinDes]]-Tabla_query__2[[#This Row],[InicioDes]]</f>
        <v>-45432</v>
      </c>
      <c r="AK259" s="528"/>
      <c r="AL259" s="528"/>
      <c r="AM259" s="281">
        <f t="shared" si="13"/>
        <v>0</v>
      </c>
      <c r="AN259" s="528"/>
      <c r="AO259" s="694">
        <v>45530</v>
      </c>
      <c r="AP259" s="281">
        <v>45432</v>
      </c>
      <c r="AQ259" s="281">
        <f>Tabla_query__2[[#This Row],[Inicio Real]]+(14*7)</f>
        <v>45530</v>
      </c>
      <c r="AR259" s="462">
        <f>14/4</f>
        <v>3.5</v>
      </c>
      <c r="AS259" s="587">
        <f>Tabla_query__2[[#This Row],[FinDes2]]-Tabla_query__2[[#This Row],[InicioDes2]]</f>
        <v>45530</v>
      </c>
      <c r="AT259" s="261" t="s">
        <v>155</v>
      </c>
    </row>
    <row r="260" spans="1:52" ht="23.25">
      <c r="A260" s="318" t="s">
        <v>130</v>
      </c>
      <c r="B260" s="262" t="s">
        <v>131</v>
      </c>
      <c r="C260" s="262" t="s">
        <v>192</v>
      </c>
      <c r="D260" s="262" t="s">
        <v>171</v>
      </c>
      <c r="E260" s="262" t="s">
        <v>164</v>
      </c>
      <c r="F260" s="259" t="s">
        <v>754</v>
      </c>
      <c r="G260" s="259" t="s">
        <v>146</v>
      </c>
      <c r="H260" s="259" t="s">
        <v>137</v>
      </c>
      <c r="I260" s="262" t="s">
        <v>138</v>
      </c>
      <c r="J260" s="262" t="s">
        <v>139</v>
      </c>
      <c r="K260" s="262"/>
      <c r="L260" s="262"/>
      <c r="M260" s="266" t="s">
        <v>328</v>
      </c>
      <c r="N260" s="262" t="s">
        <v>752</v>
      </c>
      <c r="O260" t="s">
        <v>753</v>
      </c>
      <c r="P260" s="262" t="s">
        <v>139</v>
      </c>
      <c r="Q260" s="262" t="s">
        <v>143</v>
      </c>
      <c r="R260" s="262" t="s">
        <v>179</v>
      </c>
      <c r="S260" s="261"/>
      <c r="T260" s="584" t="s">
        <v>145</v>
      </c>
      <c r="U260" s="261"/>
      <c r="V260" s="261" t="s">
        <v>146</v>
      </c>
      <c r="W260" s="261">
        <v>1</v>
      </c>
      <c r="X260" s="261">
        <v>2</v>
      </c>
      <c r="Y260" s="261">
        <f>Tabla_query__2[[#This Row],[Número
Semanas]]*5*8</f>
        <v>80</v>
      </c>
      <c r="Z260" s="268">
        <f>Tabla_query__2[[#This Row],[TOTAL]]/Tabla_query__2[[#This Row],[Número de Horas]]/2</f>
        <v>10.875</v>
      </c>
      <c r="AA260" s="261">
        <v>1</v>
      </c>
      <c r="AB260" s="261">
        <v>550</v>
      </c>
      <c r="AC260" s="261"/>
      <c r="AD260" s="387">
        <f>(Tabla_query__2[[#This Row],[Número
Semanas]]*Tabla_query__2[[#This Row],[Número
Personas]]*Tabla_query__2[[#This Row],[Costo
Mano Obra/semana]]+640)*Tabla_query__2[[#This Row],[Factor País]]</f>
        <v>1740</v>
      </c>
      <c r="AE260" s="261"/>
      <c r="AF260" s="261"/>
      <c r="AG260" s="291" t="s">
        <v>154</v>
      </c>
      <c r="AH260" s="528">
        <v>45425</v>
      </c>
      <c r="AI260" s="528">
        <v>45425</v>
      </c>
      <c r="AJ260" s="281">
        <f>Tabla_query__2[[#This Row],[FinDes]]-Tabla_query__2[[#This Row],[InicioDes]]</f>
        <v>0</v>
      </c>
      <c r="AK260" s="528">
        <v>45425</v>
      </c>
      <c r="AL260" s="528">
        <v>45432</v>
      </c>
      <c r="AM260" s="281">
        <f t="shared" si="13"/>
        <v>363407</v>
      </c>
      <c r="AN260" s="528">
        <v>45432</v>
      </c>
      <c r="AO260" s="546">
        <v>45439</v>
      </c>
      <c r="AP260" s="281">
        <v>45413</v>
      </c>
      <c r="AQ260" s="281">
        <f>Tabla_query__2[[#This Row],[Inicio Real]]+(Tabla_query__2[[#This Row],[Número
Semanas]]*7)</f>
        <v>45427</v>
      </c>
      <c r="AR260" s="462">
        <f>Tabla_query__2[[#This Row],[Número
Semanas]]/4</f>
        <v>0.5</v>
      </c>
      <c r="AS260" s="587">
        <f>Tabla_query__2[[#This Row],[FinDes2]]-Tabla_query__2[[#This Row],[InicioDes2]]</f>
        <v>7</v>
      </c>
      <c r="AT260" s="261" t="s">
        <v>155</v>
      </c>
    </row>
    <row r="261" spans="1:52" ht="34.9">
      <c r="A261" s="318" t="s">
        <v>130</v>
      </c>
      <c r="B261" s="262" t="s">
        <v>131</v>
      </c>
      <c r="C261" s="262" t="s">
        <v>162</v>
      </c>
      <c r="D261" s="262" t="s">
        <v>183</v>
      </c>
      <c r="E261" s="262" t="s">
        <v>164</v>
      </c>
      <c r="F261" s="259" t="s">
        <v>184</v>
      </c>
      <c r="G261" s="259" t="s">
        <v>136</v>
      </c>
      <c r="H261" s="259" t="s">
        <v>137</v>
      </c>
      <c r="I261" s="262" t="s">
        <v>138</v>
      </c>
      <c r="J261" s="262" t="s">
        <v>139</v>
      </c>
      <c r="K261" s="262"/>
      <c r="L261" s="262"/>
      <c r="M261" s="266" t="s">
        <v>328</v>
      </c>
      <c r="N261" s="262" t="s">
        <v>752</v>
      </c>
      <c r="O261" t="s">
        <v>753</v>
      </c>
      <c r="P261" s="262" t="s">
        <v>139</v>
      </c>
      <c r="Q261" s="262" t="s">
        <v>143</v>
      </c>
      <c r="R261" s="262" t="s">
        <v>197</v>
      </c>
      <c r="S261" s="261" t="s">
        <v>152</v>
      </c>
      <c r="T261" s="584" t="s">
        <v>145</v>
      </c>
      <c r="U261" s="261" t="s">
        <v>185</v>
      </c>
      <c r="V261" s="261" t="s">
        <v>146</v>
      </c>
      <c r="W261" s="261">
        <v>1</v>
      </c>
      <c r="X261" s="261">
        <v>2</v>
      </c>
      <c r="Y261" s="261">
        <f>Tabla_query__2[[#This Row],[Número
Semanas]]*5*8</f>
        <v>80</v>
      </c>
      <c r="Z261" s="268">
        <f>Tabla_query__2[[#This Row],[TOTAL]]/Tabla_query__2[[#This Row],[Número de Horas]]/2</f>
        <v>7.875</v>
      </c>
      <c r="AA261" s="261">
        <v>1</v>
      </c>
      <c r="AB261" s="261">
        <v>550</v>
      </c>
      <c r="AC261" s="261"/>
      <c r="AD261" s="387">
        <v>1260</v>
      </c>
      <c r="AE261" s="261"/>
      <c r="AF261" s="261"/>
      <c r="AG261" s="547" t="s">
        <v>211</v>
      </c>
      <c r="AH261" s="528">
        <v>45355</v>
      </c>
      <c r="AI261" s="528">
        <v>45383</v>
      </c>
      <c r="AJ261" s="281">
        <f>Tabla_query__2[[#This Row],[FinDes]]-Tabla_query__2[[#This Row],[InicioDes]]</f>
        <v>28</v>
      </c>
      <c r="AK261" s="528">
        <v>45383</v>
      </c>
      <c r="AL261" s="528">
        <v>45390</v>
      </c>
      <c r="AM261" s="281">
        <f t="shared" si="13"/>
        <v>363071</v>
      </c>
      <c r="AN261" s="528">
        <v>45390</v>
      </c>
      <c r="AO261" s="694">
        <v>45443</v>
      </c>
      <c r="AP261" s="281">
        <v>45383</v>
      </c>
      <c r="AQ261" s="281">
        <f>Tabla_query__2[[#This Row],[Inicio Real]]+(Tabla_query__2[[#This Row],[Número
Semanas]]*7)</f>
        <v>45397</v>
      </c>
      <c r="AR261" s="462">
        <f>Tabla_query__2[[#This Row],[Número
Semanas]]/4</f>
        <v>0.5</v>
      </c>
      <c r="AS261" s="587">
        <f>Tabla_query__2[[#This Row],[FinDes2]]-Tabla_query__2[[#This Row],[InicioDes2]]</f>
        <v>53</v>
      </c>
      <c r="AT261" s="261" t="s">
        <v>155</v>
      </c>
      <c r="AV261" s="446" t="s">
        <v>148</v>
      </c>
    </row>
    <row r="262" spans="1:52" ht="19.5" customHeight="1">
      <c r="A262" s="318" t="s">
        <v>130</v>
      </c>
      <c r="B262" s="262" t="s">
        <v>131</v>
      </c>
      <c r="C262" s="262" t="s">
        <v>755</v>
      </c>
      <c r="D262" s="262" t="s">
        <v>756</v>
      </c>
      <c r="E262" s="262" t="s">
        <v>164</v>
      </c>
      <c r="F262" s="259" t="s">
        <v>757</v>
      </c>
      <c r="G262" s="259" t="s">
        <v>210</v>
      </c>
      <c r="H262" s="259" t="s">
        <v>204</v>
      </c>
      <c r="I262" s="262" t="s">
        <v>266</v>
      </c>
      <c r="J262" s="262" t="s">
        <v>139</v>
      </c>
      <c r="K262" s="262"/>
      <c r="L262" s="262"/>
      <c r="M262" s="266" t="s">
        <v>328</v>
      </c>
      <c r="N262" s="262" t="s">
        <v>752</v>
      </c>
      <c r="O262" t="s">
        <v>753</v>
      </c>
      <c r="P262" s="262" t="s">
        <v>178</v>
      </c>
      <c r="Q262" s="262" t="s">
        <v>143</v>
      </c>
      <c r="R262" s="262" t="s">
        <v>144</v>
      </c>
      <c r="S262" s="261"/>
      <c r="T262" s="584" t="s">
        <v>152</v>
      </c>
      <c r="U262" s="261" t="s">
        <v>758</v>
      </c>
      <c r="V262" s="261" t="s">
        <v>146</v>
      </c>
      <c r="W262" s="261"/>
      <c r="X262" s="261">
        <v>2</v>
      </c>
      <c r="Y262" s="261">
        <f>Tabla_query__2[[#This Row],[Número
Semanas]]*5*8</f>
        <v>80</v>
      </c>
      <c r="Z262" s="268">
        <f>Tabla_query__2[[#This Row],[TOTAL]]/Tabla_query__2[[#This Row],[Número de Horas]]/2</f>
        <v>10.875</v>
      </c>
      <c r="AA262" s="261">
        <v>1</v>
      </c>
      <c r="AB262" s="261">
        <v>550</v>
      </c>
      <c r="AC262" s="261"/>
      <c r="AD262" s="268">
        <f>Tabla_query__2[[#This Row],[Número
Semanas]]*Tabla_query__2[[#This Row],[Número
Personas]]*Tabla_query__2[[#This Row],[Costo
Mano Obra/semana]] + 640</f>
        <v>1740</v>
      </c>
      <c r="AE262" s="261"/>
      <c r="AF262" s="261"/>
      <c r="AG262" s="591" t="s">
        <v>154</v>
      </c>
      <c r="AH262" s="458">
        <v>45355</v>
      </c>
      <c r="AI262" s="281">
        <v>45362</v>
      </c>
      <c r="AJ262" s="281">
        <f>Tabla_query__2[[#This Row],[FinDes]]-Tabla_query__2[[#This Row],[InicioDes]]</f>
        <v>7</v>
      </c>
      <c r="AK262" s="281">
        <v>45362</v>
      </c>
      <c r="AL262" s="281">
        <v>45369</v>
      </c>
      <c r="AM262" s="281">
        <f t="shared" ref="AM262:AM293" si="14">AL262+ ((AK262*7))</f>
        <v>362903</v>
      </c>
      <c r="AN262" s="458">
        <v>45369</v>
      </c>
      <c r="AO262" s="458">
        <v>45369</v>
      </c>
      <c r="AP262" s="698">
        <v>45444</v>
      </c>
      <c r="AQ262" s="698">
        <f>Tabla_query__2[[#This Row],[Inicio Real]]+(Tabla_query__2[[#This Row],[Número
Semanas]]*7)</f>
        <v>45458</v>
      </c>
      <c r="AR262" s="462">
        <f>Tabla_query__2[[#This Row],[Número
Semanas]]/4</f>
        <v>0.5</v>
      </c>
      <c r="AS262" s="587">
        <f>Tabla_query__2[[#This Row],[FinDes2]]-Tabla_query__2[[#This Row],[InicioDes2]]</f>
        <v>0</v>
      </c>
      <c r="AT262" s="261"/>
    </row>
    <row r="263" spans="1:52" ht="19.5" customHeight="1">
      <c r="A263" s="318" t="s">
        <v>130</v>
      </c>
      <c r="B263" s="262" t="s">
        <v>131</v>
      </c>
      <c r="C263" s="262" t="s">
        <v>519</v>
      </c>
      <c r="D263" s="262" t="s">
        <v>520</v>
      </c>
      <c r="E263" s="262" t="s">
        <v>310</v>
      </c>
      <c r="F263" s="259" t="s">
        <v>759</v>
      </c>
      <c r="G263" s="259" t="s">
        <v>136</v>
      </c>
      <c r="H263" s="259" t="s">
        <v>137</v>
      </c>
      <c r="I263" s="262" t="s">
        <v>266</v>
      </c>
      <c r="J263" s="262" t="s">
        <v>139</v>
      </c>
      <c r="K263" s="262"/>
      <c r="L263" s="262"/>
      <c r="M263" s="266" t="s">
        <v>328</v>
      </c>
      <c r="N263" s="262" t="s">
        <v>752</v>
      </c>
      <c r="O263" t="s">
        <v>753</v>
      </c>
      <c r="P263" s="262" t="s">
        <v>139</v>
      </c>
      <c r="Q263" s="262" t="s">
        <v>143</v>
      </c>
      <c r="R263" s="262" t="s">
        <v>179</v>
      </c>
      <c r="S263" s="261"/>
      <c r="T263" s="584" t="s">
        <v>145</v>
      </c>
      <c r="U263" s="261" t="s">
        <v>522</v>
      </c>
      <c r="V263" s="261" t="s">
        <v>136</v>
      </c>
      <c r="W263" s="261">
        <v>1</v>
      </c>
      <c r="X263" s="261">
        <v>1</v>
      </c>
      <c r="Y263" s="261">
        <f>Tabla_query__2[[#This Row],[Número
Semanas]]*5*8</f>
        <v>40</v>
      </c>
      <c r="Z263" s="268">
        <f>Tabla_query__2[[#This Row],[TOTAL]]/Tabla_query__2[[#This Row],[Número de Horas]]/2</f>
        <v>14.875</v>
      </c>
      <c r="AA263" s="261">
        <v>1</v>
      </c>
      <c r="AB263" s="261">
        <v>550</v>
      </c>
      <c r="AC263" s="261"/>
      <c r="AD263" s="488">
        <f>(Tabla_query__2[[#This Row],[Número
Semanas]]*Tabla_query__2[[#This Row],[Número
Personas]]*Tabla_query__2[[#This Row],[Costo
Mano Obra/semana]]+640)*Tabla_query__2[[#This Row],[Factor País]]</f>
        <v>1190</v>
      </c>
      <c r="AE263" s="261"/>
      <c r="AF263" s="322"/>
      <c r="AG263" s="547" t="s">
        <v>211</v>
      </c>
      <c r="AH263" s="464">
        <v>45327</v>
      </c>
      <c r="AI263" s="465">
        <v>45355</v>
      </c>
      <c r="AJ263" s="462">
        <f>Tabla_query__2[[#This Row],[FinDes]]-Tabla_query__2[[#This Row],[InicioDes]]</f>
        <v>28</v>
      </c>
      <c r="AK263" s="465">
        <v>45362</v>
      </c>
      <c r="AL263" s="465">
        <v>45362</v>
      </c>
      <c r="AM263" s="462">
        <f t="shared" si="14"/>
        <v>362896</v>
      </c>
      <c r="AN263" s="465">
        <v>45369</v>
      </c>
      <c r="AO263" s="464">
        <v>45383</v>
      </c>
      <c r="AP263" s="281">
        <v>45383</v>
      </c>
      <c r="AQ263" s="281">
        <f>Tabla_query__2[[#This Row],[Inicio Real]]+(Tabla_query__2[[#This Row],[Número
Semanas]]*7)</f>
        <v>45390</v>
      </c>
      <c r="AR263" s="462">
        <f>Tabla_query__2[[#This Row],[Número
Semanas]]/4</f>
        <v>0.25</v>
      </c>
      <c r="AS263" s="587">
        <f>Tabla_query__2[[#This Row],[FinDes2]]-Tabla_query__2[[#This Row],[InicioDes2]]</f>
        <v>14</v>
      </c>
      <c r="AT263" s="261" t="s">
        <v>155</v>
      </c>
      <c r="AV263" s="437"/>
    </row>
    <row r="264" spans="1:52">
      <c r="A264" s="318" t="s">
        <v>130</v>
      </c>
      <c r="B264" s="262" t="s">
        <v>218</v>
      </c>
      <c r="C264" s="262"/>
      <c r="D264" s="262" t="s">
        <v>163</v>
      </c>
      <c r="E264" s="262" t="s">
        <v>760</v>
      </c>
      <c r="F264" s="262" t="s">
        <v>761</v>
      </c>
      <c r="G264" s="259"/>
      <c r="H264" s="259" t="s">
        <v>137</v>
      </c>
      <c r="I264" s="262" t="s">
        <v>266</v>
      </c>
      <c r="J264" s="262" t="s">
        <v>266</v>
      </c>
      <c r="K264" s="262"/>
      <c r="L264" s="262"/>
      <c r="M264" s="262" t="s">
        <v>329</v>
      </c>
      <c r="N264" s="262" t="s">
        <v>752</v>
      </c>
      <c r="O264" t="s">
        <v>753</v>
      </c>
      <c r="P264" s="262" t="s">
        <v>762</v>
      </c>
      <c r="Q264" s="262" t="s">
        <v>143</v>
      </c>
      <c r="R264" s="262" t="s">
        <v>179</v>
      </c>
      <c r="S264" s="261"/>
      <c r="T264" s="261"/>
      <c r="U264" s="261"/>
      <c r="V264" s="261"/>
      <c r="W264" s="261"/>
      <c r="X264" s="261"/>
      <c r="Y264" s="261">
        <f>Tabla_query__2[[#This Row],[Número
Semanas]]*5*8</f>
        <v>0</v>
      </c>
      <c r="Z264" s="268" t="e">
        <f>Tabla_query__2[[#This Row],[TOTAL]]/Tabla_query__2[[#This Row],[Número de Horas]]/2</f>
        <v>#DIV/0!</v>
      </c>
      <c r="AA264" s="261"/>
      <c r="AB264" s="261"/>
      <c r="AC264" s="261"/>
      <c r="AD264" s="388">
        <f>Tabla_query__2[[#This Row],[Número
Semanas]]*Tabla_query__2[[#This Row],[Número
Personas]]*Tabla_query__2[[#This Row],[Costo
Mano Obra/semana]] + 640</f>
        <v>640</v>
      </c>
      <c r="AE264" s="261"/>
      <c r="AF264" s="261"/>
      <c r="AG264" s="261"/>
      <c r="AH264" s="282"/>
      <c r="AI264" s="540"/>
      <c r="AJ264" s="282" t="e">
        <f>#REF!</f>
        <v>#REF!</v>
      </c>
      <c r="AK264" s="540"/>
      <c r="AL264" s="540"/>
      <c r="AM264" s="282">
        <f t="shared" si="14"/>
        <v>0</v>
      </c>
      <c r="AN264" s="540"/>
      <c r="AO264" s="540"/>
      <c r="AP264" s="384"/>
      <c r="AQ264" s="384"/>
      <c r="AR264" s="462">
        <f>Tabla_query__2[[#This Row],[Número
Semanas]]/4</f>
        <v>0</v>
      </c>
      <c r="AS264" s="269">
        <f>Tabla_query__2[[#This Row],[FinDes2]]-Tabla_query__2[[#This Row],[InicioDes2]]</f>
        <v>0</v>
      </c>
      <c r="AT264" s="261"/>
    </row>
    <row r="265" spans="1:52">
      <c r="A265" s="318" t="s">
        <v>130</v>
      </c>
      <c r="B265" s="262" t="s">
        <v>218</v>
      </c>
      <c r="C265" s="262"/>
      <c r="D265" s="277" t="s">
        <v>163</v>
      </c>
      <c r="E265" s="262"/>
      <c r="F265" s="262" t="s">
        <v>761</v>
      </c>
      <c r="G265" s="262"/>
      <c r="H265" s="259" t="s">
        <v>137</v>
      </c>
      <c r="I265" s="262" t="s">
        <v>266</v>
      </c>
      <c r="J265" s="262" t="s">
        <v>266</v>
      </c>
      <c r="K265" s="262"/>
      <c r="L265" s="262"/>
      <c r="M265" s="262" t="s">
        <v>328</v>
      </c>
      <c r="N265" s="262" t="s">
        <v>752</v>
      </c>
      <c r="O265" t="s">
        <v>753</v>
      </c>
      <c r="P265" s="262" t="s">
        <v>763</v>
      </c>
      <c r="Q265" s="262" t="s">
        <v>143</v>
      </c>
      <c r="R265" s="262" t="s">
        <v>179</v>
      </c>
      <c r="S265" s="262"/>
      <c r="T265" s="261" t="s">
        <v>145</v>
      </c>
      <c r="U265" s="261"/>
      <c r="V265" s="261" t="s">
        <v>136</v>
      </c>
      <c r="W265" s="261"/>
      <c r="X265" s="261">
        <v>3</v>
      </c>
      <c r="Y265" s="261">
        <f>Tabla_query__2[[#This Row],[Número
Semanas]]*5*8</f>
        <v>120</v>
      </c>
      <c r="Z265" s="268">
        <f>Tabla_query__2[[#This Row],[TOTAL]]/Tabla_query__2[[#This Row],[Número de Horas]]/2</f>
        <v>13.916666666666666</v>
      </c>
      <c r="AA265" s="261">
        <v>2</v>
      </c>
      <c r="AB265" s="261">
        <v>450</v>
      </c>
      <c r="AC265" s="261"/>
      <c r="AD265" s="268">
        <f>Tabla_query__2[[#This Row],[Número
Semanas]]*Tabla_query__2[[#This Row],[Número
Personas]]*Tabla_query__2[[#This Row],[Costo
Mano Obra/semana]] + 640</f>
        <v>3340</v>
      </c>
      <c r="AE265" s="261"/>
      <c r="AF265" s="261"/>
      <c r="AG265" s="261"/>
      <c r="AH265" s="544">
        <v>45365</v>
      </c>
      <c r="AI265" s="539"/>
      <c r="AJ265" s="543" t="e">
        <f>#REF!</f>
        <v>#REF!</v>
      </c>
      <c r="AK265" s="544">
        <v>45365</v>
      </c>
      <c r="AL265" s="334"/>
      <c r="AM265" s="282">
        <f t="shared" si="14"/>
        <v>317555</v>
      </c>
      <c r="AN265" s="332"/>
      <c r="AO265" s="512">
        <v>45408</v>
      </c>
      <c r="AP265" s="384">
        <f>Tabla_query__2[[#This Row],[InicioDes]]</f>
        <v>45365</v>
      </c>
      <c r="AQ265" s="384">
        <f>Tabla_query__2[[#This Row],[FinDes2]]</f>
        <v>45408</v>
      </c>
      <c r="AR265" s="462">
        <f>Tabla_query__2[[#This Row],[Número
Semanas]]/4</f>
        <v>0.75</v>
      </c>
      <c r="AS265" s="269">
        <f>Tabla_query__2[[#This Row],[FinDes2]]-Tabla_query__2[[#This Row],[InicioDes2]]</f>
        <v>45408</v>
      </c>
      <c r="AT265" s="261"/>
    </row>
    <row r="266" spans="1:52" ht="23.25">
      <c r="A266" s="318" t="s">
        <v>130</v>
      </c>
      <c r="B266" s="262" t="s">
        <v>134</v>
      </c>
      <c r="C266" s="262"/>
      <c r="D266" s="330" t="s">
        <v>764</v>
      </c>
      <c r="E266" s="495"/>
      <c r="F266" s="264" t="s">
        <v>765</v>
      </c>
      <c r="G266" s="264"/>
      <c r="H266" s="259" t="s">
        <v>204</v>
      </c>
      <c r="I266" s="262" t="s">
        <v>266</v>
      </c>
      <c r="J266" s="262" t="s">
        <v>137</v>
      </c>
      <c r="K266" s="262"/>
      <c r="L266" s="262"/>
      <c r="M266" s="262" t="s">
        <v>328</v>
      </c>
      <c r="N266" s="262" t="s">
        <v>752</v>
      </c>
      <c r="O266" t="s">
        <v>753</v>
      </c>
      <c r="P266" s="262" t="s">
        <v>763</v>
      </c>
      <c r="Q266" s="262" t="s">
        <v>143</v>
      </c>
      <c r="R266" s="262" t="s">
        <v>144</v>
      </c>
      <c r="S266" s="261"/>
      <c r="T266" s="261" t="s">
        <v>145</v>
      </c>
      <c r="U266" s="261"/>
      <c r="V266" s="261" t="s">
        <v>146</v>
      </c>
      <c r="W266" s="261">
        <v>1</v>
      </c>
      <c r="X266" s="261">
        <v>4</v>
      </c>
      <c r="Y266" s="261">
        <f>Tabla_query__2[[#This Row],[Número
Semanas]]*5*8</f>
        <v>160</v>
      </c>
      <c r="Z266" s="268">
        <f>Tabla_query__2[[#This Row],[TOTAL]]/Tabla_query__2[[#This Row],[Número de Horas]]/2</f>
        <v>7.8125</v>
      </c>
      <c r="AA266" s="261">
        <v>1</v>
      </c>
      <c r="AB266" s="261">
        <v>625</v>
      </c>
      <c r="AC266" s="261"/>
      <c r="AD266" s="388">
        <f>Tabla_query__2[[#This Row],[Número
Semanas]]*Tabla_query__2[[#This Row],[Número
Personas]]*Tabla_query__2[[#This Row],[Costo
Mano Obra/semana]]</f>
        <v>2500</v>
      </c>
      <c r="AE266" s="261"/>
      <c r="AF266" s="261"/>
      <c r="AG266" s="261"/>
      <c r="AH266" s="334">
        <v>45418</v>
      </c>
      <c r="AI266" s="334">
        <v>45429</v>
      </c>
      <c r="AJ266" s="282" t="e">
        <f>#REF!</f>
        <v>#REF!</v>
      </c>
      <c r="AK266" s="334">
        <v>45432</v>
      </c>
      <c r="AL266" s="334">
        <v>45436</v>
      </c>
      <c r="AM266" s="540">
        <f t="shared" si="14"/>
        <v>363460</v>
      </c>
      <c r="AN266" s="334">
        <v>45439</v>
      </c>
      <c r="AO266" s="662">
        <v>45443</v>
      </c>
      <c r="AP266" s="384">
        <f>Tabla_query__2[[#This Row],[InicioDes]]</f>
        <v>45418</v>
      </c>
      <c r="AQ266" s="384">
        <f>Tabla_query__2[[#This Row],[FinDes2]]</f>
        <v>45443</v>
      </c>
      <c r="AR266" s="462">
        <f>Tabla_query__2[[#This Row],[Número
Semanas]]/4</f>
        <v>1</v>
      </c>
      <c r="AS266" s="269">
        <f>Tabla_query__2[[#This Row],[FinDes2]]-Tabla_query__2[[#This Row],[InicioDes2]]</f>
        <v>4</v>
      </c>
      <c r="AT266" s="261"/>
    </row>
    <row r="267" spans="1:52">
      <c r="A267" s="318" t="s">
        <v>251</v>
      </c>
      <c r="B267" s="262" t="s">
        <v>134</v>
      </c>
      <c r="C267" s="262"/>
      <c r="D267" s="266" t="s">
        <v>766</v>
      </c>
      <c r="E267" s="262"/>
      <c r="F267" s="259" t="s">
        <v>767</v>
      </c>
      <c r="G267" s="259"/>
      <c r="H267" s="259" t="s">
        <v>137</v>
      </c>
      <c r="I267" s="262" t="s">
        <v>266</v>
      </c>
      <c r="J267" s="262" t="s">
        <v>137</v>
      </c>
      <c r="K267" s="262"/>
      <c r="L267" s="262"/>
      <c r="M267" s="262" t="s">
        <v>328</v>
      </c>
      <c r="N267" s="262" t="s">
        <v>752</v>
      </c>
      <c r="O267" t="s">
        <v>753</v>
      </c>
      <c r="P267" s="262" t="s">
        <v>763</v>
      </c>
      <c r="Q267" s="262" t="s">
        <v>143</v>
      </c>
      <c r="R267" s="262" t="s">
        <v>197</v>
      </c>
      <c r="S267" s="261"/>
      <c r="T267" s="261" t="s">
        <v>152</v>
      </c>
      <c r="U267" s="261"/>
      <c r="V267" s="261" t="s">
        <v>146</v>
      </c>
      <c r="W267" s="261">
        <v>1</v>
      </c>
      <c r="X267" s="261">
        <v>8</v>
      </c>
      <c r="Y267" s="261">
        <f>Tabla_query__2[[#This Row],[Número
Semanas]]*5*8</f>
        <v>320</v>
      </c>
      <c r="Z267" s="268">
        <f>Tabla_query__2[[#This Row],[TOTAL]]/Tabla_query__2[[#This Row],[Número de Horas]]/2</f>
        <v>7.8125</v>
      </c>
      <c r="AA267" s="261">
        <v>1</v>
      </c>
      <c r="AB267" s="261">
        <v>625</v>
      </c>
      <c r="AC267" s="261"/>
      <c r="AD267" s="268">
        <f>Tabla_query__2[[#This Row],[Número
Semanas]]*Tabla_query__2[[#This Row],[Número
Personas]]*Tabla_query__2[[#This Row],[Costo
Mano Obra/semana]]</f>
        <v>5000</v>
      </c>
      <c r="AE267" s="261"/>
      <c r="AF267" s="261"/>
      <c r="AG267" s="261"/>
      <c r="AH267" s="267">
        <v>45292</v>
      </c>
      <c r="AI267" s="267">
        <v>45331</v>
      </c>
      <c r="AJ267" s="282" t="e">
        <f>#REF!</f>
        <v>#REF!</v>
      </c>
      <c r="AK267" s="267">
        <v>45334</v>
      </c>
      <c r="AL267" s="267">
        <v>45338</v>
      </c>
      <c r="AM267" s="282">
        <f t="shared" si="14"/>
        <v>362676</v>
      </c>
      <c r="AN267" s="267">
        <v>45341</v>
      </c>
      <c r="AO267" s="261"/>
      <c r="AP267" s="384">
        <f>Tabla_query__2[[#This Row],[InicioDes]]</f>
        <v>45292</v>
      </c>
      <c r="AQ267" s="384">
        <f>Tabla_query__2[[#This Row],[FinDes2]]</f>
        <v>0</v>
      </c>
      <c r="AR267" s="462">
        <f>Tabla_query__2[[#This Row],[Número
Semanas]]/4</f>
        <v>2</v>
      </c>
      <c r="AS267" s="269">
        <f>Tabla_query__2[[#This Row],[FinDes2]]-Tabla_query__2[[#This Row],[InicioDes2]]</f>
        <v>-45341</v>
      </c>
      <c r="AT267" s="261"/>
    </row>
    <row r="268" spans="1:52">
      <c r="A268" s="318" t="s">
        <v>251</v>
      </c>
      <c r="B268" s="262" t="s">
        <v>134</v>
      </c>
      <c r="C268" s="262"/>
      <c r="D268" s="266" t="s">
        <v>768</v>
      </c>
      <c r="E268" s="262"/>
      <c r="F268" s="259" t="s">
        <v>768</v>
      </c>
      <c r="G268" s="259"/>
      <c r="H268" s="259" t="s">
        <v>137</v>
      </c>
      <c r="I268" s="262" t="s">
        <v>138</v>
      </c>
      <c r="J268" s="262" t="s">
        <v>137</v>
      </c>
      <c r="K268" s="262"/>
      <c r="L268" s="262"/>
      <c r="M268" s="262" t="s">
        <v>328</v>
      </c>
      <c r="N268" s="262" t="s">
        <v>752</v>
      </c>
      <c r="O268" t="s">
        <v>753</v>
      </c>
      <c r="P268" s="262" t="s">
        <v>763</v>
      </c>
      <c r="Q268" s="262" t="s">
        <v>143</v>
      </c>
      <c r="R268" s="262" t="s">
        <v>197</v>
      </c>
      <c r="S268" s="261"/>
      <c r="T268" s="261" t="s">
        <v>152</v>
      </c>
      <c r="U268" s="328" t="s">
        <v>769</v>
      </c>
      <c r="V268" s="261" t="s">
        <v>136</v>
      </c>
      <c r="W268" s="261">
        <v>1</v>
      </c>
      <c r="X268" s="261">
        <v>12</v>
      </c>
      <c r="Y268" s="261">
        <f>Tabla_query__2[[#This Row],[Número
Semanas]]*5*8</f>
        <v>480</v>
      </c>
      <c r="Z268" s="268">
        <f>Tabla_query__2[[#This Row],[TOTAL]]/Tabla_query__2[[#This Row],[Número de Horas]]/2</f>
        <v>7.8125</v>
      </c>
      <c r="AA268" s="332">
        <v>1</v>
      </c>
      <c r="AB268" s="261">
        <v>625</v>
      </c>
      <c r="AC268" s="261"/>
      <c r="AD268" s="388">
        <f>Tabla_query__2[[#This Row],[Número
Semanas]]*Tabla_query__2[[#This Row],[Número
Personas]]*Tabla_query__2[[#This Row],[Costo
Mano Obra/semana]]</f>
        <v>7500</v>
      </c>
      <c r="AE268" s="261"/>
      <c r="AF268" s="410"/>
      <c r="AG268" s="410"/>
      <c r="AH268" s="267">
        <v>45277</v>
      </c>
      <c r="AI268" s="267">
        <v>45324</v>
      </c>
      <c r="AJ268" s="282" t="e">
        <f>#REF!</f>
        <v>#REF!</v>
      </c>
      <c r="AK268" s="267">
        <v>45326</v>
      </c>
      <c r="AL268" s="267">
        <v>45331</v>
      </c>
      <c r="AM268" s="282">
        <f t="shared" si="14"/>
        <v>362613</v>
      </c>
      <c r="AN268" s="267">
        <v>45333</v>
      </c>
      <c r="AO268" s="267">
        <v>45337</v>
      </c>
      <c r="AP268" s="384">
        <f>Tabla_query__2[[#This Row],[InicioDes]]</f>
        <v>45277</v>
      </c>
      <c r="AQ268" s="384">
        <f>Tabla_query__2[[#This Row],[FinDes2]]</f>
        <v>45337</v>
      </c>
      <c r="AR268" s="462">
        <f>Tabla_query__2[[#This Row],[Número
Semanas]]/4</f>
        <v>3</v>
      </c>
      <c r="AS268" s="269">
        <f>Tabla_query__2[[#This Row],[FinDes2]]-Tabla_query__2[[#This Row],[InicioDes2]]</f>
        <v>4</v>
      </c>
      <c r="AT268" s="261"/>
    </row>
    <row r="269" spans="1:52" ht="23.25">
      <c r="A269" s="318" t="s">
        <v>251</v>
      </c>
      <c r="B269" s="262" t="s">
        <v>134</v>
      </c>
      <c r="C269" s="262"/>
      <c r="D269" s="266" t="s">
        <v>770</v>
      </c>
      <c r="E269" s="262"/>
      <c r="F269" s="259" t="s">
        <v>771</v>
      </c>
      <c r="G269" s="259"/>
      <c r="H269" s="259" t="s">
        <v>204</v>
      </c>
      <c r="I269" s="262" t="s">
        <v>266</v>
      </c>
      <c r="J269" s="262" t="s">
        <v>137</v>
      </c>
      <c r="K269" s="262"/>
      <c r="L269" s="262"/>
      <c r="M269" s="262" t="s">
        <v>328</v>
      </c>
      <c r="N269" s="262" t="s">
        <v>752</v>
      </c>
      <c r="O269" t="s">
        <v>753</v>
      </c>
      <c r="P269" s="262" t="s">
        <v>763</v>
      </c>
      <c r="Q269" s="262" t="s">
        <v>143</v>
      </c>
      <c r="R269" s="262" t="s">
        <v>144</v>
      </c>
      <c r="S269" s="261"/>
      <c r="T269" s="261" t="s">
        <v>145</v>
      </c>
      <c r="U269" s="261"/>
      <c r="V269" s="261" t="s">
        <v>136</v>
      </c>
      <c r="W269" s="261">
        <v>1</v>
      </c>
      <c r="X269" s="261">
        <v>4</v>
      </c>
      <c r="Y269" s="261">
        <f>Tabla_query__2[[#This Row],[Número
Semanas]]*5*8</f>
        <v>160</v>
      </c>
      <c r="Z269" s="268">
        <f>Tabla_query__2[[#This Row],[TOTAL]]/Tabla_query__2[[#This Row],[Número de Horas]]/2</f>
        <v>7.8125</v>
      </c>
      <c r="AA269" s="261">
        <v>1</v>
      </c>
      <c r="AB269" s="261">
        <v>625</v>
      </c>
      <c r="AC269" s="261"/>
      <c r="AD269" s="388">
        <f>Tabla_query__2[[#This Row],[Número
Semanas]]*Tabla_query__2[[#This Row],[Número
Personas]]*Tabla_query__2[[#This Row],[Costo
Mano Obra/semana]]</f>
        <v>2500</v>
      </c>
      <c r="AE269" s="261"/>
      <c r="AF269" s="261"/>
      <c r="AG269" s="261"/>
      <c r="AH269" s="267">
        <v>45418</v>
      </c>
      <c r="AI269" s="267">
        <v>45429</v>
      </c>
      <c r="AJ269" s="282" t="e">
        <f>#REF!</f>
        <v>#REF!</v>
      </c>
      <c r="AK269" s="267">
        <v>45432</v>
      </c>
      <c r="AL269" s="267">
        <v>45436</v>
      </c>
      <c r="AM269" s="282">
        <f t="shared" si="14"/>
        <v>363460</v>
      </c>
      <c r="AN269" s="267">
        <v>45439</v>
      </c>
      <c r="AO269" s="267">
        <v>45443</v>
      </c>
      <c r="AP269" s="384">
        <f>Tabla_query__2[[#This Row],[InicioDes]]</f>
        <v>45418</v>
      </c>
      <c r="AQ269" s="384">
        <f>Tabla_query__2[[#This Row],[FinDes2]]</f>
        <v>45443</v>
      </c>
      <c r="AR269" s="462">
        <f>Tabla_query__2[[#This Row],[Número
Semanas]]/4</f>
        <v>1</v>
      </c>
      <c r="AS269" s="269">
        <f>Tabla_query__2[[#This Row],[FinDes2]]-Tabla_query__2[[#This Row],[InicioDes2]]</f>
        <v>4</v>
      </c>
      <c r="AT269" s="261" t="s">
        <v>772</v>
      </c>
      <c r="AV269" s="325"/>
    </row>
    <row r="270" spans="1:52">
      <c r="A270" s="318">
        <v>2024</v>
      </c>
      <c r="B270" s="262" t="s">
        <v>134</v>
      </c>
      <c r="C270" s="262"/>
      <c r="D270" s="266" t="s">
        <v>773</v>
      </c>
      <c r="E270" s="262"/>
      <c r="F270" s="259" t="s">
        <v>774</v>
      </c>
      <c r="G270" s="259"/>
      <c r="H270" s="259" t="s">
        <v>204</v>
      </c>
      <c r="I270" s="262" t="s">
        <v>266</v>
      </c>
      <c r="J270" s="262" t="s">
        <v>137</v>
      </c>
      <c r="K270" s="262"/>
      <c r="L270" s="262"/>
      <c r="M270" s="262" t="s">
        <v>328</v>
      </c>
      <c r="N270" s="262" t="s">
        <v>752</v>
      </c>
      <c r="O270" t="s">
        <v>753</v>
      </c>
      <c r="P270" s="262" t="s">
        <v>763</v>
      </c>
      <c r="Q270" s="262" t="s">
        <v>143</v>
      </c>
      <c r="R270" s="262" t="s">
        <v>179</v>
      </c>
      <c r="S270" s="261"/>
      <c r="T270" s="261" t="s">
        <v>152</v>
      </c>
      <c r="U270" s="261"/>
      <c r="V270" s="261" t="s">
        <v>136</v>
      </c>
      <c r="W270" s="261">
        <v>1</v>
      </c>
      <c r="X270" s="261">
        <v>12</v>
      </c>
      <c r="Y270" s="261">
        <f>Tabla_query__2[[#This Row],[Número
Semanas]]*5*8</f>
        <v>480</v>
      </c>
      <c r="Z270" s="268">
        <f>Tabla_query__2[[#This Row],[TOTAL]]/Tabla_query__2[[#This Row],[Número de Horas]]/2</f>
        <v>7.8125</v>
      </c>
      <c r="AA270" s="332">
        <v>1</v>
      </c>
      <c r="AB270" s="261">
        <v>625</v>
      </c>
      <c r="AC270" s="261"/>
      <c r="AD270" s="268">
        <f>Tabla_query__2[[#This Row],[Número
Semanas]]*Tabla_query__2[[#This Row],[Número
Personas]]*Tabla_query__2[[#This Row],[Costo
Mano Obra/semana]]</f>
        <v>7500</v>
      </c>
      <c r="AE270" s="261"/>
      <c r="AF270" s="261"/>
      <c r="AG270" s="261"/>
      <c r="AH270" s="267">
        <v>45355</v>
      </c>
      <c r="AI270" s="267">
        <v>45373</v>
      </c>
      <c r="AJ270" s="282" t="e">
        <f>#REF!</f>
        <v>#REF!</v>
      </c>
      <c r="AK270" s="267">
        <v>45376</v>
      </c>
      <c r="AL270" s="267">
        <v>45380</v>
      </c>
      <c r="AM270" s="282">
        <f t="shared" si="14"/>
        <v>363012</v>
      </c>
      <c r="AN270" s="267">
        <v>45383</v>
      </c>
      <c r="AO270" s="267">
        <v>45387</v>
      </c>
      <c r="AP270" s="384">
        <f>Tabla_query__2[[#This Row],[InicioDes]]</f>
        <v>45355</v>
      </c>
      <c r="AQ270" s="384">
        <f>Tabla_query__2[[#This Row],[FinDes2]]</f>
        <v>45387</v>
      </c>
      <c r="AR270" s="462">
        <f>Tabla_query__2[[#This Row],[Número
Semanas]]/4</f>
        <v>3</v>
      </c>
      <c r="AS270" s="269">
        <f>Tabla_query__2[[#This Row],[FinDes2]]-Tabla_query__2[[#This Row],[InicioDes2]]</f>
        <v>4</v>
      </c>
      <c r="AT270" s="261"/>
      <c r="AZ270" t="s">
        <v>775</v>
      </c>
    </row>
    <row r="271" spans="1:52">
      <c r="A271" s="318" t="s">
        <v>130</v>
      </c>
      <c r="B271" s="262" t="s">
        <v>218</v>
      </c>
      <c r="C271" s="262"/>
      <c r="D271" s="262" t="s">
        <v>776</v>
      </c>
      <c r="E271" s="262"/>
      <c r="F271" s="262"/>
      <c r="G271" s="262"/>
      <c r="H271" s="262" t="s">
        <v>204</v>
      </c>
      <c r="I271" s="262" t="s">
        <v>220</v>
      </c>
      <c r="J271" s="262" t="s">
        <v>137</v>
      </c>
      <c r="K271" s="262"/>
      <c r="L271" s="262"/>
      <c r="M271" s="262" t="s">
        <v>328</v>
      </c>
      <c r="N271" s="262" t="s">
        <v>752</v>
      </c>
      <c r="O271" t="s">
        <v>753</v>
      </c>
      <c r="P271" s="262" t="s">
        <v>763</v>
      </c>
      <c r="Q271" s="262" t="s">
        <v>143</v>
      </c>
      <c r="R271" s="262" t="s">
        <v>179</v>
      </c>
      <c r="S271" s="262"/>
      <c r="T271" s="261" t="s">
        <v>320</v>
      </c>
      <c r="U271" s="261"/>
      <c r="V271" s="261" t="s">
        <v>146</v>
      </c>
      <c r="W271" s="261"/>
      <c r="X271" s="261">
        <v>40</v>
      </c>
      <c r="Y271" s="261">
        <f>Tabla_query__2[[#This Row],[Número
Semanas]]*5*8</f>
        <v>1600</v>
      </c>
      <c r="Z271" s="268">
        <f>Tabla_query__2[[#This Row],[TOTAL]]/Tabla_query__2[[#This Row],[Número de Horas]]/2</f>
        <v>6.1375000000000002</v>
      </c>
      <c r="AA271" s="261">
        <v>1</v>
      </c>
      <c r="AB271" s="261">
        <v>475</v>
      </c>
      <c r="AC271" s="261"/>
      <c r="AD271" s="268">
        <f>Tabla_query__2[[#This Row],[Número
Semanas]]*Tabla_query__2[[#This Row],[Número
Personas]]*Tabla_query__2[[#This Row],[Costo
Mano Obra/semana]] + 640</f>
        <v>19640</v>
      </c>
      <c r="AE271" s="261"/>
      <c r="AF271" s="261"/>
      <c r="AG271" s="261"/>
      <c r="AH271" s="267">
        <v>45352</v>
      </c>
      <c r="AI271" s="267">
        <v>45688</v>
      </c>
      <c r="AJ271" s="282" t="e">
        <f>#REF!</f>
        <v>#REF!</v>
      </c>
      <c r="AK271" s="267">
        <v>45352</v>
      </c>
      <c r="AL271" s="267">
        <v>45688</v>
      </c>
      <c r="AM271" s="282">
        <f t="shared" si="14"/>
        <v>363152</v>
      </c>
      <c r="AN271" s="267"/>
      <c r="AO271" s="267">
        <v>45688</v>
      </c>
      <c r="AP271" s="384">
        <f>Tabla_query__2[[#This Row],[InicioDes]]</f>
        <v>45352</v>
      </c>
      <c r="AQ271" s="384">
        <f>Tabla_query__2[[#This Row],[FinDes2]]</f>
        <v>45688</v>
      </c>
      <c r="AR271" s="462">
        <f>Tabla_query__2[[#This Row],[Número
Semanas]]/4</f>
        <v>10</v>
      </c>
      <c r="AS271" s="269">
        <f>Tabla_query__2[[#This Row],[FinDes2]]-Tabla_query__2[[#This Row],[InicioDes2]]</f>
        <v>45688</v>
      </c>
      <c r="AT271" s="261"/>
    </row>
    <row r="272" spans="1:52" s="293" customFormat="1" ht="45" customHeight="1">
      <c r="A272" s="318" t="s">
        <v>130</v>
      </c>
      <c r="B272" s="262" t="s">
        <v>218</v>
      </c>
      <c r="C272" s="262"/>
      <c r="D272" s="262" t="s">
        <v>777</v>
      </c>
      <c r="E272" s="262"/>
      <c r="F272" s="262" t="s">
        <v>778</v>
      </c>
      <c r="G272" s="262"/>
      <c r="H272" s="262" t="s">
        <v>137</v>
      </c>
      <c r="I272" s="262" t="s">
        <v>220</v>
      </c>
      <c r="J272" s="262" t="s">
        <v>137</v>
      </c>
      <c r="K272" s="262"/>
      <c r="L272" s="262"/>
      <c r="M272" s="262" t="s">
        <v>328</v>
      </c>
      <c r="N272" s="262" t="s">
        <v>752</v>
      </c>
      <c r="O272" t="s">
        <v>753</v>
      </c>
      <c r="P272" s="262" t="s">
        <v>763</v>
      </c>
      <c r="Q272" s="262" t="s">
        <v>143</v>
      </c>
      <c r="R272" s="262" t="s">
        <v>779</v>
      </c>
      <c r="S272" s="262">
        <v>1</v>
      </c>
      <c r="T272" s="261" t="s">
        <v>152</v>
      </c>
      <c r="U272" s="261"/>
      <c r="V272" s="261" t="s">
        <v>210</v>
      </c>
      <c r="W272" s="261"/>
      <c r="X272" s="261">
        <v>1</v>
      </c>
      <c r="Y272" s="261">
        <f>Tabla_query__2[[#This Row],[Número
Semanas]]*5*8</f>
        <v>40</v>
      </c>
      <c r="Z272" s="268">
        <f>Tabla_query__2[[#This Row],[TOTAL]]/Tabla_query__2[[#This Row],[Número de Horas]]/2</f>
        <v>0</v>
      </c>
      <c r="AA272" s="261">
        <v>1</v>
      </c>
      <c r="AB272" s="261"/>
      <c r="AC272" s="261"/>
      <c r="AD272" s="268"/>
      <c r="AE272" s="261"/>
      <c r="AF272" s="261"/>
      <c r="AG272" s="261"/>
      <c r="AH272" s="267">
        <v>45383</v>
      </c>
      <c r="AI272" s="267"/>
      <c r="AJ272" s="282" t="e">
        <f>#REF!</f>
        <v>#REF!</v>
      </c>
      <c r="AK272" s="267"/>
      <c r="AL272" s="267"/>
      <c r="AM272" s="282">
        <f t="shared" si="14"/>
        <v>0</v>
      </c>
      <c r="AN272" s="267"/>
      <c r="AO272" s="267">
        <v>45393</v>
      </c>
      <c r="AP272" s="384">
        <f>Tabla_query__2[[#This Row],[InicioDes]]</f>
        <v>45383</v>
      </c>
      <c r="AQ272" s="384">
        <f>Tabla_query__2[[#This Row],[FinDes2]]</f>
        <v>45393</v>
      </c>
      <c r="AR272" s="462">
        <f>Tabla_query__2[[#This Row],[Número
Semanas]]/4</f>
        <v>0.25</v>
      </c>
      <c r="AS272" s="269">
        <f>Tabla_query__2[[#This Row],[FinDes2]]-Tabla_query__2[[#This Row],[InicioDes2]]</f>
        <v>45393</v>
      </c>
      <c r="AT272" s="261"/>
      <c r="AU272"/>
      <c r="AV272"/>
    </row>
    <row r="273" spans="1:48" s="293" customFormat="1" ht="45" customHeight="1">
      <c r="A273" s="318" t="s">
        <v>130</v>
      </c>
      <c r="B273" s="262" t="s">
        <v>218</v>
      </c>
      <c r="C273" s="262"/>
      <c r="D273" s="262" t="s">
        <v>780</v>
      </c>
      <c r="E273" s="262"/>
      <c r="F273" s="277"/>
      <c r="G273" s="277"/>
      <c r="H273" s="262" t="s">
        <v>781</v>
      </c>
      <c r="I273" s="262" t="s">
        <v>220</v>
      </c>
      <c r="J273" s="262" t="s">
        <v>137</v>
      </c>
      <c r="K273" s="262"/>
      <c r="L273" s="262"/>
      <c r="M273" s="262" t="s">
        <v>328</v>
      </c>
      <c r="N273" s="262" t="s">
        <v>752</v>
      </c>
      <c r="O273" t="s">
        <v>753</v>
      </c>
      <c r="P273" s="262" t="s">
        <v>763</v>
      </c>
      <c r="Q273" s="262" t="s">
        <v>143</v>
      </c>
      <c r="R273" s="262" t="s">
        <v>179</v>
      </c>
      <c r="S273" s="262"/>
      <c r="T273" s="261" t="s">
        <v>145</v>
      </c>
      <c r="U273" s="261"/>
      <c r="V273" s="261" t="s">
        <v>210</v>
      </c>
      <c r="W273" s="261"/>
      <c r="X273" s="261"/>
      <c r="Y273" s="261">
        <f>Tabla_query__2[[#This Row],[Número
Semanas]]*5*8</f>
        <v>0</v>
      </c>
      <c r="Z273" s="268" t="e">
        <f>Tabla_query__2[[#This Row],[TOTAL]]/Tabla_query__2[[#This Row],[Número de Horas]]/2</f>
        <v>#DIV/0!</v>
      </c>
      <c r="AA273" s="261"/>
      <c r="AB273" s="261"/>
      <c r="AC273" s="261"/>
      <c r="AD273" s="268"/>
      <c r="AE273" s="261"/>
      <c r="AF273" s="261"/>
      <c r="AG273" s="261"/>
      <c r="AH273" s="267">
        <v>45362</v>
      </c>
      <c r="AI273" s="267"/>
      <c r="AJ273" s="282" t="e">
        <f>#REF!</f>
        <v>#REF!</v>
      </c>
      <c r="AK273" s="267"/>
      <c r="AL273" s="267">
        <v>45373</v>
      </c>
      <c r="AM273" s="282">
        <f t="shared" si="14"/>
        <v>45373</v>
      </c>
      <c r="AN273" s="267"/>
      <c r="AO273" s="267">
        <v>45373</v>
      </c>
      <c r="AP273" s="384">
        <f>Tabla_query__2[[#This Row],[InicioDes]]</f>
        <v>45362</v>
      </c>
      <c r="AQ273" s="384">
        <f>Tabla_query__2[[#This Row],[FinDes2]]</f>
        <v>45373</v>
      </c>
      <c r="AR273" s="462">
        <f>Tabla_query__2[[#This Row],[Número
Semanas]]/4</f>
        <v>0</v>
      </c>
      <c r="AS273" s="269">
        <f>Tabla_query__2[[#This Row],[FinDes2]]-Tabla_query__2[[#This Row],[InicioDes2]]</f>
        <v>45373</v>
      </c>
      <c r="AT273" s="261"/>
      <c r="AU273"/>
      <c r="AV273"/>
    </row>
    <row r="274" spans="1:48" s="293" customFormat="1">
      <c r="A274" s="318" t="s">
        <v>130</v>
      </c>
      <c r="B274" s="262" t="s">
        <v>218</v>
      </c>
      <c r="C274" s="262"/>
      <c r="D274" s="262" t="s">
        <v>782</v>
      </c>
      <c r="E274" s="266"/>
      <c r="F274" s="277"/>
      <c r="G274" s="277"/>
      <c r="H274" s="262" t="s">
        <v>204</v>
      </c>
      <c r="I274" s="262"/>
      <c r="J274" s="262" t="s">
        <v>137</v>
      </c>
      <c r="K274" s="262"/>
      <c r="L274" s="262"/>
      <c r="M274" s="262" t="s">
        <v>328</v>
      </c>
      <c r="N274" s="262" t="s">
        <v>752</v>
      </c>
      <c r="O274" t="s">
        <v>753</v>
      </c>
      <c r="P274" s="262" t="s">
        <v>179</v>
      </c>
      <c r="Q274" s="262"/>
      <c r="R274" s="262" t="s">
        <v>197</v>
      </c>
      <c r="S274" s="262"/>
      <c r="T274" s="261"/>
      <c r="U274" s="261"/>
      <c r="V274" s="261"/>
      <c r="W274" s="261"/>
      <c r="X274" s="261"/>
      <c r="Y274" s="261">
        <f>Tabla_query__2[[#This Row],[Número
Semanas]]*5*8</f>
        <v>0</v>
      </c>
      <c r="Z274" s="268" t="e">
        <f>Tabla_query__2[[#This Row],[TOTAL]]/Tabla_query__2[[#This Row],[Número de Horas]]/2</f>
        <v>#DIV/0!</v>
      </c>
      <c r="AA274" s="261"/>
      <c r="AB274" s="261"/>
      <c r="AC274" s="261"/>
      <c r="AD274" s="268">
        <f>Tabla_query__2[[#This Row],[Número
Semanas]]*Tabla_query__2[[#This Row],[Número
Personas]]*Tabla_query__2[[#This Row],[Costo
Mano Obra/semana]] + 640</f>
        <v>640</v>
      </c>
      <c r="AE274" s="261"/>
      <c r="AF274" s="261"/>
      <c r="AG274" s="261"/>
      <c r="AH274" s="267"/>
      <c r="AI274" s="267"/>
      <c r="AJ274" s="282" t="e">
        <f>#REF!</f>
        <v>#REF!</v>
      </c>
      <c r="AK274" s="267"/>
      <c r="AL274" s="267"/>
      <c r="AM274" s="282">
        <f t="shared" si="14"/>
        <v>0</v>
      </c>
      <c r="AN274" s="267"/>
      <c r="AO274" s="267">
        <v>45390</v>
      </c>
      <c r="AP274" s="384"/>
      <c r="AQ274" s="384"/>
      <c r="AR274" s="511">
        <f>Tabla_query__2[[#This Row],[Número
Semanas]]/4</f>
        <v>0</v>
      </c>
      <c r="AS274" s="269">
        <f>Tabla_query__2[[#This Row],[FinDes2]]-Tabla_query__2[[#This Row],[InicioDes2]]</f>
        <v>45390</v>
      </c>
      <c r="AT274" s="261"/>
      <c r="AU274"/>
      <c r="AV274"/>
    </row>
    <row r="275" spans="1:48" s="293" customFormat="1">
      <c r="A275" s="318" t="s">
        <v>130</v>
      </c>
      <c r="B275" s="262" t="s">
        <v>218</v>
      </c>
      <c r="C275" s="262"/>
      <c r="D275" s="575" t="s">
        <v>783</v>
      </c>
      <c r="E275" s="266"/>
      <c r="F275" s="277"/>
      <c r="G275" s="277"/>
      <c r="H275" s="262" t="s">
        <v>204</v>
      </c>
      <c r="I275" s="262"/>
      <c r="J275" s="262" t="s">
        <v>137</v>
      </c>
      <c r="K275" s="262"/>
      <c r="L275" s="262"/>
      <c r="M275" s="262" t="s">
        <v>328</v>
      </c>
      <c r="N275" s="262" t="s">
        <v>752</v>
      </c>
      <c r="O275" t="s">
        <v>753</v>
      </c>
      <c r="P275" s="262" t="s">
        <v>179</v>
      </c>
      <c r="Q275" s="262"/>
      <c r="R275" s="262" t="s">
        <v>179</v>
      </c>
      <c r="S275" s="262"/>
      <c r="T275" s="261"/>
      <c r="U275" s="261"/>
      <c r="V275" s="261"/>
      <c r="W275" s="261"/>
      <c r="X275" s="261"/>
      <c r="Y275" s="261">
        <f>Tabla_query__2[[#This Row],[Número
Semanas]]*5*8</f>
        <v>0</v>
      </c>
      <c r="Z275" s="268" t="e">
        <f>Tabla_query__2[[#This Row],[TOTAL]]/Tabla_query__2[[#This Row],[Número de Horas]]/2</f>
        <v>#DIV/0!</v>
      </c>
      <c r="AA275" s="261"/>
      <c r="AB275" s="261"/>
      <c r="AC275" s="261"/>
      <c r="AD275" s="268">
        <f>Tabla_query__2[[#This Row],[Número
Semanas]]*Tabla_query__2[[#This Row],[Número
Personas]]*Tabla_query__2[[#This Row],[Costo
Mano Obra/semana]] + 640</f>
        <v>640</v>
      </c>
      <c r="AE275" s="261"/>
      <c r="AF275" s="261"/>
      <c r="AG275" s="261"/>
      <c r="AH275" s="267">
        <v>45383</v>
      </c>
      <c r="AI275" s="267"/>
      <c r="AJ275" s="282" t="e">
        <f>#REF!</f>
        <v>#REF!</v>
      </c>
      <c r="AK275" s="267"/>
      <c r="AL275" s="267"/>
      <c r="AM275" s="282">
        <f t="shared" si="14"/>
        <v>0</v>
      </c>
      <c r="AN275" s="267"/>
      <c r="AO275" s="267"/>
      <c r="AP275" s="384"/>
      <c r="AQ275" s="384"/>
      <c r="AR275" s="511">
        <f>Tabla_query__2[[#This Row],[Número
Semanas]]/4</f>
        <v>0</v>
      </c>
      <c r="AS275" s="269">
        <f>Tabla_query__2[[#This Row],[FinDes2]]-Tabla_query__2[[#This Row],[InicioDes2]]</f>
        <v>0</v>
      </c>
      <c r="AT275" s="261"/>
      <c r="AU275"/>
      <c r="AV275"/>
    </row>
    <row r="276" spans="1:48" s="293" customFormat="1" ht="23.25">
      <c r="A276" s="318" t="s">
        <v>130</v>
      </c>
      <c r="B276" s="262" t="s">
        <v>218</v>
      </c>
      <c r="C276" s="262"/>
      <c r="D276" s="262" t="s">
        <v>784</v>
      </c>
      <c r="E276" s="262"/>
      <c r="F276" s="277" t="s">
        <v>785</v>
      </c>
      <c r="G276" s="277"/>
      <c r="H276" s="262" t="s">
        <v>204</v>
      </c>
      <c r="I276" s="262" t="s">
        <v>220</v>
      </c>
      <c r="J276" s="262" t="s">
        <v>137</v>
      </c>
      <c r="K276" s="262"/>
      <c r="L276" s="262"/>
      <c r="M276" s="262" t="s">
        <v>328</v>
      </c>
      <c r="N276" s="262" t="s">
        <v>752</v>
      </c>
      <c r="O276" t="s">
        <v>753</v>
      </c>
      <c r="P276" s="262" t="s">
        <v>763</v>
      </c>
      <c r="Q276" s="262" t="s">
        <v>143</v>
      </c>
      <c r="R276" s="262" t="s">
        <v>144</v>
      </c>
      <c r="S276" s="262"/>
      <c r="T276" s="261" t="s">
        <v>152</v>
      </c>
      <c r="U276" s="261"/>
      <c r="V276" s="261" t="s">
        <v>210</v>
      </c>
      <c r="W276" s="261"/>
      <c r="X276" s="261"/>
      <c r="Y276" s="261">
        <f>Tabla_query__2[[#This Row],[Número
Semanas]]*5*8</f>
        <v>0</v>
      </c>
      <c r="Z276" s="268" t="e">
        <f>Tabla_query__2[[#This Row],[TOTAL]]/Tabla_query__2[[#This Row],[Número de Horas]]/2</f>
        <v>#DIV/0!</v>
      </c>
      <c r="AA276" s="261"/>
      <c r="AB276" s="261"/>
      <c r="AC276" s="261"/>
      <c r="AD276" s="268"/>
      <c r="AE276" s="261"/>
      <c r="AF276" s="261"/>
      <c r="AG276" s="261"/>
      <c r="AH276" s="267">
        <v>45413</v>
      </c>
      <c r="AI276" s="267"/>
      <c r="AJ276" s="282" t="e">
        <f>#REF!</f>
        <v>#REF!</v>
      </c>
      <c r="AK276" s="267"/>
      <c r="AL276" s="267"/>
      <c r="AM276" s="282">
        <f t="shared" si="14"/>
        <v>0</v>
      </c>
      <c r="AN276" s="261"/>
      <c r="AO276" s="261"/>
      <c r="AP276" s="384"/>
      <c r="AQ276" s="384"/>
      <c r="AR276" s="462">
        <f>Tabla_query__2[[#This Row],[Número
Semanas]]/4</f>
        <v>0</v>
      </c>
      <c r="AS276" s="269">
        <f>Tabla_query__2[[#This Row],[FinDes2]]-Tabla_query__2[[#This Row],[InicioDes2]]</f>
        <v>0</v>
      </c>
      <c r="AT276" s="261"/>
      <c r="AU276"/>
      <c r="AV276"/>
    </row>
    <row r="277" spans="1:48" ht="23.25">
      <c r="A277" s="318" t="s">
        <v>130</v>
      </c>
      <c r="B277" s="262" t="s">
        <v>134</v>
      </c>
      <c r="C277" s="262"/>
      <c r="D277" s="408" t="s">
        <v>498</v>
      </c>
      <c r="E277" s="262"/>
      <c r="F277" s="259" t="s">
        <v>786</v>
      </c>
      <c r="G277" s="259"/>
      <c r="H277" s="259" t="s">
        <v>137</v>
      </c>
      <c r="I277" s="262" t="s">
        <v>138</v>
      </c>
      <c r="J277" s="262" t="s">
        <v>137</v>
      </c>
      <c r="K277" s="262"/>
      <c r="L277" s="262"/>
      <c r="M277" s="262" t="s">
        <v>328</v>
      </c>
      <c r="N277" s="262" t="s">
        <v>752</v>
      </c>
      <c r="O277" t="s">
        <v>753</v>
      </c>
      <c r="P277" s="262" t="s">
        <v>763</v>
      </c>
      <c r="Q277" s="262" t="s">
        <v>143</v>
      </c>
      <c r="R277" s="262" t="s">
        <v>144</v>
      </c>
      <c r="S277" s="261"/>
      <c r="T277" s="261" t="s">
        <v>145</v>
      </c>
      <c r="U277" s="261"/>
      <c r="V277" s="261" t="s">
        <v>146</v>
      </c>
      <c r="W277" s="261">
        <v>1</v>
      </c>
      <c r="X277" s="261">
        <v>4</v>
      </c>
      <c r="Y277" s="261">
        <f>Tabla_query__2[[#This Row],[Número
Semanas]]*5*8</f>
        <v>160</v>
      </c>
      <c r="Z277" s="268">
        <f>Tabla_query__2[[#This Row],[TOTAL]]/Tabla_query__2[[#This Row],[Número de Horas]]/2</f>
        <v>7.8125</v>
      </c>
      <c r="AA277" s="261">
        <v>1</v>
      </c>
      <c r="AB277" s="261">
        <v>625</v>
      </c>
      <c r="AC277" s="261"/>
      <c r="AD277" s="388">
        <f>Tabla_query__2[[#This Row],[Número
Semanas]]*Tabla_query__2[[#This Row],[Número
Personas]]*Tabla_query__2[[#This Row],[Costo
Mano Obra/semana]]</f>
        <v>2500</v>
      </c>
      <c r="AE277" s="261"/>
      <c r="AF277" s="261"/>
      <c r="AG277" s="261"/>
      <c r="AH277" s="267">
        <v>45383</v>
      </c>
      <c r="AI277" s="267">
        <v>45394</v>
      </c>
      <c r="AJ277" s="282" t="e">
        <f>#REF!</f>
        <v>#REF!</v>
      </c>
      <c r="AK277" s="267">
        <v>45397</v>
      </c>
      <c r="AL277" s="267">
        <v>45401</v>
      </c>
      <c r="AM277" s="282">
        <f t="shared" si="14"/>
        <v>363180</v>
      </c>
      <c r="AN277" s="267">
        <v>45404</v>
      </c>
      <c r="AO277" s="267">
        <v>45408</v>
      </c>
      <c r="AP277" s="384">
        <f>Tabla_query__2[[#This Row],[InicioDes]]</f>
        <v>45383</v>
      </c>
      <c r="AQ277" s="384">
        <f>Tabla_query__2[[#This Row],[FinDes2]]</f>
        <v>45408</v>
      </c>
      <c r="AR277" s="462">
        <f>Tabla_query__2[[#This Row],[Número
Semanas]]/4</f>
        <v>1</v>
      </c>
      <c r="AS277" s="269">
        <f>Tabla_query__2[[#This Row],[FinDes2]]-Tabla_query__2[[#This Row],[InicioDes2]]</f>
        <v>4</v>
      </c>
      <c r="AT277" s="261"/>
    </row>
    <row r="278" spans="1:48">
      <c r="A278" s="318" t="s">
        <v>130</v>
      </c>
      <c r="B278" s="262" t="s">
        <v>134</v>
      </c>
      <c r="C278" s="262"/>
      <c r="D278" s="266" t="s">
        <v>787</v>
      </c>
      <c r="E278" s="266"/>
      <c r="F278" s="259" t="s">
        <v>788</v>
      </c>
      <c r="G278" s="259"/>
      <c r="H278" s="259" t="s">
        <v>204</v>
      </c>
      <c r="I278" s="262" t="s">
        <v>266</v>
      </c>
      <c r="J278" s="262" t="s">
        <v>137</v>
      </c>
      <c r="K278" s="262"/>
      <c r="L278" s="262"/>
      <c r="M278" s="262" t="s">
        <v>328</v>
      </c>
      <c r="N278" s="262" t="s">
        <v>752</v>
      </c>
      <c r="O278" t="s">
        <v>753</v>
      </c>
      <c r="P278" s="262" t="s">
        <v>763</v>
      </c>
      <c r="Q278" s="262" t="s">
        <v>143</v>
      </c>
      <c r="R278" s="262" t="s">
        <v>144</v>
      </c>
      <c r="S278" s="261"/>
      <c r="T278" s="261" t="s">
        <v>145</v>
      </c>
      <c r="U278" s="261"/>
      <c r="V278" s="261" t="s">
        <v>210</v>
      </c>
      <c r="W278" s="261">
        <v>1</v>
      </c>
      <c r="X278" s="261">
        <v>4</v>
      </c>
      <c r="Y278" s="261">
        <f>Tabla_query__2[[#This Row],[Número
Semanas]]*5*8</f>
        <v>160</v>
      </c>
      <c r="Z278" s="268">
        <f>Tabla_query__2[[#This Row],[TOTAL]]/Tabla_query__2[[#This Row],[Número de Horas]]/2</f>
        <v>15.625</v>
      </c>
      <c r="AA278" s="261">
        <v>2</v>
      </c>
      <c r="AB278" s="261">
        <v>625</v>
      </c>
      <c r="AC278" s="261"/>
      <c r="AD278" s="388">
        <f>Tabla_query__2[[#This Row],[Número
Semanas]]*Tabla_query__2[[#This Row],[Número
Personas]]*Tabla_query__2[[#This Row],[Costo
Mano Obra/semana]]</f>
        <v>5000</v>
      </c>
      <c r="AE278" s="261"/>
      <c r="AF278" s="261"/>
      <c r="AG278" s="261"/>
      <c r="AH278" s="267">
        <v>45383</v>
      </c>
      <c r="AI278" s="267">
        <v>45394</v>
      </c>
      <c r="AJ278" s="282" t="e">
        <f>#REF!</f>
        <v>#REF!</v>
      </c>
      <c r="AK278" s="267">
        <v>45397</v>
      </c>
      <c r="AL278" s="267">
        <v>45401</v>
      </c>
      <c r="AM278" s="282">
        <f t="shared" si="14"/>
        <v>363180</v>
      </c>
      <c r="AN278" s="267">
        <v>45404</v>
      </c>
      <c r="AO278" s="267">
        <v>45408</v>
      </c>
      <c r="AP278" s="384">
        <f>Tabla_query__2[[#This Row],[InicioDes]]</f>
        <v>45383</v>
      </c>
      <c r="AQ278" s="384">
        <f>Tabla_query__2[[#This Row],[FinDes2]]</f>
        <v>45408</v>
      </c>
      <c r="AR278" s="267">
        <f>Tabla_query__2[[#This Row],[Número
Semanas]]/4</f>
        <v>1</v>
      </c>
      <c r="AS278" s="269">
        <f>Tabla_query__2[[#This Row],[FinDes2]]-Tabla_query__2[[#This Row],[InicioDes2]]</f>
        <v>4</v>
      </c>
      <c r="AT278" s="261"/>
    </row>
    <row r="279" spans="1:48" ht="34.9">
      <c r="A279" s="318" t="s">
        <v>251</v>
      </c>
      <c r="B279" s="262" t="s">
        <v>134</v>
      </c>
      <c r="C279" s="262"/>
      <c r="D279" s="266" t="s">
        <v>200</v>
      </c>
      <c r="E279" s="262"/>
      <c r="F279" s="259" t="s">
        <v>789</v>
      </c>
      <c r="G279" s="259"/>
      <c r="H279" s="259" t="s">
        <v>204</v>
      </c>
      <c r="I279" s="262" t="s">
        <v>138</v>
      </c>
      <c r="J279" s="262" t="s">
        <v>137</v>
      </c>
      <c r="K279" s="262"/>
      <c r="L279" s="262"/>
      <c r="M279" s="262" t="s">
        <v>328</v>
      </c>
      <c r="N279" s="262" t="s">
        <v>752</v>
      </c>
      <c r="O279" t="s">
        <v>753</v>
      </c>
      <c r="P279" s="262" t="s">
        <v>763</v>
      </c>
      <c r="Q279" s="262" t="s">
        <v>143</v>
      </c>
      <c r="R279" s="262" t="s">
        <v>179</v>
      </c>
      <c r="S279" s="261"/>
      <c r="T279" s="261" t="s">
        <v>152</v>
      </c>
      <c r="U279" s="261"/>
      <c r="V279" s="261" t="s">
        <v>136</v>
      </c>
      <c r="W279" s="261">
        <v>1</v>
      </c>
      <c r="X279" s="261">
        <v>4</v>
      </c>
      <c r="Y279" s="261">
        <f>Tabla_query__2[[#This Row],[Número
Semanas]]*5*8</f>
        <v>160</v>
      </c>
      <c r="Z279" s="268">
        <f>Tabla_query__2[[#This Row],[TOTAL]]/Tabla_query__2[[#This Row],[Número de Horas]]/2</f>
        <v>15.625</v>
      </c>
      <c r="AA279" s="261">
        <v>2</v>
      </c>
      <c r="AB279" s="261">
        <v>625</v>
      </c>
      <c r="AC279" s="261"/>
      <c r="AD279" s="388">
        <f>Tabla_query__2[[#This Row],[Número
Semanas]]*Tabla_query__2[[#This Row],[Número
Personas]]*Tabla_query__2[[#This Row],[Costo
Mano Obra/semana]]</f>
        <v>5000</v>
      </c>
      <c r="AE279" s="261"/>
      <c r="AF279" s="410"/>
      <c r="AG279" s="410"/>
      <c r="AH279" s="267">
        <v>45277</v>
      </c>
      <c r="AI279" s="267">
        <v>45324</v>
      </c>
      <c r="AJ279" s="282" t="e">
        <f>#REF!</f>
        <v>#REF!</v>
      </c>
      <c r="AK279" s="267">
        <v>45326</v>
      </c>
      <c r="AL279" s="267">
        <v>45331</v>
      </c>
      <c r="AM279" s="282">
        <f t="shared" si="14"/>
        <v>362613</v>
      </c>
      <c r="AN279" s="267">
        <v>45333</v>
      </c>
      <c r="AO279" s="267">
        <v>45337</v>
      </c>
      <c r="AP279" s="384">
        <f>Tabla_query__2[[#This Row],[InicioDes]]</f>
        <v>45277</v>
      </c>
      <c r="AQ279" s="384">
        <f>Tabla_query__2[[#This Row],[FinDes2]]</f>
        <v>45337</v>
      </c>
      <c r="AR279" s="462">
        <f>Tabla_query__2[[#This Row],[Número
Semanas]]/4</f>
        <v>1</v>
      </c>
      <c r="AS279" s="269">
        <f>Tabla_query__2[[#This Row],[FinDes2]]-Tabla_query__2[[#This Row],[InicioDes2]]</f>
        <v>4</v>
      </c>
      <c r="AT279" s="261"/>
    </row>
    <row r="280" spans="1:48" s="324" customFormat="1">
      <c r="A280" s="318" t="s">
        <v>130</v>
      </c>
      <c r="B280" s="262" t="s">
        <v>131</v>
      </c>
      <c r="C280" s="262" t="s">
        <v>170</v>
      </c>
      <c r="D280" s="262" t="s">
        <v>506</v>
      </c>
      <c r="E280" s="262" t="s">
        <v>172</v>
      </c>
      <c r="F280" s="262" t="s">
        <v>507</v>
      </c>
      <c r="G280" s="262" t="s">
        <v>136</v>
      </c>
      <c r="H280" s="262" t="s">
        <v>137</v>
      </c>
      <c r="I280" s="262" t="s">
        <v>508</v>
      </c>
      <c r="J280" s="262" t="s">
        <v>139</v>
      </c>
      <c r="K280" s="262"/>
      <c r="L280" s="262"/>
      <c r="M280" s="266" t="s">
        <v>140</v>
      </c>
      <c r="N280" s="262" t="s">
        <v>141</v>
      </c>
      <c r="O280" s="722" t="s">
        <v>790</v>
      </c>
      <c r="P280" s="262" t="s">
        <v>139</v>
      </c>
      <c r="Q280" s="262" t="s">
        <v>143</v>
      </c>
      <c r="R280" s="262" t="s">
        <v>144</v>
      </c>
      <c r="S280" s="261"/>
      <c r="T280" s="261" t="s">
        <v>145</v>
      </c>
      <c r="U280" s="261" t="s">
        <v>509</v>
      </c>
      <c r="V280" s="261" t="s">
        <v>146</v>
      </c>
      <c r="W280" s="261">
        <v>0.12</v>
      </c>
      <c r="X280" s="261">
        <v>1</v>
      </c>
      <c r="Y280" s="261">
        <f>Tabla_query__2[[#This Row],[Número
Semanas]]*5*8</f>
        <v>40</v>
      </c>
      <c r="Z280" s="268">
        <f>Tabla_query__2[[#This Row],[TOTAL]]/Tabla_query__2[[#This Row],[Número de Horas]]/2</f>
        <v>153.102</v>
      </c>
      <c r="AA280" s="261">
        <v>1</v>
      </c>
      <c r="AB280" s="261">
        <v>101428</v>
      </c>
      <c r="AC280" s="261"/>
      <c r="AD280" s="387">
        <f>(Tabla_query__2[[#This Row],[Número
Semanas]]*Tabla_query__2[[#This Row],[Número
Personas]]*Tabla_query__2[[#This Row],[Costo
Mano Obra/semana]]+640)*Tabla_query__2[[#This Row],[Factor País]]</f>
        <v>12248.16</v>
      </c>
      <c r="AE280" s="261"/>
      <c r="AF280" s="261"/>
      <c r="AG280" s="261" t="s">
        <v>791</v>
      </c>
      <c r="AH280" s="281">
        <v>45600</v>
      </c>
      <c r="AI280" s="281"/>
      <c r="AJ280" s="281">
        <f>Tabla_query__2[[#This Row],[FinDes]]-Tabla_query__2[[#This Row],[InicioDes]]</f>
        <v>-45600</v>
      </c>
      <c r="AK280" s="281"/>
      <c r="AL280" s="281"/>
      <c r="AM280" s="281">
        <f t="shared" si="14"/>
        <v>0</v>
      </c>
      <c r="AN280" s="281"/>
      <c r="AO280" s="281">
        <v>45670</v>
      </c>
      <c r="AP280" s="281">
        <v>45600</v>
      </c>
      <c r="AQ280" s="281">
        <f>Tabla_query__2[[#This Row],[Inicio Real]]+(10*7)</f>
        <v>45670</v>
      </c>
      <c r="AR280" s="462">
        <f>10/4</f>
        <v>2.5</v>
      </c>
      <c r="AS280" s="269">
        <f>Tabla_query__2[[#This Row],[FinDes2]]-Tabla_query__2[[#This Row],[InicioDes2]]</f>
        <v>45670</v>
      </c>
      <c r="AT280" s="261" t="s">
        <v>155</v>
      </c>
      <c r="AU280"/>
      <c r="AV280"/>
    </row>
    <row r="281" spans="1:48" s="293" customFormat="1">
      <c r="A281" s="318" t="s">
        <v>130</v>
      </c>
      <c r="B281" s="262" t="s">
        <v>134</v>
      </c>
      <c r="C281" s="262"/>
      <c r="D281" s="262" t="s">
        <v>792</v>
      </c>
      <c r="E281" s="262"/>
      <c r="F281" s="259" t="s">
        <v>793</v>
      </c>
      <c r="G281" s="259"/>
      <c r="H281" s="259" t="s">
        <v>204</v>
      </c>
      <c r="I281" s="262" t="s">
        <v>220</v>
      </c>
      <c r="J281" s="262" t="s">
        <v>139</v>
      </c>
      <c r="K281" s="262"/>
      <c r="L281" s="262"/>
      <c r="M281" s="262" t="s">
        <v>140</v>
      </c>
      <c r="N281" s="262" t="s">
        <v>141</v>
      </c>
      <c r="O281" s="722" t="s">
        <v>790</v>
      </c>
      <c r="P281" s="262" t="s">
        <v>762</v>
      </c>
      <c r="Q281" s="262" t="s">
        <v>143</v>
      </c>
      <c r="R281" s="262" t="s">
        <v>179</v>
      </c>
      <c r="S281" s="261"/>
      <c r="T281" s="261" t="s">
        <v>152</v>
      </c>
      <c r="U281" s="261"/>
      <c r="V281" s="261" t="s">
        <v>146</v>
      </c>
      <c r="W281" s="261">
        <v>1</v>
      </c>
      <c r="X281" s="261">
        <v>8</v>
      </c>
      <c r="Y281" s="261">
        <f>Tabla_query__2[[#This Row],[Número
Semanas]]*5*8</f>
        <v>320</v>
      </c>
      <c r="Z281" s="268">
        <f>Tabla_query__2[[#This Row],[TOTAL]]/Tabla_query__2[[#This Row],[Número de Horas]]/2</f>
        <v>20.625</v>
      </c>
      <c r="AA281" s="261">
        <v>3</v>
      </c>
      <c r="AB281" s="261">
        <v>550</v>
      </c>
      <c r="AC281" s="261"/>
      <c r="AD281" s="388">
        <f>Tabla_query__2[[#This Row],[Número
Semanas]]*Tabla_query__2[[#This Row],[Número
Personas]]*Tabla_query__2[[#This Row],[Costo
Mano Obra/semana]]</f>
        <v>13200</v>
      </c>
      <c r="AE281" s="261"/>
      <c r="AF281" s="261"/>
      <c r="AG281" s="261"/>
      <c r="AH281" s="281">
        <v>45292</v>
      </c>
      <c r="AI281" s="281">
        <v>45394</v>
      </c>
      <c r="AJ281" s="281" t="e">
        <f>#REF!</f>
        <v>#REF!</v>
      </c>
      <c r="AK281" s="281">
        <v>45397</v>
      </c>
      <c r="AL281" s="281">
        <v>45401</v>
      </c>
      <c r="AM281" s="281">
        <f t="shared" si="14"/>
        <v>363180</v>
      </c>
      <c r="AN281" s="281">
        <v>45404</v>
      </c>
      <c r="AO281" s="281">
        <v>45408</v>
      </c>
      <c r="AP281" s="281">
        <f>Tabla_query__2[[#This Row],[InicioDes]]</f>
        <v>45292</v>
      </c>
      <c r="AQ281" s="281">
        <f>Tabla_query__2[[#This Row],[FinDes2]]</f>
        <v>45408</v>
      </c>
      <c r="AR281" s="462">
        <f>Tabla_query__2[[#This Row],[Número
Semanas]]/4</f>
        <v>2</v>
      </c>
      <c r="AS281" s="269">
        <f>Tabla_query__2[[#This Row],[FinDes2]]-Tabla_query__2[[#This Row],[InicioDes2]]</f>
        <v>4</v>
      </c>
      <c r="AT281" s="261"/>
      <c r="AU281"/>
      <c r="AV281"/>
    </row>
    <row r="282" spans="1:48">
      <c r="A282" s="318" t="s">
        <v>130</v>
      </c>
      <c r="B282" s="262" t="s">
        <v>131</v>
      </c>
      <c r="C282" s="262" t="s">
        <v>162</v>
      </c>
      <c r="D282" s="262" t="s">
        <v>794</v>
      </c>
      <c r="E282" s="262" t="s">
        <v>164</v>
      </c>
      <c r="F282" s="259" t="s">
        <v>795</v>
      </c>
      <c r="G282" s="259" t="s">
        <v>146</v>
      </c>
      <c r="H282" s="259" t="s">
        <v>137</v>
      </c>
      <c r="I282" s="262" t="s">
        <v>138</v>
      </c>
      <c r="J282" s="262" t="s">
        <v>139</v>
      </c>
      <c r="K282" s="262"/>
      <c r="L282" s="262"/>
      <c r="M282" s="266" t="s">
        <v>140</v>
      </c>
      <c r="N282" s="262" t="s">
        <v>141</v>
      </c>
      <c r="O282" s="722" t="s">
        <v>790</v>
      </c>
      <c r="P282" s="262" t="s">
        <v>139</v>
      </c>
      <c r="Q282" s="262" t="s">
        <v>143</v>
      </c>
      <c r="R282" s="262" t="s">
        <v>179</v>
      </c>
      <c r="S282" s="261"/>
      <c r="T282" s="261" t="s">
        <v>145</v>
      </c>
      <c r="U282" s="261" t="s">
        <v>166</v>
      </c>
      <c r="V282" s="261" t="s">
        <v>146</v>
      </c>
      <c r="W282" s="261">
        <v>1</v>
      </c>
      <c r="X282" s="261">
        <v>2</v>
      </c>
      <c r="Y282" s="261">
        <f>Tabla_query__2[[#This Row],[Número
Semanas]]*5*8</f>
        <v>80</v>
      </c>
      <c r="Z282" s="268">
        <f>Tabla_query__2[[#This Row],[TOTAL]]/Tabla_query__2[[#This Row],[Número de Horas]]/2</f>
        <v>8.875</v>
      </c>
      <c r="AA282" s="261">
        <v>1</v>
      </c>
      <c r="AB282" s="261">
        <v>550</v>
      </c>
      <c r="AC282" s="261"/>
      <c r="AD282" s="387">
        <v>1420</v>
      </c>
      <c r="AE282" s="261"/>
      <c r="AF282" s="261"/>
      <c r="AG282" s="591" t="s">
        <v>147</v>
      </c>
      <c r="AH282" s="281">
        <v>45383</v>
      </c>
      <c r="AI282" s="281">
        <v>45397</v>
      </c>
      <c r="AJ282" s="281">
        <f>Tabla_query__2[[#This Row],[FinDes]]-Tabla_query__2[[#This Row],[InicioDes]]</f>
        <v>14</v>
      </c>
      <c r="AK282" s="281">
        <v>45397</v>
      </c>
      <c r="AL282" s="281">
        <v>45404</v>
      </c>
      <c r="AM282" s="281">
        <f t="shared" si="14"/>
        <v>363183</v>
      </c>
      <c r="AN282" s="281">
        <v>45404</v>
      </c>
      <c r="AO282" s="281">
        <v>45688</v>
      </c>
      <c r="AP282" s="281">
        <v>45505</v>
      </c>
      <c r="AQ282" s="281">
        <f>Tabla_query__2[[#This Row],[Inicio Real]]+(Tabla_query__2[[#This Row],[Número
Semanas]]*7)</f>
        <v>45519</v>
      </c>
      <c r="AR282" s="462">
        <f>Tabla_query__2[[#This Row],[Número
Semanas]]/4</f>
        <v>0.5</v>
      </c>
      <c r="AS282" s="269">
        <f>Tabla_query__2[[#This Row],[FinDes2]]-Tabla_query__2[[#This Row],[InicioDes2]]</f>
        <v>284</v>
      </c>
      <c r="AT282" s="261" t="s">
        <v>155</v>
      </c>
    </row>
    <row r="283" spans="1:48" s="571" customFormat="1" ht="23.25">
      <c r="A283" s="318">
        <v>2024</v>
      </c>
      <c r="B283" s="262" t="s">
        <v>134</v>
      </c>
      <c r="C283" s="262"/>
      <c r="D283" s="262" t="s">
        <v>796</v>
      </c>
      <c r="E283" s="262"/>
      <c r="F283" s="259" t="s">
        <v>797</v>
      </c>
      <c r="G283" s="259"/>
      <c r="H283" s="259" t="s">
        <v>137</v>
      </c>
      <c r="I283" s="262" t="s">
        <v>220</v>
      </c>
      <c r="J283" s="262" t="s">
        <v>139</v>
      </c>
      <c r="K283" s="262"/>
      <c r="L283" s="262"/>
      <c r="M283" s="262" t="s">
        <v>140</v>
      </c>
      <c r="N283" s="262" t="s">
        <v>141</v>
      </c>
      <c r="O283" s="722" t="s">
        <v>790</v>
      </c>
      <c r="P283" s="262" t="s">
        <v>762</v>
      </c>
      <c r="Q283" s="262" t="s">
        <v>143</v>
      </c>
      <c r="R283" s="262" t="s">
        <v>144</v>
      </c>
      <c r="S283" s="261"/>
      <c r="T283" s="261" t="s">
        <v>221</v>
      </c>
      <c r="U283" s="261"/>
      <c r="V283" s="261" t="s">
        <v>136</v>
      </c>
      <c r="W283" s="261">
        <v>1</v>
      </c>
      <c r="X283" s="261">
        <v>8</v>
      </c>
      <c r="Y283" s="261">
        <f>Tabla_query__2[[#This Row],[Número
Semanas]]*5*8</f>
        <v>320</v>
      </c>
      <c r="Z283" s="268">
        <f>Tabla_query__2[[#This Row],[TOTAL]]/Tabla_query__2[[#This Row],[Número de Horas]]/2</f>
        <v>6.875</v>
      </c>
      <c r="AA283" s="261">
        <v>1</v>
      </c>
      <c r="AB283" s="261">
        <v>550</v>
      </c>
      <c r="AC283" s="261"/>
      <c r="AD283" s="268">
        <f>Tabla_query__2[[#This Row],[Número
Semanas]]*Tabla_query__2[[#This Row],[Número
Personas]]*Tabla_query__2[[#This Row],[Costo
Mano Obra/semana]]</f>
        <v>4400</v>
      </c>
      <c r="AE283" s="261"/>
      <c r="AF283" s="261"/>
      <c r="AG283" s="261"/>
      <c r="AH283" s="267">
        <v>45446</v>
      </c>
      <c r="AI283" s="267">
        <v>45499</v>
      </c>
      <c r="AJ283" s="282" t="e">
        <f>#REF!</f>
        <v>#REF!</v>
      </c>
      <c r="AK283" s="267">
        <v>45502</v>
      </c>
      <c r="AL283" s="267">
        <v>45506</v>
      </c>
      <c r="AM283" s="282">
        <f t="shared" si="14"/>
        <v>364020</v>
      </c>
      <c r="AN283" s="267">
        <v>45509</v>
      </c>
      <c r="AO283" s="267">
        <v>45513</v>
      </c>
      <c r="AP283" s="384">
        <f>Tabla_query__2[[#This Row],[InicioDes]]</f>
        <v>45446</v>
      </c>
      <c r="AQ283" s="384">
        <f>Tabla_query__2[[#This Row],[FinDes2]]</f>
        <v>45513</v>
      </c>
      <c r="AR283" s="267">
        <f>Tabla_query__2[[#This Row],[Número
Semanas]]/4</f>
        <v>2</v>
      </c>
      <c r="AS283" s="269">
        <f>Tabla_query__2[[#This Row],[FinDes2]]-Tabla_query__2[[#This Row],[InicioDes2]]</f>
        <v>4</v>
      </c>
      <c r="AT283" s="261"/>
      <c r="AU283"/>
      <c r="AV283"/>
    </row>
    <row r="284" spans="1:48">
      <c r="A284" s="318" t="s">
        <v>130</v>
      </c>
      <c r="B284" s="262" t="s">
        <v>134</v>
      </c>
      <c r="C284" s="262"/>
      <c r="D284" s="266" t="s">
        <v>798</v>
      </c>
      <c r="E284" s="262"/>
      <c r="F284" s="259" t="s">
        <v>799</v>
      </c>
      <c r="G284" s="259"/>
      <c r="H284" s="259" t="s">
        <v>204</v>
      </c>
      <c r="I284" s="262" t="s">
        <v>266</v>
      </c>
      <c r="J284" s="262" t="s">
        <v>137</v>
      </c>
      <c r="K284" s="262"/>
      <c r="L284" s="262"/>
      <c r="M284" s="262" t="s">
        <v>140</v>
      </c>
      <c r="N284" s="262" t="s">
        <v>141</v>
      </c>
      <c r="O284" s="722" t="s">
        <v>790</v>
      </c>
      <c r="P284" s="262" t="s">
        <v>762</v>
      </c>
      <c r="Q284" s="262" t="s">
        <v>143</v>
      </c>
      <c r="R284" s="262" t="s">
        <v>144</v>
      </c>
      <c r="S284" s="261"/>
      <c r="T284" s="261" t="s">
        <v>145</v>
      </c>
      <c r="U284" s="261"/>
      <c r="V284" s="261" t="s">
        <v>146</v>
      </c>
      <c r="W284" s="261">
        <v>1</v>
      </c>
      <c r="X284" s="261">
        <v>8</v>
      </c>
      <c r="Y284" s="261">
        <f>Tabla_query__2[[#This Row],[Número
Semanas]]*5*8</f>
        <v>320</v>
      </c>
      <c r="Z284" s="268">
        <f>Tabla_query__2[[#This Row],[TOTAL]]/Tabla_query__2[[#This Row],[Número de Horas]]/2</f>
        <v>6.875</v>
      </c>
      <c r="AA284" s="261">
        <v>1</v>
      </c>
      <c r="AB284" s="261">
        <v>550</v>
      </c>
      <c r="AC284" s="261"/>
      <c r="AD284" s="388">
        <f>Tabla_query__2[[#This Row],[Número
Semanas]]*Tabla_query__2[[#This Row],[Número
Personas]]*Tabla_query__2[[#This Row],[Costo
Mano Obra/semana]]</f>
        <v>4400</v>
      </c>
      <c r="AE284" s="261"/>
      <c r="AF284" s="261"/>
      <c r="AG284" s="261"/>
      <c r="AH284" s="267">
        <v>45383</v>
      </c>
      <c r="AI284" s="267">
        <v>45422</v>
      </c>
      <c r="AJ284" s="282" t="e">
        <f>#REF!</f>
        <v>#REF!</v>
      </c>
      <c r="AK284" s="267">
        <v>45425</v>
      </c>
      <c r="AL284" s="267">
        <v>45429</v>
      </c>
      <c r="AM284" s="282">
        <f t="shared" si="14"/>
        <v>363404</v>
      </c>
      <c r="AN284" s="267">
        <v>45432</v>
      </c>
      <c r="AO284" s="267">
        <v>45384</v>
      </c>
      <c r="AP284" s="384">
        <f>Tabla_query__2[[#This Row],[InicioDes]]</f>
        <v>45383</v>
      </c>
      <c r="AQ284" s="384">
        <f>Tabla_query__2[[#This Row],[FinDes2]]</f>
        <v>45384</v>
      </c>
      <c r="AR284" s="462">
        <f>Tabla_query__2[[#This Row],[Número
Semanas]]/4</f>
        <v>2</v>
      </c>
      <c r="AS284" s="269">
        <f>Tabla_query__2[[#This Row],[FinDes2]]-Tabla_query__2[[#This Row],[InicioDes2]]</f>
        <v>-48</v>
      </c>
      <c r="AT284" s="261"/>
    </row>
    <row r="285" spans="1:48">
      <c r="A285" s="318" t="s">
        <v>130</v>
      </c>
      <c r="B285" s="262" t="s">
        <v>134</v>
      </c>
      <c r="C285" s="262"/>
      <c r="D285" s="266" t="s">
        <v>800</v>
      </c>
      <c r="E285" s="262"/>
      <c r="F285" s="259" t="s">
        <v>801</v>
      </c>
      <c r="G285" s="259"/>
      <c r="H285" s="259" t="s">
        <v>204</v>
      </c>
      <c r="I285" s="262" t="s">
        <v>266</v>
      </c>
      <c r="J285" s="262" t="s">
        <v>137</v>
      </c>
      <c r="K285" s="262"/>
      <c r="L285" s="262"/>
      <c r="M285" s="262" t="s">
        <v>140</v>
      </c>
      <c r="N285" s="262" t="s">
        <v>141</v>
      </c>
      <c r="O285" s="722" t="s">
        <v>790</v>
      </c>
      <c r="P285" s="262" t="s">
        <v>762</v>
      </c>
      <c r="Q285" s="262" t="s">
        <v>143</v>
      </c>
      <c r="R285" s="262" t="s">
        <v>179</v>
      </c>
      <c r="S285" s="261"/>
      <c r="T285" s="261" t="s">
        <v>145</v>
      </c>
      <c r="U285" s="261"/>
      <c r="V285" s="261" t="s">
        <v>136</v>
      </c>
      <c r="W285" s="261">
        <v>1</v>
      </c>
      <c r="X285" s="261">
        <v>8</v>
      </c>
      <c r="Y285" s="261">
        <f>Tabla_query__2[[#This Row],[Número
Semanas]]*5*8</f>
        <v>320</v>
      </c>
      <c r="Z285" s="268">
        <f>Tabla_query__2[[#This Row],[TOTAL]]/Tabla_query__2[[#This Row],[Número de Horas]]/2</f>
        <v>14.75</v>
      </c>
      <c r="AA285" s="261">
        <v>2</v>
      </c>
      <c r="AB285" s="261">
        <v>550</v>
      </c>
      <c r="AC285" s="261"/>
      <c r="AD285" s="268">
        <f>Tabla_query__2[[#This Row],[Número
Semanas]]*Tabla_query__2[[#This Row],[Número
Personas]]*Tabla_query__2[[#This Row],[Costo
Mano Obra/semana]] + 640</f>
        <v>9440</v>
      </c>
      <c r="AE285" s="261"/>
      <c r="AF285" s="261"/>
      <c r="AG285" s="261"/>
      <c r="AH285" s="267">
        <v>45383</v>
      </c>
      <c r="AI285" s="267">
        <v>45422</v>
      </c>
      <c r="AJ285" s="282" t="e">
        <f>#REF!</f>
        <v>#REF!</v>
      </c>
      <c r="AK285" s="267">
        <v>45425</v>
      </c>
      <c r="AL285" s="267">
        <v>45429</v>
      </c>
      <c r="AM285" s="282">
        <f t="shared" si="14"/>
        <v>363404</v>
      </c>
      <c r="AN285" s="267">
        <v>45432</v>
      </c>
      <c r="AO285" s="267">
        <v>45436</v>
      </c>
      <c r="AP285" s="384">
        <f>Tabla_query__2[[#This Row],[InicioDes]]</f>
        <v>45383</v>
      </c>
      <c r="AQ285" s="384">
        <f>Tabla_query__2[[#This Row],[FinDes2]]</f>
        <v>45436</v>
      </c>
      <c r="AR285" s="462">
        <f>Tabla_query__2[[#This Row],[Número
Semanas]]/4</f>
        <v>2</v>
      </c>
      <c r="AS285" s="269">
        <f>Tabla_query__2[[#This Row],[FinDes2]]-Tabla_query__2[[#This Row],[InicioDes2]]</f>
        <v>4</v>
      </c>
      <c r="AT285" s="261"/>
    </row>
    <row r="286" spans="1:48">
      <c r="A286" s="318" t="s">
        <v>130</v>
      </c>
      <c r="B286" s="262" t="s">
        <v>218</v>
      </c>
      <c r="C286" s="262"/>
      <c r="D286" s="262" t="s">
        <v>802</v>
      </c>
      <c r="E286" s="262"/>
      <c r="F286" s="262"/>
      <c r="G286" s="262"/>
      <c r="H286" s="262" t="s">
        <v>204</v>
      </c>
      <c r="I286" s="262" t="s">
        <v>220</v>
      </c>
      <c r="J286" s="262" t="s">
        <v>137</v>
      </c>
      <c r="K286" s="262"/>
      <c r="L286" s="262"/>
      <c r="M286" s="262" t="s">
        <v>140</v>
      </c>
      <c r="N286" s="262" t="s">
        <v>141</v>
      </c>
      <c r="O286" s="722" t="s">
        <v>790</v>
      </c>
      <c r="P286" s="262" t="s">
        <v>762</v>
      </c>
      <c r="Q286" s="262" t="s">
        <v>143</v>
      </c>
      <c r="R286" s="262" t="s">
        <v>179</v>
      </c>
      <c r="S286" s="262"/>
      <c r="T286" s="261" t="s">
        <v>320</v>
      </c>
      <c r="U286" s="261"/>
      <c r="V286" s="261" t="s">
        <v>146</v>
      </c>
      <c r="W286" s="261"/>
      <c r="X286" s="261">
        <v>36</v>
      </c>
      <c r="Y286" s="261">
        <f>Tabla_query__2[[#This Row],[Número
Semanas]]*5*8</f>
        <v>1440</v>
      </c>
      <c r="Z286" s="268">
        <f>Tabla_query__2[[#This Row],[TOTAL]]/Tabla_query__2[[#This Row],[Número de Horas]]/2</f>
        <v>2.5972222222222223</v>
      </c>
      <c r="AA286" s="261">
        <v>1</v>
      </c>
      <c r="AB286" s="261">
        <v>190</v>
      </c>
      <c r="AC286" s="261"/>
      <c r="AD286" s="268">
        <f>Tabla_query__2[[#This Row],[Número
Semanas]]*Tabla_query__2[[#This Row],[Número
Personas]]*Tabla_query__2[[#This Row],[Costo
Mano Obra/semana]] + 640</f>
        <v>7480</v>
      </c>
      <c r="AE286" s="261"/>
      <c r="AF286" s="261"/>
      <c r="AG286" s="261"/>
      <c r="AH286" s="267">
        <v>45352</v>
      </c>
      <c r="AI286" s="267">
        <v>45688</v>
      </c>
      <c r="AJ286" s="282" t="e">
        <f>#REF!</f>
        <v>#REF!</v>
      </c>
      <c r="AK286" s="267">
        <v>45352</v>
      </c>
      <c r="AL286" s="267">
        <v>45688</v>
      </c>
      <c r="AM286" s="282">
        <f t="shared" si="14"/>
        <v>363152</v>
      </c>
      <c r="AN286" s="267"/>
      <c r="AO286" s="267">
        <v>45688</v>
      </c>
      <c r="AP286" s="384">
        <f>Tabla_query__2[[#This Row],[InicioDes]]</f>
        <v>45352</v>
      </c>
      <c r="AQ286" s="384">
        <f>Tabla_query__2[[#This Row],[FinDes2]]</f>
        <v>45688</v>
      </c>
      <c r="AR286" s="462">
        <f>Tabla_query__2[[#This Row],[Número
Semanas]]/4</f>
        <v>9</v>
      </c>
      <c r="AS286" s="269">
        <f>Tabla_query__2[[#This Row],[FinDes2]]-Tabla_query__2[[#This Row],[InicioDes2]]</f>
        <v>45688</v>
      </c>
      <c r="AT286" s="261"/>
    </row>
    <row r="287" spans="1:48">
      <c r="A287" s="318" t="s">
        <v>130</v>
      </c>
      <c r="B287" s="262" t="s">
        <v>134</v>
      </c>
      <c r="C287" s="262"/>
      <c r="D287" s="266" t="s">
        <v>803</v>
      </c>
      <c r="E287" s="262"/>
      <c r="F287" s="277" t="s">
        <v>803</v>
      </c>
      <c r="G287" s="277"/>
      <c r="H287" s="259" t="s">
        <v>204</v>
      </c>
      <c r="I287" s="262" t="s">
        <v>266</v>
      </c>
      <c r="J287" s="262" t="s">
        <v>137</v>
      </c>
      <c r="K287" s="262"/>
      <c r="L287" s="262"/>
      <c r="M287" s="262" t="s">
        <v>140</v>
      </c>
      <c r="N287" s="262" t="s">
        <v>141</v>
      </c>
      <c r="O287" s="722" t="s">
        <v>790</v>
      </c>
      <c r="P287" s="262" t="s">
        <v>762</v>
      </c>
      <c r="Q287" s="262" t="s">
        <v>143</v>
      </c>
      <c r="R287" s="262" t="s">
        <v>144</v>
      </c>
      <c r="S287" s="261"/>
      <c r="T287" s="261" t="s">
        <v>145</v>
      </c>
      <c r="U287" s="328" t="s">
        <v>804</v>
      </c>
      <c r="V287" s="261" t="s">
        <v>146</v>
      </c>
      <c r="W287" s="261">
        <v>1</v>
      </c>
      <c r="X287" s="261">
        <v>10</v>
      </c>
      <c r="Y287" s="261">
        <f>Tabla_query__2[[#This Row],[Número
Semanas]]*5*8</f>
        <v>400</v>
      </c>
      <c r="Z287" s="268">
        <f>Tabla_query__2[[#This Row],[TOTAL]]/Tabla_query__2[[#This Row],[Número de Horas]]/2</f>
        <v>20.625</v>
      </c>
      <c r="AA287" s="261">
        <v>3</v>
      </c>
      <c r="AB287" s="261">
        <v>550</v>
      </c>
      <c r="AC287" s="261"/>
      <c r="AD287" s="388">
        <f>Tabla_query__2[[#This Row],[Número
Semanas]]*Tabla_query__2[[#This Row],[Número
Personas]]*Tabla_query__2[[#This Row],[Costo
Mano Obra/semana]]</f>
        <v>16500</v>
      </c>
      <c r="AE287" s="261"/>
      <c r="AF287" s="261"/>
      <c r="AG287" s="261"/>
      <c r="AH287" s="267">
        <v>45446</v>
      </c>
      <c r="AI287" s="267">
        <v>45471</v>
      </c>
      <c r="AJ287" s="282" t="e">
        <f>#REF!</f>
        <v>#REF!</v>
      </c>
      <c r="AK287" s="267">
        <v>45474</v>
      </c>
      <c r="AL287" s="267">
        <v>45478</v>
      </c>
      <c r="AM287" s="282">
        <f t="shared" si="14"/>
        <v>363796</v>
      </c>
      <c r="AN287" s="267">
        <v>45481</v>
      </c>
      <c r="AO287" s="267">
        <v>45485</v>
      </c>
      <c r="AP287" s="384">
        <f>Tabla_query__2[[#This Row],[InicioDes]]</f>
        <v>45446</v>
      </c>
      <c r="AQ287" s="384">
        <f>Tabla_query__2[[#This Row],[FinDes2]]</f>
        <v>45485</v>
      </c>
      <c r="AR287" s="462">
        <f>Tabla_query__2[[#This Row],[Número
Semanas]]/4</f>
        <v>2.5</v>
      </c>
      <c r="AS287" s="269">
        <f>Tabla_query__2[[#This Row],[FinDes2]]-Tabla_query__2[[#This Row],[InicioDes2]]</f>
        <v>4</v>
      </c>
      <c r="AT287" s="261"/>
    </row>
    <row r="288" spans="1:48">
      <c r="A288" s="318" t="s">
        <v>130</v>
      </c>
      <c r="B288" s="262" t="s">
        <v>218</v>
      </c>
      <c r="C288" s="262"/>
      <c r="D288" s="262" t="s">
        <v>805</v>
      </c>
      <c r="E288" s="262"/>
      <c r="F288" s="262" t="s">
        <v>806</v>
      </c>
      <c r="G288" s="262"/>
      <c r="H288" s="259" t="s">
        <v>137</v>
      </c>
      <c r="I288" s="262" t="s">
        <v>266</v>
      </c>
      <c r="J288" s="262" t="s">
        <v>137</v>
      </c>
      <c r="K288" s="262"/>
      <c r="L288" s="262"/>
      <c r="M288" s="262" t="s">
        <v>140</v>
      </c>
      <c r="N288" s="262" t="s">
        <v>141</v>
      </c>
      <c r="O288" s="722" t="s">
        <v>790</v>
      </c>
      <c r="P288" s="262" t="s">
        <v>762</v>
      </c>
      <c r="Q288" s="262" t="s">
        <v>143</v>
      </c>
      <c r="R288" s="262" t="s">
        <v>179</v>
      </c>
      <c r="S288" s="262"/>
      <c r="T288" s="261" t="s">
        <v>152</v>
      </c>
      <c r="U288" s="261"/>
      <c r="V288" s="261" t="s">
        <v>136</v>
      </c>
      <c r="W288" s="261"/>
      <c r="X288" s="261">
        <v>8</v>
      </c>
      <c r="Y288" s="261">
        <f>Tabla_query__2[[#This Row],[Número
Semanas]]*5*8</f>
        <v>320</v>
      </c>
      <c r="Z288" s="268">
        <f>Tabla_query__2[[#This Row],[TOTAL]]/Tabla_query__2[[#This Row],[Número de Horas]]/2</f>
        <v>3.90625</v>
      </c>
      <c r="AA288" s="383">
        <v>1</v>
      </c>
      <c r="AB288" s="261">
        <v>450</v>
      </c>
      <c r="AC288" s="261"/>
      <c r="AD288" s="268">
        <v>2500</v>
      </c>
      <c r="AE288" s="261"/>
      <c r="AF288" s="261"/>
      <c r="AG288" s="261"/>
      <c r="AH288" s="267">
        <v>45170</v>
      </c>
      <c r="AI288" s="267">
        <v>45377</v>
      </c>
      <c r="AJ288" s="282" t="e">
        <f>#REF!</f>
        <v>#REF!</v>
      </c>
      <c r="AK288" s="261"/>
      <c r="AL288" s="261"/>
      <c r="AM288" s="282">
        <f t="shared" si="14"/>
        <v>0</v>
      </c>
      <c r="AN288" s="267"/>
      <c r="AO288" s="261"/>
      <c r="AP288" s="384">
        <f>Tabla_query__2[[#This Row],[InicioDes]]</f>
        <v>45170</v>
      </c>
      <c r="AQ288" s="384">
        <f>Tabla_query__2[[#This Row],[FinDes2]]</f>
        <v>0</v>
      </c>
      <c r="AR288" s="462">
        <f>Tabla_query__2[[#This Row],[Número
Semanas]]/4</f>
        <v>2</v>
      </c>
      <c r="AS288" s="269">
        <f>Tabla_query__2[[#This Row],[FinDes2]]-Tabla_query__2[[#This Row],[InicioDes2]]</f>
        <v>0</v>
      </c>
      <c r="AT288" s="261" t="s">
        <v>807</v>
      </c>
    </row>
    <row r="289" spans="1:48" ht="24" customHeight="1">
      <c r="A289" s="318" t="s">
        <v>251</v>
      </c>
      <c r="B289" s="262" t="s">
        <v>134</v>
      </c>
      <c r="C289" s="262"/>
      <c r="D289" s="408" t="s">
        <v>498</v>
      </c>
      <c r="E289" s="262"/>
      <c r="F289" s="259" t="s">
        <v>808</v>
      </c>
      <c r="G289" s="259"/>
      <c r="H289" s="259" t="s">
        <v>137</v>
      </c>
      <c r="I289" s="262" t="s">
        <v>138</v>
      </c>
      <c r="J289" s="262" t="s">
        <v>137</v>
      </c>
      <c r="K289" s="262"/>
      <c r="L289" s="262"/>
      <c r="M289" s="266" t="s">
        <v>140</v>
      </c>
      <c r="N289" s="262" t="s">
        <v>141</v>
      </c>
      <c r="O289" s="722" t="s">
        <v>790</v>
      </c>
      <c r="P289" s="262" t="s">
        <v>762</v>
      </c>
      <c r="Q289" s="262" t="s">
        <v>143</v>
      </c>
      <c r="R289" s="262" t="s">
        <v>197</v>
      </c>
      <c r="S289" s="261"/>
      <c r="T289" s="261" t="s">
        <v>152</v>
      </c>
      <c r="U289" s="328" t="s">
        <v>809</v>
      </c>
      <c r="V289" s="261" t="s">
        <v>146</v>
      </c>
      <c r="W289" s="261">
        <v>1</v>
      </c>
      <c r="X289" s="261">
        <v>4</v>
      </c>
      <c r="Y289" s="261">
        <f>Tabla_query__2[[#This Row],[Número
Semanas]]*5*8</f>
        <v>160</v>
      </c>
      <c r="Z289" s="268">
        <f>Tabla_query__2[[#This Row],[TOTAL]]/Tabla_query__2[[#This Row],[Número de Horas]]/2</f>
        <v>6.875</v>
      </c>
      <c r="AA289" s="261">
        <v>1</v>
      </c>
      <c r="AB289" s="261">
        <v>550</v>
      </c>
      <c r="AC289" s="261"/>
      <c r="AD289" s="268">
        <f>Tabla_query__2[[#This Row],[Número
Semanas]]*Tabla_query__2[[#This Row],[Número
Personas]]*Tabla_query__2[[#This Row],[Costo
Mano Obra/semana]]</f>
        <v>2200</v>
      </c>
      <c r="AE289" s="261"/>
      <c r="AF289" s="261"/>
      <c r="AG289" s="261"/>
      <c r="AH289" s="282">
        <v>45355</v>
      </c>
      <c r="AI289" s="282">
        <v>45366</v>
      </c>
      <c r="AJ289" s="282" t="e">
        <f>#REF!</f>
        <v>#REF!</v>
      </c>
      <c r="AK289" s="282">
        <v>45369</v>
      </c>
      <c r="AL289" s="282">
        <v>45373</v>
      </c>
      <c r="AM289" s="282">
        <f t="shared" si="14"/>
        <v>362956</v>
      </c>
      <c r="AN289" s="282">
        <v>45376</v>
      </c>
      <c r="AO289" s="282">
        <v>45380</v>
      </c>
      <c r="AP289" s="384">
        <f>Tabla_query__2[[#This Row],[InicioDes]]</f>
        <v>45355</v>
      </c>
      <c r="AQ289" s="384">
        <f>Tabla_query__2[[#This Row],[FinDes2]]</f>
        <v>45380</v>
      </c>
      <c r="AR289" s="462">
        <f>Tabla_query__2[[#This Row],[Número
Semanas]]/4</f>
        <v>1</v>
      </c>
      <c r="AS289" s="269">
        <f>Tabla_query__2[[#This Row],[FinDes2]]-Tabla_query__2[[#This Row],[InicioDes2]]</f>
        <v>4</v>
      </c>
      <c r="AT289" s="261" t="s">
        <v>155</v>
      </c>
    </row>
    <row r="290" spans="1:48" ht="34.9">
      <c r="A290" s="318" t="s">
        <v>251</v>
      </c>
      <c r="B290" s="262" t="s">
        <v>134</v>
      </c>
      <c r="C290" s="262"/>
      <c r="D290" s="266" t="s">
        <v>810</v>
      </c>
      <c r="E290" s="262"/>
      <c r="F290" s="259" t="s">
        <v>811</v>
      </c>
      <c r="G290" s="259"/>
      <c r="H290" s="259" t="s">
        <v>137</v>
      </c>
      <c r="I290" s="262" t="s">
        <v>138</v>
      </c>
      <c r="J290" s="262" t="s">
        <v>137</v>
      </c>
      <c r="K290" s="262"/>
      <c r="L290" s="262"/>
      <c r="M290" s="266" t="s">
        <v>140</v>
      </c>
      <c r="N290" s="262" t="s">
        <v>141</v>
      </c>
      <c r="O290" s="722" t="s">
        <v>790</v>
      </c>
      <c r="P290" s="262" t="s">
        <v>762</v>
      </c>
      <c r="Q290" s="262" t="s">
        <v>143</v>
      </c>
      <c r="R290" s="262" t="s">
        <v>144</v>
      </c>
      <c r="S290" s="261"/>
      <c r="T290" s="261" t="s">
        <v>145</v>
      </c>
      <c r="U290" s="261"/>
      <c r="V290" s="261" t="s">
        <v>146</v>
      </c>
      <c r="W290" s="261">
        <v>1</v>
      </c>
      <c r="X290" s="261">
        <v>8</v>
      </c>
      <c r="Y290" s="261">
        <f>Tabla_query__2[[#This Row],[Número
Semanas]]*5*8</f>
        <v>320</v>
      </c>
      <c r="Z290" s="268">
        <f>Tabla_query__2[[#This Row],[TOTAL]]/Tabla_query__2[[#This Row],[Número de Horas]]/2</f>
        <v>6.875</v>
      </c>
      <c r="AA290" s="261">
        <v>1</v>
      </c>
      <c r="AB290" s="261">
        <v>550</v>
      </c>
      <c r="AC290" s="261"/>
      <c r="AD290" s="268">
        <f>((Tabla_query__2[[#This Row],[Número
Semanas]]*Tabla_query__2[[#This Row],[Número
Personas]]*Tabla_query__2[[#This Row],[Costo
Mano Obra/semana]])+Tabla_query__2[[#This Row],[Otros 
Costos]])*Tabla_query__2[[#This Row],[Factor País]]</f>
        <v>4400</v>
      </c>
      <c r="AE290" s="261"/>
      <c r="AF290" s="261"/>
      <c r="AG290" s="261"/>
      <c r="AH290" s="267">
        <v>45383</v>
      </c>
      <c r="AI290" s="267">
        <v>45422</v>
      </c>
      <c r="AJ290" s="282" t="e">
        <f>#REF!</f>
        <v>#REF!</v>
      </c>
      <c r="AK290" s="267">
        <v>45425</v>
      </c>
      <c r="AL290" s="267">
        <v>45429</v>
      </c>
      <c r="AM290" s="282">
        <f t="shared" si="14"/>
        <v>363404</v>
      </c>
      <c r="AN290" s="267">
        <v>45432</v>
      </c>
      <c r="AO290" s="267">
        <v>45436</v>
      </c>
      <c r="AP290" s="384">
        <f>Tabla_query__2[[#This Row],[InicioDes]]</f>
        <v>45383</v>
      </c>
      <c r="AQ290" s="384">
        <f>Tabla_query__2[[#This Row],[FinDes2]]</f>
        <v>45436</v>
      </c>
      <c r="AR290" s="462">
        <f>Tabla_query__2[[#This Row],[Número
Semanas]]/4</f>
        <v>2</v>
      </c>
      <c r="AS290" s="269">
        <f>Tabla_query__2[[#This Row],[FinDes2]]-Tabla_query__2[[#This Row],[InicioDes2]]</f>
        <v>4</v>
      </c>
      <c r="AT290" s="261" t="s">
        <v>155</v>
      </c>
    </row>
    <row r="291" spans="1:48">
      <c r="A291" s="318" t="s">
        <v>130</v>
      </c>
      <c r="B291" s="262" t="s">
        <v>134</v>
      </c>
      <c r="C291" s="262"/>
      <c r="D291" s="266" t="s">
        <v>812</v>
      </c>
      <c r="E291" s="266"/>
      <c r="F291" s="277" t="s">
        <v>812</v>
      </c>
      <c r="G291" s="277"/>
      <c r="H291" s="259" t="s">
        <v>204</v>
      </c>
      <c r="I291" s="262" t="s">
        <v>266</v>
      </c>
      <c r="J291" s="262" t="s">
        <v>137</v>
      </c>
      <c r="K291" s="262"/>
      <c r="L291" s="262"/>
      <c r="M291" s="262" t="s">
        <v>140</v>
      </c>
      <c r="N291" s="262" t="s">
        <v>141</v>
      </c>
      <c r="O291" s="722" t="s">
        <v>790</v>
      </c>
      <c r="P291" s="262" t="s">
        <v>762</v>
      </c>
      <c r="Q291" s="262" t="s">
        <v>143</v>
      </c>
      <c r="R291" s="262" t="s">
        <v>179</v>
      </c>
      <c r="S291" s="261"/>
      <c r="T291" s="261" t="s">
        <v>152</v>
      </c>
      <c r="U291" s="261"/>
      <c r="V291" s="261" t="s">
        <v>146</v>
      </c>
      <c r="W291" s="261">
        <v>1</v>
      </c>
      <c r="X291" s="381">
        <v>5</v>
      </c>
      <c r="Y291" s="381">
        <f>Tabla_query__2[[#This Row],[Número
Semanas]]*5*8</f>
        <v>200</v>
      </c>
      <c r="Z291" s="646">
        <f>Tabla_query__2[[#This Row],[TOTAL]]/Tabla_query__2[[#This Row],[Número de Horas]]/2</f>
        <v>6.875</v>
      </c>
      <c r="AA291" s="261">
        <v>1</v>
      </c>
      <c r="AB291" s="261">
        <v>550</v>
      </c>
      <c r="AC291" s="261"/>
      <c r="AD291" s="388">
        <f>Tabla_query__2[[#This Row],[Número
Semanas]]*Tabla_query__2[[#This Row],[Número
Personas]]*Tabla_query__2[[#This Row],[Costo
Mano Obra/semana]]</f>
        <v>2750</v>
      </c>
      <c r="AE291" s="261"/>
      <c r="AF291" s="261"/>
      <c r="AG291" s="261"/>
      <c r="AH291" s="282">
        <v>45355</v>
      </c>
      <c r="AI291" s="282">
        <v>45422</v>
      </c>
      <c r="AJ291" s="282" t="e">
        <f>#REF!</f>
        <v>#REF!</v>
      </c>
      <c r="AK291" s="282">
        <v>45425</v>
      </c>
      <c r="AL291" s="282">
        <v>45429</v>
      </c>
      <c r="AM291" s="282">
        <f t="shared" si="14"/>
        <v>363404</v>
      </c>
      <c r="AN291" s="282">
        <v>45432</v>
      </c>
      <c r="AO291" s="282">
        <v>45436</v>
      </c>
      <c r="AP291" s="700">
        <f>Tabla_query__2[[#This Row],[InicioDes]]</f>
        <v>45355</v>
      </c>
      <c r="AQ291" s="700">
        <f>Tabla_query__2[[#This Row],[FinDes2]]</f>
        <v>45436</v>
      </c>
      <c r="AR291" s="282">
        <f>Tabla_query__2[[#This Row],[Número
Semanas]]/4</f>
        <v>1.25</v>
      </c>
      <c r="AS291" s="269">
        <f>Tabla_query__2[[#This Row],[FinDes2]]-Tabla_query__2[[#This Row],[InicioDes2]]</f>
        <v>4</v>
      </c>
      <c r="AT291" s="261"/>
    </row>
    <row r="292" spans="1:48" ht="25.5" customHeight="1">
      <c r="A292" s="318" t="s">
        <v>130</v>
      </c>
      <c r="B292" s="277" t="s">
        <v>218</v>
      </c>
      <c r="C292" s="277"/>
      <c r="D292" s="494" t="s">
        <v>813</v>
      </c>
      <c r="E292" s="494" t="s">
        <v>814</v>
      </c>
      <c r="F292" s="259" t="s">
        <v>815</v>
      </c>
      <c r="G292" s="259"/>
      <c r="H292" s="259" t="s">
        <v>204</v>
      </c>
      <c r="I292" s="262" t="s">
        <v>266</v>
      </c>
      <c r="J292" s="262" t="s">
        <v>137</v>
      </c>
      <c r="K292" s="262"/>
      <c r="L292" s="262"/>
      <c r="M292" s="277" t="s">
        <v>140</v>
      </c>
      <c r="N292" s="277" t="s">
        <v>816</v>
      </c>
      <c r="O292" s="722" t="s">
        <v>790</v>
      </c>
      <c r="P292" s="262" t="s">
        <v>762</v>
      </c>
      <c r="Q292" s="262" t="s">
        <v>143</v>
      </c>
      <c r="R292" s="277" t="s">
        <v>144</v>
      </c>
      <c r="S292" s="259" t="s">
        <v>145</v>
      </c>
      <c r="T292" s="259" t="s">
        <v>221</v>
      </c>
      <c r="U292" s="259"/>
      <c r="V292" s="259" t="s">
        <v>146</v>
      </c>
      <c r="W292" s="259">
        <v>1</v>
      </c>
      <c r="X292" s="259">
        <v>4</v>
      </c>
      <c r="Y292" s="259">
        <f>Tabla_query__2[[#This Row],[Número
Semanas]]*5*8</f>
        <v>160</v>
      </c>
      <c r="Z292" s="387">
        <f>Tabla_query__2[[#This Row],[TOTAL]]/Tabla_query__2[[#This Row],[Número de Horas]]/2</f>
        <v>22.5</v>
      </c>
      <c r="AA292" s="259">
        <v>3</v>
      </c>
      <c r="AB292" s="259">
        <f>15*40</f>
        <v>600</v>
      </c>
      <c r="AC292" s="259"/>
      <c r="AD292" s="403">
        <f>Tabla_query__2[[#This Row],[Número
Semanas]]*Tabla_query__2[[#This Row],[Número
Personas]]*Tabla_query__2[[#This Row],[Costo
Mano Obra/semana]]</f>
        <v>7200</v>
      </c>
      <c r="AE292" s="259"/>
      <c r="AF292" s="259"/>
      <c r="AG292" s="259"/>
      <c r="AH292" s="404"/>
      <c r="AI292" s="404"/>
      <c r="AJ292" s="451">
        <f>Tabla_query__2[[#This Row],[FinDes]]-Tabla_query__2[[#This Row],[InicioDes]]</f>
        <v>0</v>
      </c>
      <c r="AK292" s="404"/>
      <c r="AL292" s="404"/>
      <c r="AM292" s="405">
        <f>Tabla_query__2[[#This Row],[FinPil]]-Tabla_query__2[[#This Row],[InicioPil]]</f>
        <v>0</v>
      </c>
      <c r="AN292" s="404"/>
      <c r="AO292" s="329"/>
      <c r="AP292" s="384"/>
      <c r="AQ292" s="384"/>
      <c r="AR292" s="462">
        <f>Tabla_query__2[[#This Row],[Número
Semanas]]/4</f>
        <v>1</v>
      </c>
      <c r="AS292" s="405">
        <f>Tabla_query__2[[#This Row],[FinDes2]]-Tabla_query__2[[#This Row],[InicioDes2]]</f>
        <v>0</v>
      </c>
      <c r="AT292" s="259"/>
      <c r="AU292" s="407"/>
      <c r="AV292" s="407"/>
    </row>
    <row r="293" spans="1:48" ht="23.25">
      <c r="A293" s="318" t="s">
        <v>130</v>
      </c>
      <c r="B293" s="277" t="s">
        <v>212</v>
      </c>
      <c r="C293" s="277"/>
      <c r="D293" s="262" t="s">
        <v>817</v>
      </c>
      <c r="E293" s="262"/>
      <c r="F293" s="259" t="s">
        <v>818</v>
      </c>
      <c r="G293" s="259"/>
      <c r="H293" s="259" t="s">
        <v>204</v>
      </c>
      <c r="I293" s="277" t="s">
        <v>819</v>
      </c>
      <c r="J293" s="262" t="s">
        <v>4</v>
      </c>
      <c r="K293" s="262"/>
      <c r="L293" s="262"/>
      <c r="M293" s="277" t="s">
        <v>206</v>
      </c>
      <c r="N293" s="277" t="s">
        <v>46</v>
      </c>
      <c r="O293" s="723" t="s">
        <v>216</v>
      </c>
      <c r="P293" s="277" t="s">
        <v>45</v>
      </c>
      <c r="Q293" s="262" t="s">
        <v>298</v>
      </c>
      <c r="R293" s="277" t="s">
        <v>144</v>
      </c>
      <c r="S293" s="259" t="s">
        <v>145</v>
      </c>
      <c r="T293" s="259" t="s">
        <v>221</v>
      </c>
      <c r="U293" s="259"/>
      <c r="V293" s="259" t="s">
        <v>146</v>
      </c>
      <c r="W293" s="259"/>
      <c r="X293" s="259"/>
      <c r="Y293" s="259">
        <f>Tabla_query__2[[#This Row],[Número
Semanas]]*5*8</f>
        <v>0</v>
      </c>
      <c r="Z293" s="387" t="e">
        <f>Tabla_query__2[[#This Row],[TOTAL]]/Tabla_query__2[[#This Row],[Número de Horas]]/2</f>
        <v>#DIV/0!</v>
      </c>
      <c r="AA293" s="259">
        <v>4</v>
      </c>
      <c r="AB293" s="259"/>
      <c r="AC293" s="259"/>
      <c r="AD293" s="431">
        <f>(2*4*1600)+15400+10200</f>
        <v>38400</v>
      </c>
      <c r="AE293" s="387">
        <v>15400</v>
      </c>
      <c r="AF293" s="259"/>
      <c r="AG293" s="259"/>
      <c r="AH293" s="404">
        <v>45329</v>
      </c>
      <c r="AI293" s="404">
        <v>45379</v>
      </c>
      <c r="AJ293" s="451">
        <f>Tabla_query__2[[#This Row],[FinDes]]-Tabla_query__2[[#This Row],[InicioDes]]</f>
        <v>50</v>
      </c>
      <c r="AK293" s="404">
        <v>45379</v>
      </c>
      <c r="AL293" s="404">
        <v>45379</v>
      </c>
      <c r="AM293" s="405">
        <f>Tabla_query__2[[#This Row],[FinPil]]-Tabla_query__2[[#This Row],[InicioPil]]</f>
        <v>0</v>
      </c>
      <c r="AN293" s="404"/>
      <c r="AO293" s="404"/>
      <c r="AP293" s="384">
        <f>Tabla_query__2[[#This Row],[InicioDes]]</f>
        <v>45329</v>
      </c>
      <c r="AQ293" s="384">
        <f>Tabla_query__2[[#This Row],[FinDes2]]</f>
        <v>0</v>
      </c>
      <c r="AR293" s="462">
        <f>Tabla_query__2[[#This Row],[Número
Semanas]]/4</f>
        <v>0</v>
      </c>
      <c r="AS293" s="405">
        <f>Tabla_query__2[[#This Row],[FinDes2]]-Tabla_query__2[[#This Row],[InicioDes2]]</f>
        <v>0</v>
      </c>
      <c r="AT293" s="259" t="s">
        <v>217</v>
      </c>
      <c r="AU293" s="407"/>
      <c r="AV293" s="329"/>
    </row>
    <row r="294" spans="1:48">
      <c r="A294" s="318" t="s">
        <v>130</v>
      </c>
      <c r="B294" s="262" t="s">
        <v>131</v>
      </c>
      <c r="C294" s="262" t="s">
        <v>192</v>
      </c>
      <c r="D294" s="262" t="s">
        <v>820</v>
      </c>
      <c r="E294" s="262" t="s">
        <v>164</v>
      </c>
      <c r="F294" s="262" t="s">
        <v>821</v>
      </c>
      <c r="G294" s="262" t="s">
        <v>210</v>
      </c>
      <c r="H294" s="259" t="s">
        <v>137</v>
      </c>
      <c r="I294" s="262" t="s">
        <v>138</v>
      </c>
      <c r="J294" s="262" t="s">
        <v>4</v>
      </c>
      <c r="K294" s="262"/>
      <c r="L294" s="262"/>
      <c r="M294" s="278" t="s">
        <v>206</v>
      </c>
      <c r="N294" s="278" t="s">
        <v>46</v>
      </c>
      <c r="O294" s="723" t="s">
        <v>216</v>
      </c>
      <c r="P294" s="278" t="s">
        <v>45</v>
      </c>
      <c r="Q294" s="262" t="s">
        <v>143</v>
      </c>
      <c r="R294" s="278" t="s">
        <v>144</v>
      </c>
      <c r="S294" s="276"/>
      <c r="T294" s="591" t="s">
        <v>320</v>
      </c>
      <c r="U294" s="276"/>
      <c r="V294" s="276"/>
      <c r="W294" s="261"/>
      <c r="X294" s="261">
        <v>8</v>
      </c>
      <c r="Y294" s="261">
        <f>Tabla_query__2[[#This Row],[Número
Semanas]]*5*8</f>
        <v>320</v>
      </c>
      <c r="Z294" s="268">
        <f>Tabla_query__2[[#This Row],[TOTAL]]/Tabla_query__2[[#This Row],[Número de Horas]]/2</f>
        <v>7.875</v>
      </c>
      <c r="AA294" s="261">
        <v>1</v>
      </c>
      <c r="AB294" s="261">
        <v>550</v>
      </c>
      <c r="AC294" s="261"/>
      <c r="AD294" s="268">
        <f>Tabla_query__2[[#This Row],[Número
Semanas]]*Tabla_query__2[[#This Row],[Número
Personas]]*Tabla_query__2[[#This Row],[Costo
Mano Obra/semana]] + 640</f>
        <v>5040</v>
      </c>
      <c r="AE294" s="261"/>
      <c r="AF294" s="261"/>
      <c r="AG294" s="547" t="s">
        <v>322</v>
      </c>
      <c r="AH294" s="463">
        <v>45572</v>
      </c>
      <c r="AI294" s="456">
        <v>45607</v>
      </c>
      <c r="AJ294" s="462">
        <f>Tabla_query__2[[#This Row],[FinDes]]-Tabla_query__2[[#This Row],[InicioDes]]</f>
        <v>35</v>
      </c>
      <c r="AK294" s="456">
        <v>45607</v>
      </c>
      <c r="AL294" s="456">
        <v>45621</v>
      </c>
      <c r="AM294" s="462">
        <f>AL294+ ((AK294*7))</f>
        <v>364870</v>
      </c>
      <c r="AN294" s="456">
        <v>45621</v>
      </c>
      <c r="AO294" s="456">
        <v>45628</v>
      </c>
      <c r="AP294" s="456">
        <v>45566</v>
      </c>
      <c r="AQ294" s="281">
        <f>Tabla_query__2[[#This Row],[Inicio Real]]+(Tabla_query__2[[#This Row],[Número
Semanas]]*7)</f>
        <v>45622</v>
      </c>
      <c r="AR294" s="462">
        <f>Tabla_query__2[[#This Row],[Número
Semanas]]/4</f>
        <v>2</v>
      </c>
      <c r="AS294" s="269">
        <f>Tabla_query__2[[#This Row],[FinDes2]]-Tabla_query__2[[#This Row],[InicioDes2]]</f>
        <v>7</v>
      </c>
      <c r="AT294" s="261" t="s">
        <v>217</v>
      </c>
      <c r="AV294" s="5"/>
    </row>
    <row r="295" spans="1:48" ht="23.25">
      <c r="A295" s="318" t="s">
        <v>130</v>
      </c>
      <c r="B295" s="277" t="s">
        <v>217</v>
      </c>
      <c r="C295" s="277"/>
      <c r="D295" s="277" t="s">
        <v>822</v>
      </c>
      <c r="E295" s="262"/>
      <c r="F295" s="259" t="s">
        <v>823</v>
      </c>
      <c r="G295" s="259"/>
      <c r="H295" s="259" t="s">
        <v>204</v>
      </c>
      <c r="I295" s="277" t="s">
        <v>824</v>
      </c>
      <c r="J295" s="277" t="s">
        <v>4</v>
      </c>
      <c r="K295" s="277"/>
      <c r="L295" s="277"/>
      <c r="M295" s="277" t="s">
        <v>206</v>
      </c>
      <c r="N295" s="277" t="s">
        <v>44</v>
      </c>
      <c r="O295" s="723" t="s">
        <v>225</v>
      </c>
      <c r="P295" s="277" t="s">
        <v>43</v>
      </c>
      <c r="Q295" s="262" t="s">
        <v>208</v>
      </c>
      <c r="R295" s="277" t="s">
        <v>144</v>
      </c>
      <c r="S295" s="259"/>
      <c r="T295" s="259"/>
      <c r="U295" s="259"/>
      <c r="V295" s="259"/>
      <c r="W295" s="259"/>
      <c r="X295" s="259"/>
      <c r="Y295" s="259">
        <f>Tabla_query__2[[#This Row],[Número
Semanas]]*5*8</f>
        <v>0</v>
      </c>
      <c r="Z295" s="387" t="e">
        <f>Tabla_query__2[[#This Row],[TOTAL]]/Tabla_query__2[[#This Row],[Número de Horas]]/2</f>
        <v>#DIV/0!</v>
      </c>
      <c r="AA295" s="259"/>
      <c r="AB295" s="259"/>
      <c r="AC295" s="259"/>
      <c r="AD295" s="387">
        <f>Tabla_query__2[[#This Row],[Número
Semanas]]*Tabla_query__2[[#This Row],[Número
Personas]]*Tabla_query__2[[#This Row],[Costo
Mano Obra/semana]] + 640</f>
        <v>640</v>
      </c>
      <c r="AE295" s="259"/>
      <c r="AF295" s="259"/>
      <c r="AG295" s="259"/>
      <c r="AH295" s="404"/>
      <c r="AI295" s="404"/>
      <c r="AJ295" s="451">
        <f>Tabla_query__2[[#This Row],[FinDes]]-Tabla_query__2[[#This Row],[InicioDes]]</f>
        <v>0</v>
      </c>
      <c r="AK295" s="404"/>
      <c r="AL295" s="404"/>
      <c r="AM295" s="405">
        <f>Tabla_query__2[[#This Row],[FinPil]]-Tabla_query__2[[#This Row],[InicioPil]]</f>
        <v>0</v>
      </c>
      <c r="AN295" s="404"/>
      <c r="AO295" s="404"/>
      <c r="AP295" s="384">
        <f>Tabla_query__2[[#This Row],[InicioDes]]</f>
        <v>0</v>
      </c>
      <c r="AQ295" s="384">
        <f>Tabla_query__2[[#This Row],[FinDes2]]</f>
        <v>0</v>
      </c>
      <c r="AR295" s="462">
        <f>Tabla_query__2[[#This Row],[Número
Semanas]]/4</f>
        <v>0</v>
      </c>
      <c r="AS295" s="405">
        <f>Tabla_query__2[[#This Row],[FinDes2]]-Tabla_query__2[[#This Row],[InicioDes2]]</f>
        <v>0</v>
      </c>
      <c r="AT295" s="259" t="s">
        <v>217</v>
      </c>
      <c r="AU295" s="329"/>
      <c r="AV295" s="407"/>
    </row>
    <row r="296" spans="1:48" s="289" customFormat="1" ht="23.25">
      <c r="A296" s="318" t="s">
        <v>130</v>
      </c>
      <c r="B296" s="262" t="s">
        <v>457</v>
      </c>
      <c r="C296" s="262"/>
      <c r="D296" s="277" t="s">
        <v>825</v>
      </c>
      <c r="E296" s="262"/>
      <c r="F296" s="259" t="s">
        <v>826</v>
      </c>
      <c r="G296" s="259"/>
      <c r="H296" s="259" t="s">
        <v>204</v>
      </c>
      <c r="I296" s="262" t="s">
        <v>682</v>
      </c>
      <c r="J296" s="262" t="s">
        <v>4</v>
      </c>
      <c r="K296" s="262"/>
      <c r="L296" s="262"/>
      <c r="M296" s="262" t="s">
        <v>206</v>
      </c>
      <c r="N296" s="262" t="s">
        <v>38</v>
      </c>
      <c r="O296" s="722" t="s">
        <v>247</v>
      </c>
      <c r="P296" s="262" t="s">
        <v>40</v>
      </c>
      <c r="Q296" s="262" t="s">
        <v>298</v>
      </c>
      <c r="R296" s="262" t="s">
        <v>144</v>
      </c>
      <c r="S296" s="261"/>
      <c r="T296" s="261" t="s">
        <v>320</v>
      </c>
      <c r="U296" s="261"/>
      <c r="V296" s="261" t="s">
        <v>146</v>
      </c>
      <c r="W296" s="261"/>
      <c r="X296" s="261">
        <v>8</v>
      </c>
      <c r="Y296" s="261">
        <f>Tabla_query__2[[#This Row],[Número
Semanas]]*5*8</f>
        <v>320</v>
      </c>
      <c r="Z296" s="268">
        <f>Tabla_query__2[[#This Row],[TOTAL]]/Tabla_query__2[[#This Row],[Número de Horas]]/2</f>
        <v>7.875</v>
      </c>
      <c r="AA296" s="261">
        <v>1</v>
      </c>
      <c r="AB296" s="261">
        <v>550</v>
      </c>
      <c r="AC296" s="261"/>
      <c r="AD296" s="268">
        <f>Tabla_query__2[[#This Row],[Número
Semanas]]*Tabla_query__2[[#This Row],[Número
Personas]]*Tabla_query__2[[#This Row],[Costo
Mano Obra/semana]] + 640</f>
        <v>5040</v>
      </c>
      <c r="AE296" s="261"/>
      <c r="AF296" s="261"/>
      <c r="AG296" s="261"/>
      <c r="AH296" s="261"/>
      <c r="AI296" s="261"/>
      <c r="AJ296" s="282" t="e">
        <f>#REF!</f>
        <v>#REF!</v>
      </c>
      <c r="AK296" s="261"/>
      <c r="AL296" s="261"/>
      <c r="AM296" s="282">
        <f>AL296+ ((AK296*7))</f>
        <v>0</v>
      </c>
      <c r="AN296" s="261"/>
      <c r="AO296" s="261"/>
      <c r="AP296" s="384">
        <f>Tabla_query__2[[#This Row],[InicioDes]]</f>
        <v>0</v>
      </c>
      <c r="AQ296" s="384">
        <f>Tabla_query__2[[#This Row],[FinDes2]]</f>
        <v>0</v>
      </c>
      <c r="AR296" s="462">
        <f>Tabla_query__2[[#This Row],[Número
Semanas]]/4</f>
        <v>2</v>
      </c>
      <c r="AS296" s="269">
        <f>Tabla_query__2[[#This Row],[FinDes2]]-Tabla_query__2[[#This Row],[InicioDes2]]</f>
        <v>0</v>
      </c>
      <c r="AT296" s="261"/>
      <c r="AU296"/>
      <c r="AV296" s="293"/>
    </row>
    <row r="297" spans="1:48" s="293" customFormat="1" ht="58.15">
      <c r="A297" s="318" t="s">
        <v>130</v>
      </c>
      <c r="B297" s="262" t="s">
        <v>457</v>
      </c>
      <c r="C297" s="262"/>
      <c r="D297" s="262" t="s">
        <v>827</v>
      </c>
      <c r="E297" s="262"/>
      <c r="F297" s="259" t="s">
        <v>828</v>
      </c>
      <c r="G297" s="259"/>
      <c r="H297" s="259" t="s">
        <v>204</v>
      </c>
      <c r="I297" s="262" t="s">
        <v>829</v>
      </c>
      <c r="J297" s="262" t="s">
        <v>4</v>
      </c>
      <c r="K297" s="262"/>
      <c r="L297" s="262"/>
      <c r="M297" s="262" t="s">
        <v>206</v>
      </c>
      <c r="N297" s="262" t="s">
        <v>26</v>
      </c>
      <c r="O297" s="722" t="s">
        <v>562</v>
      </c>
      <c r="P297" s="262" t="s">
        <v>25</v>
      </c>
      <c r="Q297" s="262" t="s">
        <v>208</v>
      </c>
      <c r="R297" s="262" t="s">
        <v>144</v>
      </c>
      <c r="S297" s="261" t="s">
        <v>221</v>
      </c>
      <c r="T297" s="261" t="s">
        <v>145</v>
      </c>
      <c r="U297" s="261"/>
      <c r="V297" s="261" t="s">
        <v>146</v>
      </c>
      <c r="W297" s="261"/>
      <c r="X297" s="261">
        <v>0</v>
      </c>
      <c r="Y297" s="261">
        <f>Tabla_query__2[[#This Row],[Número
Semanas]]*5*8</f>
        <v>0</v>
      </c>
      <c r="Z297" s="268" t="e">
        <f>Tabla_query__2[[#This Row],[TOTAL]]/Tabla_query__2[[#This Row],[Número de Horas]]/2</f>
        <v>#DIV/0!</v>
      </c>
      <c r="AA297" s="261">
        <v>0</v>
      </c>
      <c r="AB297" s="261">
        <v>0</v>
      </c>
      <c r="AC297" s="261"/>
      <c r="AD297" s="387">
        <f>Tabla_query__2[[#This Row],[Número
Semanas]]*Tabla_query__2[[#This Row],[Número
Personas]]*Tabla_query__2[[#This Row],[Costo
Mano Obra/semana]] + (0.8*6000)</f>
        <v>4800</v>
      </c>
      <c r="AE297" s="261"/>
      <c r="AF297" s="261"/>
      <c r="AG297" s="261"/>
      <c r="AH297" s="404">
        <v>45518</v>
      </c>
      <c r="AI297" s="404">
        <v>45549</v>
      </c>
      <c r="AJ297" s="282" t="e">
        <f>#REF!</f>
        <v>#REF!</v>
      </c>
      <c r="AK297" s="404">
        <v>45549</v>
      </c>
      <c r="AL297" s="404">
        <v>45556</v>
      </c>
      <c r="AM297" s="282">
        <f>AL297+ ((AK297*7))</f>
        <v>364399</v>
      </c>
      <c r="AN297" s="404">
        <v>45556</v>
      </c>
      <c r="AO297" s="404">
        <v>45563</v>
      </c>
      <c r="AP297" s="384">
        <f>Tabla_query__2[[#This Row],[InicioDes]]</f>
        <v>45518</v>
      </c>
      <c r="AQ297" s="384">
        <f>Tabla_query__2[[#This Row],[FinDes2]]</f>
        <v>45563</v>
      </c>
      <c r="AR297" s="462">
        <f>Tabla_query__2[[#This Row],[Número
Semanas]]/4</f>
        <v>0</v>
      </c>
      <c r="AS297" s="269">
        <f>Tabla_query__2[[#This Row],[FinDes2]]-Tabla_query__2[[#This Row],[InicioDes2]]</f>
        <v>7</v>
      </c>
      <c r="AT297" s="261" t="s">
        <v>830</v>
      </c>
      <c r="AU297"/>
      <c r="AV297" s="329"/>
    </row>
    <row r="298" spans="1:48">
      <c r="A298" s="318" t="s">
        <v>130</v>
      </c>
      <c r="B298" s="277" t="s">
        <v>212</v>
      </c>
      <c r="C298" s="277"/>
      <c r="D298" s="271" t="s">
        <v>831</v>
      </c>
      <c r="E298" s="271"/>
      <c r="F298" s="259" t="s">
        <v>832</v>
      </c>
      <c r="G298" s="259"/>
      <c r="H298" s="259" t="s">
        <v>204</v>
      </c>
      <c r="I298" s="262" t="s">
        <v>266</v>
      </c>
      <c r="J298" s="262" t="s">
        <v>137</v>
      </c>
      <c r="K298" s="262"/>
      <c r="L298" s="262"/>
      <c r="M298" s="277" t="s">
        <v>330</v>
      </c>
      <c r="N298" s="277" t="s">
        <v>833</v>
      </c>
      <c r="O298" s="723" t="s">
        <v>834</v>
      </c>
      <c r="P298" s="262" t="s">
        <v>835</v>
      </c>
      <c r="Q298" s="262" t="s">
        <v>143</v>
      </c>
      <c r="R298" s="277" t="s">
        <v>144</v>
      </c>
      <c r="S298" s="259" t="s">
        <v>145</v>
      </c>
      <c r="T298" s="259" t="s">
        <v>145</v>
      </c>
      <c r="U298" s="259"/>
      <c r="V298" s="259" t="s">
        <v>136</v>
      </c>
      <c r="W298" s="259">
        <v>1</v>
      </c>
      <c r="X298" s="259"/>
      <c r="Y298" s="259">
        <f>Tabla_query__2[[#This Row],[Número
Semanas]]*5*8</f>
        <v>0</v>
      </c>
      <c r="Z298" s="387" t="e">
        <f>Tabla_query__2[[#This Row],[TOTAL]]/Tabla_query__2[[#This Row],[Número de Horas]]/2</f>
        <v>#DIV/0!</v>
      </c>
      <c r="AA298" s="259"/>
      <c r="AB298" s="259"/>
      <c r="AC298" s="259"/>
      <c r="AD298" s="403">
        <v>0</v>
      </c>
      <c r="AE298" s="259"/>
      <c r="AF298" s="259"/>
      <c r="AG298" s="259"/>
      <c r="AH298" s="404">
        <v>45358</v>
      </c>
      <c r="AI298" s="404">
        <v>45471</v>
      </c>
      <c r="AJ298" s="451">
        <f>Tabla_query__2[[#This Row],[FinDes]]-Tabla_query__2[[#This Row],[InicioDes]]</f>
        <v>113</v>
      </c>
      <c r="AK298" s="404">
        <v>45474</v>
      </c>
      <c r="AL298" s="404">
        <v>45504</v>
      </c>
      <c r="AM298" s="405">
        <f>Tabla_query__2[[#This Row],[FinPil]]-Tabla_query__2[[#This Row],[InicioPil]]</f>
        <v>30</v>
      </c>
      <c r="AN298" s="404">
        <v>45474</v>
      </c>
      <c r="AO298" s="404">
        <v>45504</v>
      </c>
      <c r="AP298" s="384">
        <f>Tabla_query__2[[#This Row],[InicioDes]]</f>
        <v>45358</v>
      </c>
      <c r="AQ298" s="384">
        <f>Tabla_query__2[[#This Row],[FinDes2]]</f>
        <v>45504</v>
      </c>
      <c r="AR298" s="404">
        <f>Tabla_query__2[[#This Row],[Número
Semanas]]/4</f>
        <v>0</v>
      </c>
      <c r="AS298" s="405">
        <f>Tabla_query__2[[#This Row],[FinDes2]]-Tabla_query__2[[#This Row],[InicioDes2]]</f>
        <v>30</v>
      </c>
      <c r="AT298" s="259"/>
      <c r="AU298" s="329"/>
      <c r="AV298" s="329"/>
    </row>
    <row r="299" spans="1:48">
      <c r="A299" s="318" t="s">
        <v>251</v>
      </c>
      <c r="B299" s="262" t="s">
        <v>218</v>
      </c>
      <c r="C299" s="262"/>
      <c r="D299" s="262" t="s">
        <v>836</v>
      </c>
      <c r="E299" s="262" t="s">
        <v>678</v>
      </c>
      <c r="F299" s="259" t="s">
        <v>581</v>
      </c>
      <c r="G299" s="259"/>
      <c r="H299" s="259" t="s">
        <v>204</v>
      </c>
      <c r="I299" s="262" t="s">
        <v>456</v>
      </c>
      <c r="J299" s="262" t="s">
        <v>53</v>
      </c>
      <c r="K299" s="262"/>
      <c r="L299" s="262"/>
      <c r="M299" s="262" t="s">
        <v>206</v>
      </c>
      <c r="N299" s="262" t="s">
        <v>62</v>
      </c>
      <c r="O299" s="722" t="s">
        <v>837</v>
      </c>
      <c r="P299" s="262" t="s">
        <v>61</v>
      </c>
      <c r="Q299" s="262" t="s">
        <v>143</v>
      </c>
      <c r="R299" s="262" t="s">
        <v>197</v>
      </c>
      <c r="S299" s="261"/>
      <c r="T299" s="261" t="s">
        <v>152</v>
      </c>
      <c r="U299" s="261"/>
      <c r="V299" s="261" t="s">
        <v>210</v>
      </c>
      <c r="W299" s="261"/>
      <c r="X299" s="261"/>
      <c r="Y299" s="261">
        <f>Tabla_query__2[[#This Row],[Número
Semanas]]*5*8</f>
        <v>0</v>
      </c>
      <c r="Z299" s="268" t="e">
        <f>Tabla_query__2[[#This Row],[TOTAL]]/Tabla_query__2[[#This Row],[Número de Horas]]/2</f>
        <v>#DIV/0!</v>
      </c>
      <c r="AA299" s="261"/>
      <c r="AB299" s="261"/>
      <c r="AC299" s="261"/>
      <c r="AD299" s="268"/>
      <c r="AE299" s="261"/>
      <c r="AF299" s="261"/>
      <c r="AG299" s="547">
        <v>0</v>
      </c>
      <c r="AH299" s="261"/>
      <c r="AI299" s="261"/>
      <c r="AJ299" s="282" t="e">
        <f>#REF!</f>
        <v>#REF!</v>
      </c>
      <c r="AK299" s="261"/>
      <c r="AL299" s="261"/>
      <c r="AM299" s="282">
        <f t="shared" ref="AM299:AM323" si="15">AL299+ ((AK299*7))</f>
        <v>0</v>
      </c>
      <c r="AN299" s="707">
        <v>45323</v>
      </c>
      <c r="AO299" s="261"/>
      <c r="AP299" s="384">
        <f>Tabla_query__2[[#This Row],[InicioDes]]</f>
        <v>0</v>
      </c>
      <c r="AQ299" s="384">
        <f>Tabla_query__2[[#This Row],[FinDes2]]</f>
        <v>0</v>
      </c>
      <c r="AR299" s="462">
        <f>Tabla_query__2[[#This Row],[Número
Semanas]]/4</f>
        <v>0</v>
      </c>
      <c r="AS299" s="269">
        <f>Tabla_query__2[[#This Row],[FinDes2]]-Tabla_query__2[[#This Row],[InicioDes2]]</f>
        <v>-45323</v>
      </c>
      <c r="AT299" s="261" t="s">
        <v>838</v>
      </c>
    </row>
    <row r="300" spans="1:48" ht="23.25">
      <c r="A300" s="318" t="s">
        <v>130</v>
      </c>
      <c r="B300" s="262" t="s">
        <v>131</v>
      </c>
      <c r="C300" s="262" t="s">
        <v>175</v>
      </c>
      <c r="D300" s="277" t="s">
        <v>839</v>
      </c>
      <c r="E300" s="262" t="s">
        <v>164</v>
      </c>
      <c r="F300" s="265" t="s">
        <v>840</v>
      </c>
      <c r="G300" s="265" t="s">
        <v>210</v>
      </c>
      <c r="H300" s="265" t="s">
        <v>137</v>
      </c>
      <c r="I300" s="262" t="s">
        <v>260</v>
      </c>
      <c r="J300" s="262" t="s">
        <v>4</v>
      </c>
      <c r="K300" s="262"/>
      <c r="L300" s="262"/>
      <c r="M300" s="266" t="s">
        <v>330</v>
      </c>
      <c r="N300" s="262" t="s">
        <v>47</v>
      </c>
      <c r="O300" s="722" t="s">
        <v>305</v>
      </c>
      <c r="P300" s="262" t="s">
        <v>45</v>
      </c>
      <c r="Q300" s="262" t="s">
        <v>143</v>
      </c>
      <c r="R300" s="262" t="s">
        <v>144</v>
      </c>
      <c r="S300" s="261" t="s">
        <v>320</v>
      </c>
      <c r="T300" s="591" t="s">
        <v>320</v>
      </c>
      <c r="U300" s="261" t="s">
        <v>841</v>
      </c>
      <c r="V300" s="261" t="s">
        <v>146</v>
      </c>
      <c r="W300" s="261">
        <v>1</v>
      </c>
      <c r="X300" s="261">
        <v>7</v>
      </c>
      <c r="Y300" s="261">
        <f>Tabla_query__2[[#This Row],[Número
Semanas]]*5*8</f>
        <v>280</v>
      </c>
      <c r="Z300" s="268">
        <f>Tabla_query__2[[#This Row],[TOTAL]]/Tabla_query__2[[#This Row],[Número de Horas]]/2</f>
        <v>8.0178571428571423</v>
      </c>
      <c r="AA300" s="261">
        <v>1</v>
      </c>
      <c r="AB300" s="261">
        <v>550</v>
      </c>
      <c r="AC300" s="261"/>
      <c r="AD300" s="387">
        <f>(Tabla_query__2[[#This Row],[Número
Semanas]]*Tabla_query__2[[#This Row],[Número
Personas]]*Tabla_query__2[[#This Row],[Costo
Mano Obra/semana]]+640)*Tabla_query__2[[#This Row],[Factor País]]</f>
        <v>4490</v>
      </c>
      <c r="AE300" s="261"/>
      <c r="AF300" s="261"/>
      <c r="AG300" s="547" t="s">
        <v>791</v>
      </c>
      <c r="AH300" s="464">
        <v>45614</v>
      </c>
      <c r="AI300" s="320">
        <v>45628</v>
      </c>
      <c r="AJ300" s="462">
        <f>Tabla_query__2[[#This Row],[FinDes]]-Tabla_query__2[[#This Row],[InicioDes]]</f>
        <v>14</v>
      </c>
      <c r="AK300" s="320">
        <v>45628</v>
      </c>
      <c r="AL300" s="320">
        <v>45635</v>
      </c>
      <c r="AM300" s="462">
        <f t="shared" si="15"/>
        <v>365031</v>
      </c>
      <c r="AN300" s="320">
        <v>45635</v>
      </c>
      <c r="AO300" s="267">
        <v>45688</v>
      </c>
      <c r="AP300" s="320">
        <v>45597</v>
      </c>
      <c r="AQ300" s="281">
        <f>Tabla_query__2[[#This Row],[Inicio Real]]+(Tabla_query__2[[#This Row],[Número
Semanas]]*7)</f>
        <v>45646</v>
      </c>
      <c r="AR300" s="462">
        <f>Tabla_query__2[[#This Row],[Número
Semanas]]/4</f>
        <v>1.75</v>
      </c>
      <c r="AS300" s="269">
        <f>Tabla_query__2[[#This Row],[FinDes2]]-Tabla_query__2[[#This Row],[InicioDes2]]</f>
        <v>53</v>
      </c>
      <c r="AT300" s="261" t="s">
        <v>155</v>
      </c>
      <c r="AV300" s="445" t="s">
        <v>148</v>
      </c>
    </row>
    <row r="301" spans="1:48" ht="23.25">
      <c r="A301" s="318" t="s">
        <v>130</v>
      </c>
      <c r="B301" s="262" t="s">
        <v>131</v>
      </c>
      <c r="C301" s="262" t="s">
        <v>175</v>
      </c>
      <c r="D301" s="262" t="s">
        <v>839</v>
      </c>
      <c r="E301" s="262" t="s">
        <v>164</v>
      </c>
      <c r="F301" s="265" t="s">
        <v>840</v>
      </c>
      <c r="G301" s="265" t="s">
        <v>210</v>
      </c>
      <c r="H301" s="259" t="s">
        <v>204</v>
      </c>
      <c r="I301" s="262" t="s">
        <v>260</v>
      </c>
      <c r="J301" s="262" t="s">
        <v>4</v>
      </c>
      <c r="K301" s="262"/>
      <c r="L301" s="262"/>
      <c r="M301" s="266" t="s">
        <v>206</v>
      </c>
      <c r="N301" s="262" t="s">
        <v>47</v>
      </c>
      <c r="O301" s="722" t="s">
        <v>305</v>
      </c>
      <c r="P301" s="262" t="s">
        <v>45</v>
      </c>
      <c r="Q301" s="262" t="s">
        <v>143</v>
      </c>
      <c r="R301" s="262" t="s">
        <v>144</v>
      </c>
      <c r="S301" s="261" t="s">
        <v>320</v>
      </c>
      <c r="T301" s="591" t="s">
        <v>320</v>
      </c>
      <c r="U301" s="261" t="s">
        <v>841</v>
      </c>
      <c r="V301" s="261" t="s">
        <v>146</v>
      </c>
      <c r="W301" s="261">
        <v>1</v>
      </c>
      <c r="X301" s="261">
        <v>7</v>
      </c>
      <c r="Y301" s="261">
        <f>Tabla_query__2[[#This Row],[Número
Semanas]]*5*8</f>
        <v>280</v>
      </c>
      <c r="Z301" s="268">
        <f>Tabla_query__2[[#This Row],[TOTAL]]/Tabla_query__2[[#This Row],[Número de Horas]]/2</f>
        <v>8.0178571428571423</v>
      </c>
      <c r="AA301" s="261">
        <v>1</v>
      </c>
      <c r="AB301" s="261">
        <v>550</v>
      </c>
      <c r="AC301" s="261"/>
      <c r="AD301" s="387">
        <f>(Tabla_query__2[[#This Row],[Número
Semanas]]*Tabla_query__2[[#This Row],[Número
Personas]]*Tabla_query__2[[#This Row],[Costo
Mano Obra/semana]]+640)*Tabla_query__2[[#This Row],[Factor País]]</f>
        <v>4490</v>
      </c>
      <c r="AE301" s="261"/>
      <c r="AF301" s="261"/>
      <c r="AG301" s="547" t="s">
        <v>322</v>
      </c>
      <c r="AH301" s="464">
        <v>45579</v>
      </c>
      <c r="AI301" s="464">
        <v>45607</v>
      </c>
      <c r="AJ301" s="464">
        <f>Tabla_query__2[[#This Row],[FinDes]]-Tabla_query__2[[#This Row],[InicioDes]]</f>
        <v>28</v>
      </c>
      <c r="AK301" s="464">
        <v>45607</v>
      </c>
      <c r="AL301" s="464">
        <v>45614</v>
      </c>
      <c r="AM301" s="464">
        <f t="shared" si="15"/>
        <v>364863</v>
      </c>
      <c r="AN301" s="464">
        <v>45614</v>
      </c>
      <c r="AO301" s="464">
        <v>45688</v>
      </c>
      <c r="AP301" s="464">
        <v>45566</v>
      </c>
      <c r="AQ301" s="464">
        <f>Tabla_query__2[[#This Row],[Inicio Real]]+(Tabla_query__2[[#This Row],[Número
Semanas]]*7)</f>
        <v>45615</v>
      </c>
      <c r="AR301" s="464">
        <f>Tabla_query__2[[#This Row],[Número
Semanas]]/4</f>
        <v>1.75</v>
      </c>
      <c r="AS301" s="464">
        <f>Tabla_query__2[[#This Row],[FinDes2]]-Tabla_query__2[[#This Row],[InicioDes2]]</f>
        <v>74</v>
      </c>
      <c r="AT301" s="464" t="s">
        <v>155</v>
      </c>
      <c r="AV301" s="435" t="s">
        <v>148</v>
      </c>
    </row>
    <row r="302" spans="1:48" ht="23.25">
      <c r="A302" s="318" t="s">
        <v>130</v>
      </c>
      <c r="B302" s="262" t="s">
        <v>131</v>
      </c>
      <c r="C302" s="262" t="s">
        <v>175</v>
      </c>
      <c r="D302" s="262" t="s">
        <v>839</v>
      </c>
      <c r="E302" s="262" t="s">
        <v>164</v>
      </c>
      <c r="F302" s="265" t="s">
        <v>840</v>
      </c>
      <c r="G302" s="265" t="s">
        <v>210</v>
      </c>
      <c r="H302" s="265" t="s">
        <v>137</v>
      </c>
      <c r="I302" s="262" t="s">
        <v>260</v>
      </c>
      <c r="J302" s="262" t="s">
        <v>4</v>
      </c>
      <c r="K302" s="262"/>
      <c r="L302" s="262"/>
      <c r="M302" s="266" t="s">
        <v>140</v>
      </c>
      <c r="N302" s="262" t="s">
        <v>47</v>
      </c>
      <c r="O302" s="722" t="s">
        <v>305</v>
      </c>
      <c r="P302" s="262" t="s">
        <v>45</v>
      </c>
      <c r="Q302" s="262" t="s">
        <v>143</v>
      </c>
      <c r="R302" s="262" t="s">
        <v>144</v>
      </c>
      <c r="S302" s="261" t="s">
        <v>320</v>
      </c>
      <c r="T302" s="591" t="s">
        <v>320</v>
      </c>
      <c r="U302" s="261" t="s">
        <v>841</v>
      </c>
      <c r="V302" s="261" t="s">
        <v>146</v>
      </c>
      <c r="W302" s="261">
        <v>1</v>
      </c>
      <c r="X302" s="261">
        <v>7</v>
      </c>
      <c r="Y302" s="261">
        <f>Tabla_query__2[[#This Row],[Número
Semanas]]*5*8</f>
        <v>280</v>
      </c>
      <c r="Z302" s="268">
        <f>Tabla_query__2[[#This Row],[TOTAL]]/Tabla_query__2[[#This Row],[Número de Horas]]/2</f>
        <v>8.0178571428571423</v>
      </c>
      <c r="AA302" s="261">
        <v>1</v>
      </c>
      <c r="AB302" s="261">
        <v>550</v>
      </c>
      <c r="AC302" s="261"/>
      <c r="AD302" s="387">
        <f>(Tabla_query__2[[#This Row],[Número
Semanas]]*Tabla_query__2[[#This Row],[Número
Personas]]*Tabla_query__2[[#This Row],[Costo
Mano Obra/semana]]+640)*Tabla_query__2[[#This Row],[Factor País]]</f>
        <v>4490</v>
      </c>
      <c r="AE302" s="261"/>
      <c r="AF302" s="261"/>
      <c r="AG302" s="547" t="s">
        <v>791</v>
      </c>
      <c r="AH302" s="464">
        <v>45614</v>
      </c>
      <c r="AI302" s="320">
        <v>45628</v>
      </c>
      <c r="AJ302" s="462">
        <f>Tabla_query__2[[#This Row],[FinDes]]-Tabla_query__2[[#This Row],[InicioDes]]</f>
        <v>14</v>
      </c>
      <c r="AK302" s="320">
        <v>45628</v>
      </c>
      <c r="AL302" s="320">
        <v>45635</v>
      </c>
      <c r="AM302" s="462">
        <f t="shared" si="15"/>
        <v>365031</v>
      </c>
      <c r="AN302" s="320">
        <v>45635</v>
      </c>
      <c r="AO302" s="412">
        <v>45482</v>
      </c>
      <c r="AP302" s="320">
        <v>45597</v>
      </c>
      <c r="AQ302" s="281">
        <f>Tabla_query__2[[#This Row],[Inicio Real]]+(Tabla_query__2[[#This Row],[Número
Semanas]]*7)</f>
        <v>45646</v>
      </c>
      <c r="AR302" s="462">
        <f>Tabla_query__2[[#This Row],[Número
Semanas]]/4</f>
        <v>1.75</v>
      </c>
      <c r="AS302" s="269">
        <f>Tabla_query__2[[#This Row],[FinDes2]]-Tabla_query__2[[#This Row],[InicioDes2]]</f>
        <v>-153</v>
      </c>
      <c r="AT302" s="261" t="s">
        <v>155</v>
      </c>
      <c r="AV302" s="445" t="s">
        <v>148</v>
      </c>
    </row>
    <row r="303" spans="1:48" ht="23.25">
      <c r="A303" s="318" t="s">
        <v>130</v>
      </c>
      <c r="B303" s="262" t="s">
        <v>131</v>
      </c>
      <c r="C303" s="262" t="s">
        <v>175</v>
      </c>
      <c r="D303" s="262" t="s">
        <v>839</v>
      </c>
      <c r="E303" s="262" t="s">
        <v>164</v>
      </c>
      <c r="F303" s="265" t="s">
        <v>840</v>
      </c>
      <c r="G303" s="265" t="s">
        <v>210</v>
      </c>
      <c r="H303" s="265" t="s">
        <v>137</v>
      </c>
      <c r="I303" s="262" t="s">
        <v>260</v>
      </c>
      <c r="J303" s="262" t="s">
        <v>4</v>
      </c>
      <c r="K303" s="262"/>
      <c r="L303" s="262"/>
      <c r="M303" s="266" t="s">
        <v>329</v>
      </c>
      <c r="N303" s="262" t="s">
        <v>47</v>
      </c>
      <c r="O303" s="722" t="s">
        <v>305</v>
      </c>
      <c r="P303" s="262" t="s">
        <v>45</v>
      </c>
      <c r="Q303" s="262" t="s">
        <v>143</v>
      </c>
      <c r="R303" s="262" t="s">
        <v>144</v>
      </c>
      <c r="S303" s="261" t="s">
        <v>320</v>
      </c>
      <c r="T303" s="591" t="s">
        <v>320</v>
      </c>
      <c r="U303" s="261" t="s">
        <v>841</v>
      </c>
      <c r="V303" s="261" t="s">
        <v>146</v>
      </c>
      <c r="W303" s="261">
        <v>1</v>
      </c>
      <c r="X303" s="261">
        <v>6</v>
      </c>
      <c r="Y303" s="261">
        <f>Tabla_query__2[[#This Row],[Número
Semanas]]*5*8</f>
        <v>240</v>
      </c>
      <c r="Z303" s="268">
        <f>Tabla_query__2[[#This Row],[TOTAL]]/Tabla_query__2[[#This Row],[Número de Horas]]/2</f>
        <v>8.2083333333333339</v>
      </c>
      <c r="AA303" s="261">
        <v>1</v>
      </c>
      <c r="AB303" s="261">
        <v>550</v>
      </c>
      <c r="AC303" s="261"/>
      <c r="AD303" s="387">
        <f>(Tabla_query__2[[#This Row],[Número
Semanas]]*Tabla_query__2[[#This Row],[Número
Personas]]*Tabla_query__2[[#This Row],[Costo
Mano Obra/semana]]+640)*Tabla_query__2[[#This Row],[Factor País]]</f>
        <v>3940</v>
      </c>
      <c r="AE303" s="261"/>
      <c r="AF303" s="261"/>
      <c r="AG303" s="547" t="s">
        <v>791</v>
      </c>
      <c r="AH303" s="464">
        <v>45614</v>
      </c>
      <c r="AI303" s="464">
        <v>45628</v>
      </c>
      <c r="AJ303" s="464">
        <f>Tabla_query__2[[#This Row],[FinDes]]-Tabla_query__2[[#This Row],[InicioDes]]</f>
        <v>14</v>
      </c>
      <c r="AK303" s="464">
        <v>45628</v>
      </c>
      <c r="AL303" s="464">
        <v>45635</v>
      </c>
      <c r="AM303" s="464">
        <f t="shared" si="15"/>
        <v>365031</v>
      </c>
      <c r="AN303" s="464">
        <v>45635</v>
      </c>
      <c r="AO303" s="464">
        <v>45327</v>
      </c>
      <c r="AP303" s="464">
        <v>45597</v>
      </c>
      <c r="AQ303" s="464">
        <f>Tabla_query__2[[#This Row],[Inicio Real]]+(Tabla_query__2[[#This Row],[Número
Semanas]]*7)</f>
        <v>45639</v>
      </c>
      <c r="AR303" s="464">
        <f>Tabla_query__2[[#This Row],[Número
Semanas]]/4</f>
        <v>1.5</v>
      </c>
      <c r="AS303" s="464">
        <f>Tabla_query__2[[#This Row],[FinDes2]]-Tabla_query__2[[#This Row],[InicioDes2]]</f>
        <v>-308</v>
      </c>
      <c r="AT303" s="464" t="s">
        <v>155</v>
      </c>
      <c r="AU303" s="464"/>
      <c r="AV303" s="464" t="s">
        <v>148</v>
      </c>
    </row>
    <row r="304" spans="1:48" s="293" customFormat="1" ht="36.950000000000003" customHeight="1">
      <c r="A304" s="318" t="s">
        <v>130</v>
      </c>
      <c r="B304" s="262" t="s">
        <v>131</v>
      </c>
      <c r="C304" s="262" t="s">
        <v>175</v>
      </c>
      <c r="D304" s="277" t="s">
        <v>839</v>
      </c>
      <c r="E304" s="262" t="s">
        <v>164</v>
      </c>
      <c r="F304" s="265" t="s">
        <v>840</v>
      </c>
      <c r="G304" s="265" t="s">
        <v>210</v>
      </c>
      <c r="H304" s="265" t="s">
        <v>137</v>
      </c>
      <c r="I304" s="262" t="s">
        <v>260</v>
      </c>
      <c r="J304" s="262" t="s">
        <v>4</v>
      </c>
      <c r="K304" s="262"/>
      <c r="L304" s="262"/>
      <c r="M304" s="266" t="s">
        <v>328</v>
      </c>
      <c r="N304" s="262" t="s">
        <v>47</v>
      </c>
      <c r="O304" s="722" t="s">
        <v>305</v>
      </c>
      <c r="P304" s="262" t="s">
        <v>45</v>
      </c>
      <c r="Q304" s="262" t="s">
        <v>143</v>
      </c>
      <c r="R304" s="262" t="s">
        <v>144</v>
      </c>
      <c r="S304" s="261" t="s">
        <v>320</v>
      </c>
      <c r="T304" s="591" t="s">
        <v>320</v>
      </c>
      <c r="U304" s="261" t="s">
        <v>841</v>
      </c>
      <c r="V304" s="261" t="s">
        <v>146</v>
      </c>
      <c r="W304" s="261">
        <v>1</v>
      </c>
      <c r="X304" s="261">
        <v>7</v>
      </c>
      <c r="Y304" s="261">
        <f>Tabla_query__2[[#This Row],[Número
Semanas]]*5*8</f>
        <v>280</v>
      </c>
      <c r="Z304" s="268">
        <f>Tabla_query__2[[#This Row],[TOTAL]]/Tabla_query__2[[#This Row],[Número de Horas]]/2</f>
        <v>8.0178571428571423</v>
      </c>
      <c r="AA304" s="261">
        <v>1</v>
      </c>
      <c r="AB304" s="261">
        <v>550</v>
      </c>
      <c r="AC304" s="261"/>
      <c r="AD304" s="387">
        <f>(Tabla_query__2[[#This Row],[Número
Semanas]]*Tabla_query__2[[#This Row],[Número
Personas]]*Tabla_query__2[[#This Row],[Costo
Mano Obra/semana]]+640)*Tabla_query__2[[#This Row],[Factor País]]</f>
        <v>4490</v>
      </c>
      <c r="AE304" s="261"/>
      <c r="AF304" s="261"/>
      <c r="AG304" s="547" t="s">
        <v>791</v>
      </c>
      <c r="AH304" s="464">
        <v>45614</v>
      </c>
      <c r="AI304" s="320">
        <v>45628</v>
      </c>
      <c r="AJ304" s="462">
        <f>Tabla_query__2[[#This Row],[FinDes]]-Tabla_query__2[[#This Row],[InicioDes]]</f>
        <v>14</v>
      </c>
      <c r="AK304" s="320">
        <v>45628</v>
      </c>
      <c r="AL304" s="320">
        <v>45635</v>
      </c>
      <c r="AM304" s="462">
        <f t="shared" si="15"/>
        <v>365031</v>
      </c>
      <c r="AN304" s="320">
        <v>45635</v>
      </c>
      <c r="AO304" s="267">
        <v>45373</v>
      </c>
      <c r="AP304" s="320">
        <v>45597</v>
      </c>
      <c r="AQ304" s="281">
        <f>Tabla_query__2[[#This Row],[Inicio Real]]+(Tabla_query__2[[#This Row],[Número
Semanas]]*7)</f>
        <v>45646</v>
      </c>
      <c r="AR304" s="462">
        <f>Tabla_query__2[[#This Row],[Número
Semanas]]/4</f>
        <v>1.75</v>
      </c>
      <c r="AS304" s="269">
        <f>Tabla_query__2[[#This Row],[FinDes2]]-Tabla_query__2[[#This Row],[InicioDes2]]</f>
        <v>-262</v>
      </c>
      <c r="AT304" s="261" t="s">
        <v>155</v>
      </c>
      <c r="AU304"/>
      <c r="AV304" s="438" t="s">
        <v>148</v>
      </c>
    </row>
    <row r="305" spans="1:48" ht="23.25">
      <c r="A305" s="318" t="s">
        <v>130</v>
      </c>
      <c r="B305" s="262" t="s">
        <v>131</v>
      </c>
      <c r="C305" s="262" t="s">
        <v>317</v>
      </c>
      <c r="D305" s="262" t="s">
        <v>842</v>
      </c>
      <c r="E305" s="262" t="s">
        <v>164</v>
      </c>
      <c r="F305" s="264" t="s">
        <v>843</v>
      </c>
      <c r="G305" s="264" t="s">
        <v>210</v>
      </c>
      <c r="H305" s="259" t="s">
        <v>204</v>
      </c>
      <c r="I305" s="262" t="s">
        <v>260</v>
      </c>
      <c r="J305" s="262" t="s">
        <v>4</v>
      </c>
      <c r="K305" s="262"/>
      <c r="L305" s="262"/>
      <c r="M305" s="266" t="s">
        <v>206</v>
      </c>
      <c r="N305" s="262" t="s">
        <v>47</v>
      </c>
      <c r="O305" s="722" t="s">
        <v>305</v>
      </c>
      <c r="P305" s="262" t="s">
        <v>45</v>
      </c>
      <c r="Q305" s="262" t="s">
        <v>143</v>
      </c>
      <c r="R305" s="262" t="s">
        <v>144</v>
      </c>
      <c r="S305" s="261" t="s">
        <v>221</v>
      </c>
      <c r="T305" s="591" t="s">
        <v>320</v>
      </c>
      <c r="U305" s="261" t="s">
        <v>844</v>
      </c>
      <c r="V305" s="261" t="s">
        <v>210</v>
      </c>
      <c r="W305" s="261"/>
      <c r="X305" s="261">
        <v>3</v>
      </c>
      <c r="Y305" s="261">
        <f>Tabla_query__2[[#This Row],[Número
Semanas]]*5*8</f>
        <v>120</v>
      </c>
      <c r="Z305" s="268">
        <f>Tabla_query__2[[#This Row],[TOTAL]]/Tabla_query__2[[#This Row],[Número de Horas]]/2</f>
        <v>9.5416666666666661</v>
      </c>
      <c r="AA305" s="261">
        <v>1</v>
      </c>
      <c r="AB305" s="261">
        <v>550</v>
      </c>
      <c r="AC305" s="261"/>
      <c r="AD305" s="268">
        <f>Tabla_query__2[[#This Row],[Número
Semanas]]*Tabla_query__2[[#This Row],[Número
Personas]]*Tabla_query__2[[#This Row],[Costo
Mano Obra/semana]] + 640</f>
        <v>2290</v>
      </c>
      <c r="AE305" s="261"/>
      <c r="AF305" s="261"/>
      <c r="AG305" s="547" t="s">
        <v>322</v>
      </c>
      <c r="AH305" s="463">
        <v>45572</v>
      </c>
      <c r="AI305" s="456">
        <v>45572</v>
      </c>
      <c r="AJ305" s="462">
        <f>Tabla_query__2[[#This Row],[FinDes]]-Tabla_query__2[[#This Row],[InicioDes]]</f>
        <v>0</v>
      </c>
      <c r="AK305" s="456">
        <v>45572</v>
      </c>
      <c r="AL305" s="456">
        <v>45579</v>
      </c>
      <c r="AM305" s="462">
        <f t="shared" si="15"/>
        <v>364583</v>
      </c>
      <c r="AN305" s="456">
        <v>45586</v>
      </c>
      <c r="AO305" s="456">
        <v>45593</v>
      </c>
      <c r="AP305" s="456">
        <v>45566</v>
      </c>
      <c r="AQ305" s="281">
        <f>Tabla_query__2[[#This Row],[Inicio Real]]+(Tabla_query__2[[#This Row],[Número
Semanas]]*7)</f>
        <v>45587</v>
      </c>
      <c r="AR305" s="462">
        <f>Tabla_query__2[[#This Row],[Número
Semanas]]/4</f>
        <v>0.75</v>
      </c>
      <c r="AS305" s="269">
        <f>Tabla_query__2[[#This Row],[FinDes2]]-Tabla_query__2[[#This Row],[InicioDes2]]</f>
        <v>7</v>
      </c>
      <c r="AT305" s="261" t="s">
        <v>315</v>
      </c>
      <c r="AV305" s="434" t="s">
        <v>148</v>
      </c>
    </row>
    <row r="306" spans="1:48" s="293" customFormat="1" ht="16.5" customHeight="1">
      <c r="A306" s="318" t="s">
        <v>130</v>
      </c>
      <c r="B306" s="262" t="s">
        <v>131</v>
      </c>
      <c r="C306" s="262" t="s">
        <v>317</v>
      </c>
      <c r="D306" s="262" t="s">
        <v>845</v>
      </c>
      <c r="E306" s="262" t="s">
        <v>164</v>
      </c>
      <c r="F306" s="264" t="s">
        <v>846</v>
      </c>
      <c r="G306" s="264" t="s">
        <v>210</v>
      </c>
      <c r="H306" s="259" t="s">
        <v>204</v>
      </c>
      <c r="I306" s="262" t="s">
        <v>260</v>
      </c>
      <c r="J306" s="262" t="s">
        <v>4</v>
      </c>
      <c r="K306" s="262"/>
      <c r="L306" s="262"/>
      <c r="M306" s="266" t="s">
        <v>206</v>
      </c>
      <c r="N306" s="262" t="s">
        <v>47</v>
      </c>
      <c r="O306" s="722" t="s">
        <v>305</v>
      </c>
      <c r="P306" s="262" t="s">
        <v>45</v>
      </c>
      <c r="Q306" s="262" t="s">
        <v>143</v>
      </c>
      <c r="R306" s="262" t="s">
        <v>144</v>
      </c>
      <c r="S306" s="280" t="s">
        <v>221</v>
      </c>
      <c r="T306" s="591" t="s">
        <v>320</v>
      </c>
      <c r="U306" s="261" t="s">
        <v>847</v>
      </c>
      <c r="V306" s="261" t="s">
        <v>146</v>
      </c>
      <c r="W306" s="261"/>
      <c r="X306" s="261">
        <v>8</v>
      </c>
      <c r="Y306" s="261">
        <f>Tabla_query__2[[#This Row],[Número
Semanas]]*5*8</f>
        <v>320</v>
      </c>
      <c r="Z306" s="268">
        <f>Tabla_query__2[[#This Row],[TOTAL]]/Tabla_query__2[[#This Row],[Número de Horas]]/2</f>
        <v>7.875</v>
      </c>
      <c r="AA306" s="261">
        <v>1</v>
      </c>
      <c r="AB306" s="261">
        <v>550</v>
      </c>
      <c r="AC306" s="261"/>
      <c r="AD306" s="268">
        <f>Tabla_query__2[[#This Row],[Número
Semanas]]*Tabla_query__2[[#This Row],[Número
Personas]]*Tabla_query__2[[#This Row],[Costo
Mano Obra/semana]] + 640</f>
        <v>5040</v>
      </c>
      <c r="AE306" s="261"/>
      <c r="AF306" s="261"/>
      <c r="AG306" s="547" t="s">
        <v>791</v>
      </c>
      <c r="AH306" s="463">
        <v>45600</v>
      </c>
      <c r="AI306" s="456">
        <v>45621</v>
      </c>
      <c r="AJ306" s="462">
        <f>Tabla_query__2[[#This Row],[FinDes]]-Tabla_query__2[[#This Row],[InicioDes]]</f>
        <v>21</v>
      </c>
      <c r="AK306" s="456">
        <v>45621</v>
      </c>
      <c r="AL306" s="456">
        <v>45628</v>
      </c>
      <c r="AM306" s="462">
        <f t="shared" si="15"/>
        <v>364975</v>
      </c>
      <c r="AN306" s="456">
        <v>45628</v>
      </c>
      <c r="AO306" s="456">
        <v>45635</v>
      </c>
      <c r="AP306" s="320">
        <v>45597</v>
      </c>
      <c r="AQ306" s="281">
        <f>Tabla_query__2[[#This Row],[Inicio Real]]+(Tabla_query__2[[#This Row],[Número
Semanas]]*7)</f>
        <v>45653</v>
      </c>
      <c r="AR306" s="462">
        <f>Tabla_query__2[[#This Row],[Número
Semanas]]/4</f>
        <v>2</v>
      </c>
      <c r="AS306" s="269">
        <f>Tabla_query__2[[#This Row],[FinDes2]]-Tabla_query__2[[#This Row],[InicioDes2]]</f>
        <v>7</v>
      </c>
      <c r="AT306" s="261" t="s">
        <v>315</v>
      </c>
      <c r="AU306"/>
      <c r="AV306" s="434" t="s">
        <v>148</v>
      </c>
    </row>
    <row r="307" spans="1:48">
      <c r="A307" s="318" t="s">
        <v>130</v>
      </c>
      <c r="B307" s="262" t="s">
        <v>131</v>
      </c>
      <c r="C307" s="262" t="s">
        <v>175</v>
      </c>
      <c r="D307" s="262" t="s">
        <v>848</v>
      </c>
      <c r="E307" s="262" t="s">
        <v>164</v>
      </c>
      <c r="F307" s="264" t="s">
        <v>849</v>
      </c>
      <c r="G307" s="264" t="s">
        <v>210</v>
      </c>
      <c r="H307" s="259" t="s">
        <v>204</v>
      </c>
      <c r="I307" s="262" t="s">
        <v>260</v>
      </c>
      <c r="J307" s="262" t="s">
        <v>4</v>
      </c>
      <c r="K307" s="262"/>
      <c r="L307" s="262"/>
      <c r="M307" s="266" t="s">
        <v>206</v>
      </c>
      <c r="N307" s="262" t="s">
        <v>47</v>
      </c>
      <c r="O307" s="722" t="s">
        <v>305</v>
      </c>
      <c r="P307" s="262" t="s">
        <v>45</v>
      </c>
      <c r="Q307" s="262" t="s">
        <v>143</v>
      </c>
      <c r="R307" s="262" t="s">
        <v>144</v>
      </c>
      <c r="S307" s="261"/>
      <c r="T307" s="591" t="s">
        <v>320</v>
      </c>
      <c r="U307" s="261"/>
      <c r="V307" s="261" t="s">
        <v>210</v>
      </c>
      <c r="W307" s="261"/>
      <c r="X307" s="261">
        <v>3</v>
      </c>
      <c r="Y307" s="261">
        <f>Tabla_query__2[[#This Row],[Número
Semanas]]*5*8</f>
        <v>120</v>
      </c>
      <c r="Z307" s="268">
        <f>Tabla_query__2[[#This Row],[TOTAL]]/Tabla_query__2[[#This Row],[Número de Horas]]/2</f>
        <v>9.5416666666666661</v>
      </c>
      <c r="AA307" s="261">
        <v>1</v>
      </c>
      <c r="AB307" s="261">
        <v>550</v>
      </c>
      <c r="AC307" s="261"/>
      <c r="AD307" s="268">
        <f>Tabla_query__2[[#This Row],[Número
Semanas]]*Tabla_query__2[[#This Row],[Número
Personas]]*Tabla_query__2[[#This Row],[Costo
Mano Obra/semana]] + 640</f>
        <v>2290</v>
      </c>
      <c r="AE307" s="261"/>
      <c r="AF307" s="261"/>
      <c r="AG307" s="547" t="s">
        <v>791</v>
      </c>
      <c r="AH307" s="463">
        <v>45600</v>
      </c>
      <c r="AI307" s="456">
        <v>45607</v>
      </c>
      <c r="AJ307" s="462">
        <f>Tabla_query__2[[#This Row],[FinDes]]-Tabla_query__2[[#This Row],[InicioDes]]</f>
        <v>7</v>
      </c>
      <c r="AK307" s="456">
        <v>45607</v>
      </c>
      <c r="AL307" s="456">
        <v>45614</v>
      </c>
      <c r="AM307" s="462">
        <f t="shared" si="15"/>
        <v>364863</v>
      </c>
      <c r="AN307" s="456">
        <v>45614</v>
      </c>
      <c r="AO307" s="456">
        <v>45621</v>
      </c>
      <c r="AP307" s="320">
        <v>45597</v>
      </c>
      <c r="AQ307" s="281">
        <f>Tabla_query__2[[#This Row],[Inicio Real]]+(Tabla_query__2[[#This Row],[Número
Semanas]]*7)</f>
        <v>45618</v>
      </c>
      <c r="AR307" s="462">
        <f>Tabla_query__2[[#This Row],[Número
Semanas]]/4</f>
        <v>0.75</v>
      </c>
      <c r="AS307" s="269">
        <f>Tabla_query__2[[#This Row],[FinDes2]]-Tabla_query__2[[#This Row],[InicioDes2]]</f>
        <v>7</v>
      </c>
      <c r="AT307" s="261"/>
      <c r="AV307" s="434" t="s">
        <v>148</v>
      </c>
    </row>
    <row r="308" spans="1:48" ht="23.25">
      <c r="A308" s="318" t="s">
        <v>130</v>
      </c>
      <c r="B308" s="262" t="s">
        <v>131</v>
      </c>
      <c r="C308" s="262" t="s">
        <v>333</v>
      </c>
      <c r="D308" s="262" t="s">
        <v>850</v>
      </c>
      <c r="E308" s="262" t="s">
        <v>164</v>
      </c>
      <c r="F308" s="259" t="s">
        <v>851</v>
      </c>
      <c r="G308" s="259" t="s">
        <v>210</v>
      </c>
      <c r="H308" s="259" t="s">
        <v>137</v>
      </c>
      <c r="I308" s="262" t="s">
        <v>260</v>
      </c>
      <c r="J308" s="262" t="s">
        <v>4</v>
      </c>
      <c r="K308" s="262"/>
      <c r="L308" s="262"/>
      <c r="M308" s="266" t="s">
        <v>329</v>
      </c>
      <c r="N308" s="262" t="s">
        <v>47</v>
      </c>
      <c r="O308" s="722" t="s">
        <v>305</v>
      </c>
      <c r="P308" s="262" t="s">
        <v>45</v>
      </c>
      <c r="Q308" s="262" t="s">
        <v>143</v>
      </c>
      <c r="R308" s="262" t="s">
        <v>144</v>
      </c>
      <c r="S308" s="261" t="s">
        <v>320</v>
      </c>
      <c r="T308" s="591" t="s">
        <v>320</v>
      </c>
      <c r="U308" s="261" t="s">
        <v>852</v>
      </c>
      <c r="V308" s="261" t="s">
        <v>136</v>
      </c>
      <c r="W308" s="261"/>
      <c r="X308" s="261">
        <v>9</v>
      </c>
      <c r="Y308" s="261">
        <f>Tabla_query__2[[#This Row],[Número
Semanas]]*5*8</f>
        <v>360</v>
      </c>
      <c r="Z308" s="268">
        <f>Tabla_query__2[[#This Row],[TOTAL]]/Tabla_query__2[[#This Row],[Número de Horas]]/2</f>
        <v>7.7638888888888893</v>
      </c>
      <c r="AA308" s="261">
        <v>1</v>
      </c>
      <c r="AB308" s="261">
        <v>550</v>
      </c>
      <c r="AC308" s="261"/>
      <c r="AD308" s="268">
        <f>Tabla_query__2[[#This Row],[Número
Semanas]]*Tabla_query__2[[#This Row],[Número
Personas]]*Tabla_query__2[[#This Row],[Costo
Mano Obra/semana]] + 640</f>
        <v>5590</v>
      </c>
      <c r="AE308" s="261"/>
      <c r="AF308" s="261"/>
      <c r="AG308" s="547" t="s">
        <v>791</v>
      </c>
      <c r="AH308" s="541">
        <v>45600</v>
      </c>
      <c r="AI308" s="457">
        <v>45635</v>
      </c>
      <c r="AJ308" s="462">
        <f>Tabla_query__2[[#This Row],[FinDes]]-Tabla_query__2[[#This Row],[InicioDes]]</f>
        <v>35</v>
      </c>
      <c r="AK308" s="457">
        <v>45635</v>
      </c>
      <c r="AL308" s="457">
        <v>45649</v>
      </c>
      <c r="AM308" s="462">
        <f t="shared" si="15"/>
        <v>365094</v>
      </c>
      <c r="AN308" s="457">
        <v>45649</v>
      </c>
      <c r="AO308" s="457">
        <v>45663</v>
      </c>
      <c r="AP308" s="320">
        <v>45597</v>
      </c>
      <c r="AQ308" s="281">
        <f>Tabla_query__2[[#This Row],[Inicio Real]]+(Tabla_query__2[[#This Row],[Número
Semanas]]*7)</f>
        <v>45660</v>
      </c>
      <c r="AR308" s="462">
        <f>Tabla_query__2[[#This Row],[Número
Semanas]]/4</f>
        <v>2.25</v>
      </c>
      <c r="AS308" s="269">
        <f>Tabla_query__2[[#This Row],[FinDes2]]-Tabla_query__2[[#This Row],[InicioDes2]]</f>
        <v>14</v>
      </c>
      <c r="AT308" s="261" t="s">
        <v>315</v>
      </c>
      <c r="AV308" s="439" t="s">
        <v>148</v>
      </c>
    </row>
    <row r="309" spans="1:48">
      <c r="A309" s="318" t="s">
        <v>130</v>
      </c>
      <c r="B309" s="262" t="s">
        <v>131</v>
      </c>
      <c r="C309" s="262" t="s">
        <v>333</v>
      </c>
      <c r="D309" s="262" t="s">
        <v>853</v>
      </c>
      <c r="E309" s="262" t="s">
        <v>164</v>
      </c>
      <c r="F309" s="264" t="s">
        <v>854</v>
      </c>
      <c r="G309" s="264" t="s">
        <v>210</v>
      </c>
      <c r="H309" s="259" t="s">
        <v>137</v>
      </c>
      <c r="I309" s="262" t="s">
        <v>260</v>
      </c>
      <c r="J309" s="262" t="s">
        <v>4</v>
      </c>
      <c r="K309" s="262"/>
      <c r="L309" s="262"/>
      <c r="M309" s="266" t="s">
        <v>206</v>
      </c>
      <c r="N309" s="262" t="s">
        <v>47</v>
      </c>
      <c r="O309" s="722" t="s">
        <v>305</v>
      </c>
      <c r="P309" s="262" t="s">
        <v>45</v>
      </c>
      <c r="Q309" s="262" t="s">
        <v>143</v>
      </c>
      <c r="R309" s="262" t="s">
        <v>144</v>
      </c>
      <c r="S309" s="280" t="s">
        <v>221</v>
      </c>
      <c r="T309" s="591" t="s">
        <v>320</v>
      </c>
      <c r="U309" s="261" t="s">
        <v>855</v>
      </c>
      <c r="V309" s="261" t="s">
        <v>136</v>
      </c>
      <c r="W309" s="261"/>
      <c r="X309" s="261">
        <v>5</v>
      </c>
      <c r="Y309" s="261">
        <f>Tabla_query__2[[#This Row],[Número
Semanas]]*5*8</f>
        <v>200</v>
      </c>
      <c r="Z309" s="268">
        <f>Tabla_query__2[[#This Row],[TOTAL]]/Tabla_query__2[[#This Row],[Número de Horas]]/2</f>
        <v>14.15</v>
      </c>
      <c r="AA309" s="261">
        <v>2</v>
      </c>
      <c r="AB309" s="261">
        <v>550</v>
      </c>
      <c r="AC309" s="261"/>
      <c r="AD309" s="268">
        <f>Tabla_query__2[[#This Row],[Número
Semanas]]*Tabla_query__2[[#This Row],[Número
Personas]]*Tabla_query__2[[#This Row],[Costo
Mano Obra/semana]]+160</f>
        <v>5660</v>
      </c>
      <c r="AE309" s="261"/>
      <c r="AF309" s="261"/>
      <c r="AG309" s="430" t="s">
        <v>322</v>
      </c>
      <c r="AH309" s="463">
        <v>45586</v>
      </c>
      <c r="AI309" s="456">
        <v>45621</v>
      </c>
      <c r="AJ309" s="462">
        <f>Tabla_query__2[[#This Row],[FinDes]]-Tabla_query__2[[#This Row],[InicioDes]]</f>
        <v>35</v>
      </c>
      <c r="AK309" s="456">
        <v>45621</v>
      </c>
      <c r="AL309" s="456">
        <v>45635</v>
      </c>
      <c r="AM309" s="462">
        <f t="shared" si="15"/>
        <v>364982</v>
      </c>
      <c r="AN309" s="456">
        <v>45635</v>
      </c>
      <c r="AO309" s="456">
        <v>45642</v>
      </c>
      <c r="AP309" s="456">
        <v>45566</v>
      </c>
      <c r="AQ309" s="281">
        <f>Tabla_query__2[[#This Row],[Inicio Real]]+(Tabla_query__2[[#This Row],[Número
Semanas]]*7)</f>
        <v>45601</v>
      </c>
      <c r="AR309" s="462">
        <f>Tabla_query__2[[#This Row],[Número
Semanas]]/4</f>
        <v>1.25</v>
      </c>
      <c r="AS309" s="269">
        <f>Tabla_query__2[[#This Row],[FinDes2]]-Tabla_query__2[[#This Row],[InicioDes2]]</f>
        <v>7</v>
      </c>
      <c r="AT309" s="261" t="s">
        <v>315</v>
      </c>
    </row>
    <row r="310" spans="1:48">
      <c r="A310" s="318" t="s">
        <v>130</v>
      </c>
      <c r="B310" s="262" t="s">
        <v>131</v>
      </c>
      <c r="C310" s="262" t="s">
        <v>333</v>
      </c>
      <c r="D310" s="262" t="s">
        <v>853</v>
      </c>
      <c r="E310" s="262" t="s">
        <v>164</v>
      </c>
      <c r="F310" s="264" t="s">
        <v>854</v>
      </c>
      <c r="G310" s="264" t="s">
        <v>210</v>
      </c>
      <c r="H310" s="259" t="s">
        <v>137</v>
      </c>
      <c r="I310" s="262" t="s">
        <v>260</v>
      </c>
      <c r="J310" s="262" t="s">
        <v>4</v>
      </c>
      <c r="K310" s="262"/>
      <c r="L310" s="262"/>
      <c r="M310" s="266" t="s">
        <v>328</v>
      </c>
      <c r="N310" s="262" t="s">
        <v>47</v>
      </c>
      <c r="O310" s="722" t="s">
        <v>305</v>
      </c>
      <c r="P310" s="262" t="s">
        <v>45</v>
      </c>
      <c r="Q310" s="262" t="s">
        <v>143</v>
      </c>
      <c r="R310" s="262" t="s">
        <v>144</v>
      </c>
      <c r="S310" s="280" t="s">
        <v>221</v>
      </c>
      <c r="T310" s="591" t="s">
        <v>320</v>
      </c>
      <c r="U310" s="261" t="s">
        <v>855</v>
      </c>
      <c r="V310" s="261" t="s">
        <v>136</v>
      </c>
      <c r="W310" s="261"/>
      <c r="X310" s="261">
        <v>2</v>
      </c>
      <c r="Y310" s="261">
        <f>Tabla_query__2[[#This Row],[Número
Semanas]]*5*8</f>
        <v>80</v>
      </c>
      <c r="Z310" s="268">
        <f>Tabla_query__2[[#This Row],[TOTAL]]/Tabla_query__2[[#This Row],[Número de Horas]]/2</f>
        <v>14.5</v>
      </c>
      <c r="AA310" s="261">
        <v>2</v>
      </c>
      <c r="AB310" s="261">
        <v>550</v>
      </c>
      <c r="AC310" s="261"/>
      <c r="AD310" s="268">
        <f>Tabla_query__2[[#This Row],[Número
Semanas]]*Tabla_query__2[[#This Row],[Número
Personas]]*Tabla_query__2[[#This Row],[Costo
Mano Obra/semana]]+120</f>
        <v>2320</v>
      </c>
      <c r="AE310" s="261"/>
      <c r="AF310" s="261"/>
      <c r="AG310" s="547" t="s">
        <v>791</v>
      </c>
      <c r="AH310" s="463">
        <v>45586</v>
      </c>
      <c r="AI310" s="456">
        <v>45621</v>
      </c>
      <c r="AJ310" s="462">
        <f>Tabla_query__2[[#This Row],[FinDes]]-Tabla_query__2[[#This Row],[InicioDes]]</f>
        <v>35</v>
      </c>
      <c r="AK310" s="690">
        <v>45621</v>
      </c>
      <c r="AL310" s="459">
        <v>45635</v>
      </c>
      <c r="AM310" s="462">
        <f t="shared" si="15"/>
        <v>364982</v>
      </c>
      <c r="AN310" s="456">
        <v>45635</v>
      </c>
      <c r="AO310" s="456">
        <v>45642</v>
      </c>
      <c r="AP310" s="456">
        <v>45601</v>
      </c>
      <c r="AQ310" s="281">
        <f>Tabla_query__2[[#This Row],[Inicio Real]]+(Tabla_query__2[[#This Row],[Número
Semanas]]*7)</f>
        <v>45615</v>
      </c>
      <c r="AR310" s="462">
        <f>Tabla_query__2[[#This Row],[Número
Semanas]]/4</f>
        <v>0.5</v>
      </c>
      <c r="AS310" s="269">
        <f>Tabla_query__2[[#This Row],[FinDes2]]-Tabla_query__2[[#This Row],[InicioDes2]]</f>
        <v>7</v>
      </c>
      <c r="AT310" s="261" t="s">
        <v>315</v>
      </c>
    </row>
    <row r="311" spans="1:48">
      <c r="A311" s="318" t="s">
        <v>130</v>
      </c>
      <c r="B311" s="262" t="s">
        <v>131</v>
      </c>
      <c r="C311" s="262" t="s">
        <v>333</v>
      </c>
      <c r="D311" s="262" t="s">
        <v>853</v>
      </c>
      <c r="E311" s="262" t="s">
        <v>164</v>
      </c>
      <c r="F311" s="264" t="s">
        <v>854</v>
      </c>
      <c r="G311" s="264" t="s">
        <v>210</v>
      </c>
      <c r="H311" s="259" t="s">
        <v>137</v>
      </c>
      <c r="I311" s="262" t="s">
        <v>260</v>
      </c>
      <c r="J311" s="262" t="s">
        <v>4</v>
      </c>
      <c r="K311" s="262"/>
      <c r="L311" s="262"/>
      <c r="M311" s="266" t="s">
        <v>329</v>
      </c>
      <c r="N311" s="262" t="s">
        <v>47</v>
      </c>
      <c r="O311" s="722" t="s">
        <v>305</v>
      </c>
      <c r="P311" s="262" t="s">
        <v>45</v>
      </c>
      <c r="Q311" s="262" t="s">
        <v>143</v>
      </c>
      <c r="R311" s="262" t="s">
        <v>144</v>
      </c>
      <c r="S311" s="280" t="s">
        <v>221</v>
      </c>
      <c r="T311" s="591" t="s">
        <v>320</v>
      </c>
      <c r="U311" s="261" t="s">
        <v>855</v>
      </c>
      <c r="V311" s="261" t="s">
        <v>136</v>
      </c>
      <c r="W311" s="261"/>
      <c r="X311" s="261">
        <v>2</v>
      </c>
      <c r="Y311" s="261">
        <f>Tabla_query__2[[#This Row],[Número
Semanas]]*5*8</f>
        <v>80</v>
      </c>
      <c r="Z311" s="268">
        <f>Tabla_query__2[[#This Row],[TOTAL]]/Tabla_query__2[[#This Row],[Número de Horas]]/2</f>
        <v>14.5</v>
      </c>
      <c r="AA311" s="261">
        <v>2</v>
      </c>
      <c r="AB311" s="261">
        <v>550</v>
      </c>
      <c r="AC311" s="261"/>
      <c r="AD311" s="268">
        <f>Tabla_query__2[[#This Row],[Número
Semanas]]*Tabla_query__2[[#This Row],[Número
Personas]]*Tabla_query__2[[#This Row],[Costo
Mano Obra/semana]]+120</f>
        <v>2320</v>
      </c>
      <c r="AE311" s="261"/>
      <c r="AF311" s="261"/>
      <c r="AG311" s="547" t="s">
        <v>791</v>
      </c>
      <c r="AH311" s="463">
        <v>45586</v>
      </c>
      <c r="AI311" s="456">
        <v>45621</v>
      </c>
      <c r="AJ311" s="462">
        <f>Tabla_query__2[[#This Row],[FinDes]]-Tabla_query__2[[#This Row],[InicioDes]]</f>
        <v>35</v>
      </c>
      <c r="AK311" s="456">
        <v>45621</v>
      </c>
      <c r="AL311" s="456">
        <v>45635</v>
      </c>
      <c r="AM311" s="462">
        <f t="shared" si="15"/>
        <v>364982</v>
      </c>
      <c r="AN311" s="456">
        <v>45635</v>
      </c>
      <c r="AO311" s="456">
        <v>45642</v>
      </c>
      <c r="AP311" s="456">
        <v>45616</v>
      </c>
      <c r="AQ311" s="281">
        <f>Tabla_query__2[[#This Row],[Inicio Real]]+(Tabla_query__2[[#This Row],[Número
Semanas]]*7)</f>
        <v>45630</v>
      </c>
      <c r="AR311" s="462">
        <f>Tabla_query__2[[#This Row],[Número
Semanas]]/4</f>
        <v>0.5</v>
      </c>
      <c r="AS311" s="269">
        <f>Tabla_query__2[[#This Row],[FinDes2]]-Tabla_query__2[[#This Row],[InicioDes2]]</f>
        <v>7</v>
      </c>
      <c r="AT311" s="261" t="s">
        <v>315</v>
      </c>
    </row>
    <row r="312" spans="1:48">
      <c r="A312" s="318" t="s">
        <v>130</v>
      </c>
      <c r="B312" s="262" t="s">
        <v>131</v>
      </c>
      <c r="C312" s="262" t="s">
        <v>333</v>
      </c>
      <c r="D312" s="277" t="s">
        <v>853</v>
      </c>
      <c r="E312" s="262" t="s">
        <v>164</v>
      </c>
      <c r="F312" s="264" t="s">
        <v>854</v>
      </c>
      <c r="G312" s="264" t="s">
        <v>210</v>
      </c>
      <c r="H312" s="259" t="s">
        <v>137</v>
      </c>
      <c r="I312" s="262" t="s">
        <v>260</v>
      </c>
      <c r="J312" s="262" t="s">
        <v>4</v>
      </c>
      <c r="K312" s="262"/>
      <c r="L312" s="262"/>
      <c r="M312" s="266" t="s">
        <v>330</v>
      </c>
      <c r="N312" s="262" t="s">
        <v>47</v>
      </c>
      <c r="O312" s="722" t="s">
        <v>305</v>
      </c>
      <c r="P312" s="262" t="s">
        <v>45</v>
      </c>
      <c r="Q312" s="262" t="s">
        <v>143</v>
      </c>
      <c r="R312" s="262" t="s">
        <v>144</v>
      </c>
      <c r="S312" s="280" t="s">
        <v>221</v>
      </c>
      <c r="T312" s="591" t="s">
        <v>320</v>
      </c>
      <c r="U312" s="261" t="s">
        <v>855</v>
      </c>
      <c r="V312" s="261" t="s">
        <v>136</v>
      </c>
      <c r="W312" s="261"/>
      <c r="X312" s="261">
        <v>2</v>
      </c>
      <c r="Y312" s="261">
        <f>Tabla_query__2[[#This Row],[Número
Semanas]]*5*8</f>
        <v>80</v>
      </c>
      <c r="Z312" s="268">
        <f>Tabla_query__2[[#This Row],[TOTAL]]/Tabla_query__2[[#This Row],[Número de Horas]]/2</f>
        <v>14.5</v>
      </c>
      <c r="AA312" s="261">
        <v>2</v>
      </c>
      <c r="AB312" s="261">
        <v>550</v>
      </c>
      <c r="AC312" s="261"/>
      <c r="AD312" s="268">
        <f>Tabla_query__2[[#This Row],[Número
Semanas]]*Tabla_query__2[[#This Row],[Número
Personas]]*Tabla_query__2[[#This Row],[Costo
Mano Obra/semana]]+120</f>
        <v>2320</v>
      </c>
      <c r="AE312" s="261"/>
      <c r="AF312" s="261"/>
      <c r="AG312" s="547" t="s">
        <v>791</v>
      </c>
      <c r="AH312" s="463">
        <v>45586</v>
      </c>
      <c r="AI312" s="456">
        <v>45621</v>
      </c>
      <c r="AJ312" s="462">
        <f>Tabla_query__2[[#This Row],[FinDes]]-Tabla_query__2[[#This Row],[InicioDes]]</f>
        <v>35</v>
      </c>
      <c r="AK312" s="456">
        <v>45621</v>
      </c>
      <c r="AL312" s="456">
        <v>45635</v>
      </c>
      <c r="AM312" s="462">
        <f t="shared" si="15"/>
        <v>364982</v>
      </c>
      <c r="AN312" s="456">
        <v>45635</v>
      </c>
      <c r="AO312" s="456">
        <v>45642</v>
      </c>
      <c r="AP312" s="456">
        <v>45616</v>
      </c>
      <c r="AQ312" s="281">
        <f>Tabla_query__2[[#This Row],[Inicio Real]]+(Tabla_query__2[[#This Row],[Número
Semanas]]*7)</f>
        <v>45630</v>
      </c>
      <c r="AR312" s="462">
        <f>Tabla_query__2[[#This Row],[Número
Semanas]]/4</f>
        <v>0.5</v>
      </c>
      <c r="AS312" s="269">
        <f>Tabla_query__2[[#This Row],[FinDes2]]-Tabla_query__2[[#This Row],[InicioDes2]]</f>
        <v>7</v>
      </c>
      <c r="AT312" s="261" t="s">
        <v>315</v>
      </c>
    </row>
    <row r="313" spans="1:48">
      <c r="A313" s="318" t="s">
        <v>130</v>
      </c>
      <c r="B313" s="262" t="s">
        <v>131</v>
      </c>
      <c r="C313" s="262" t="s">
        <v>333</v>
      </c>
      <c r="D313" s="262" t="s">
        <v>853</v>
      </c>
      <c r="E313" s="262" t="s">
        <v>164</v>
      </c>
      <c r="F313" s="264" t="s">
        <v>854</v>
      </c>
      <c r="G313" s="264" t="s">
        <v>210</v>
      </c>
      <c r="H313" s="259" t="s">
        <v>137</v>
      </c>
      <c r="I313" s="262" t="s">
        <v>260</v>
      </c>
      <c r="J313" s="262" t="s">
        <v>4</v>
      </c>
      <c r="K313" s="262"/>
      <c r="L313" s="262"/>
      <c r="M313" s="266" t="s">
        <v>140</v>
      </c>
      <c r="N313" s="262" t="s">
        <v>47</v>
      </c>
      <c r="O313" s="722" t="s">
        <v>305</v>
      </c>
      <c r="P313" s="262" t="s">
        <v>45</v>
      </c>
      <c r="Q313" s="262" t="s">
        <v>143</v>
      </c>
      <c r="R313" s="262" t="s">
        <v>144</v>
      </c>
      <c r="S313" s="280" t="s">
        <v>221</v>
      </c>
      <c r="T313" s="591" t="s">
        <v>320</v>
      </c>
      <c r="U313" s="261" t="s">
        <v>855</v>
      </c>
      <c r="V313" s="261" t="s">
        <v>136</v>
      </c>
      <c r="W313" s="261"/>
      <c r="X313" s="261">
        <v>1</v>
      </c>
      <c r="Y313" s="261">
        <f>Tabla_query__2[[#This Row],[Número
Semanas]]*5*8</f>
        <v>40</v>
      </c>
      <c r="Z313" s="268">
        <f>Tabla_query__2[[#This Row],[TOTAL]]/Tabla_query__2[[#This Row],[Número de Horas]]/2</f>
        <v>15.25</v>
      </c>
      <c r="AA313" s="261">
        <v>2</v>
      </c>
      <c r="AB313" s="261">
        <v>550</v>
      </c>
      <c r="AC313" s="261"/>
      <c r="AD313" s="268">
        <f>Tabla_query__2[[#This Row],[Número
Semanas]]*Tabla_query__2[[#This Row],[Número
Personas]]*Tabla_query__2[[#This Row],[Costo
Mano Obra/semana]]+120</f>
        <v>1220</v>
      </c>
      <c r="AE313" s="261"/>
      <c r="AF313" s="261"/>
      <c r="AG313" s="547" t="s">
        <v>791</v>
      </c>
      <c r="AH313" s="463">
        <v>45586</v>
      </c>
      <c r="AI313" s="456">
        <v>45621</v>
      </c>
      <c r="AJ313" s="462">
        <f>Tabla_query__2[[#This Row],[FinDes]]-Tabla_query__2[[#This Row],[InicioDes]]</f>
        <v>35</v>
      </c>
      <c r="AK313" s="456">
        <v>45621</v>
      </c>
      <c r="AL313" s="456">
        <v>45635</v>
      </c>
      <c r="AM313" s="462">
        <f t="shared" si="15"/>
        <v>364982</v>
      </c>
      <c r="AN313" s="456">
        <v>45635</v>
      </c>
      <c r="AO313" s="456">
        <v>45642</v>
      </c>
      <c r="AP313" s="456">
        <v>45626</v>
      </c>
      <c r="AQ313" s="281">
        <f>Tabla_query__2[[#This Row],[Inicio Real]]+(Tabla_query__2[[#This Row],[Número
Semanas]]*7)</f>
        <v>45633</v>
      </c>
      <c r="AR313" s="462">
        <f>Tabla_query__2[[#This Row],[Número
Semanas]]/4</f>
        <v>0.25</v>
      </c>
      <c r="AS313" s="269">
        <f>Tabla_query__2[[#This Row],[FinDes2]]-Tabla_query__2[[#This Row],[InicioDes2]]</f>
        <v>7</v>
      </c>
      <c r="AT313" s="261" t="s">
        <v>315</v>
      </c>
    </row>
    <row r="314" spans="1:48" ht="93">
      <c r="A314" s="318" t="s">
        <v>130</v>
      </c>
      <c r="B314" s="262" t="s">
        <v>131</v>
      </c>
      <c r="C314" s="262" t="s">
        <v>317</v>
      </c>
      <c r="D314" s="262" t="s">
        <v>856</v>
      </c>
      <c r="E314" s="262" t="s">
        <v>164</v>
      </c>
      <c r="F314" s="264" t="s">
        <v>857</v>
      </c>
      <c r="G314" s="264" t="s">
        <v>210</v>
      </c>
      <c r="H314" s="259" t="s">
        <v>204</v>
      </c>
      <c r="I314" s="262" t="s">
        <v>260</v>
      </c>
      <c r="J314" s="262" t="s">
        <v>4</v>
      </c>
      <c r="K314" s="262"/>
      <c r="L314" s="262"/>
      <c r="M314" s="266" t="s">
        <v>206</v>
      </c>
      <c r="N314" s="262" t="s">
        <v>47</v>
      </c>
      <c r="O314" s="722" t="s">
        <v>305</v>
      </c>
      <c r="P314" s="262" t="s">
        <v>45</v>
      </c>
      <c r="Q314" s="262" t="s">
        <v>143</v>
      </c>
      <c r="R314" s="262" t="s">
        <v>144</v>
      </c>
      <c r="S314" s="280" t="s">
        <v>221</v>
      </c>
      <c r="T314" s="591" t="s">
        <v>320</v>
      </c>
      <c r="U314" s="261" t="s">
        <v>858</v>
      </c>
      <c r="V314" s="261" t="s">
        <v>210</v>
      </c>
      <c r="W314" s="261"/>
      <c r="X314" s="261">
        <v>1</v>
      </c>
      <c r="Y314" s="261">
        <f>Tabla_query__2[[#This Row],[Número
Semanas]]*5*8</f>
        <v>40</v>
      </c>
      <c r="Z314" s="268">
        <f>Tabla_query__2[[#This Row],[TOTAL]]/Tabla_query__2[[#This Row],[Número de Horas]]/2</f>
        <v>14.875</v>
      </c>
      <c r="AA314" s="261">
        <v>1</v>
      </c>
      <c r="AB314" s="261">
        <v>550</v>
      </c>
      <c r="AC314" s="261"/>
      <c r="AD314" s="268">
        <f>Tabla_query__2[[#This Row],[Número
Semanas]]*Tabla_query__2[[#This Row],[Número
Personas]]*Tabla_query__2[[#This Row],[Costo
Mano Obra/semana]] + 640</f>
        <v>1190</v>
      </c>
      <c r="AE314" s="261"/>
      <c r="AF314" s="261"/>
      <c r="AG314" s="547" t="s">
        <v>791</v>
      </c>
      <c r="AH314" s="463">
        <v>45600</v>
      </c>
      <c r="AI314" s="456">
        <v>45607</v>
      </c>
      <c r="AJ314" s="462">
        <f>Tabla_query__2[[#This Row],[FinDes]]-Tabla_query__2[[#This Row],[InicioDes]]</f>
        <v>7</v>
      </c>
      <c r="AK314" s="456">
        <v>45607</v>
      </c>
      <c r="AL314" s="456">
        <v>45614</v>
      </c>
      <c r="AM314" s="462">
        <f t="shared" si="15"/>
        <v>364863</v>
      </c>
      <c r="AN314" s="456">
        <v>45614</v>
      </c>
      <c r="AO314" s="456">
        <v>45614</v>
      </c>
      <c r="AP314" s="320">
        <v>45597</v>
      </c>
      <c r="AQ314" s="281">
        <f>Tabla_query__2[[#This Row],[Inicio Real]]+(Tabla_query__2[[#This Row],[Número
Semanas]]*7)</f>
        <v>45604</v>
      </c>
      <c r="AR314" s="462">
        <f>Tabla_query__2[[#This Row],[Número
Semanas]]/4</f>
        <v>0.25</v>
      </c>
      <c r="AS314" s="269">
        <f>Tabla_query__2[[#This Row],[FinDes2]]-Tabla_query__2[[#This Row],[InicioDes2]]</f>
        <v>0</v>
      </c>
      <c r="AT314" s="261" t="s">
        <v>315</v>
      </c>
      <c r="AV314" s="434" t="s">
        <v>148</v>
      </c>
    </row>
    <row r="315" spans="1:48" s="556" customFormat="1">
      <c r="A315" s="318">
        <v>2024</v>
      </c>
      <c r="B315" s="262" t="s">
        <v>134</v>
      </c>
      <c r="C315" s="262"/>
      <c r="D315" s="266" t="s">
        <v>859</v>
      </c>
      <c r="E315" s="262" t="s">
        <v>131</v>
      </c>
      <c r="F315" s="259" t="s">
        <v>859</v>
      </c>
      <c r="G315" s="259"/>
      <c r="H315" s="259" t="s">
        <v>137</v>
      </c>
      <c r="I315" s="262" t="s">
        <v>266</v>
      </c>
      <c r="J315" s="262" t="s">
        <v>137</v>
      </c>
      <c r="K315" s="262"/>
      <c r="L315" s="262"/>
      <c r="M315" s="262" t="s">
        <v>329</v>
      </c>
      <c r="N315" s="262" t="s">
        <v>860</v>
      </c>
      <c r="O315" s="722" t="s">
        <v>861</v>
      </c>
      <c r="P315" s="262" t="s">
        <v>665</v>
      </c>
      <c r="Q315" s="262" t="s">
        <v>143</v>
      </c>
      <c r="R315" s="262" t="s">
        <v>179</v>
      </c>
      <c r="S315" s="261"/>
      <c r="T315" s="261" t="s">
        <v>152</v>
      </c>
      <c r="U315" s="328" t="s">
        <v>862</v>
      </c>
      <c r="V315" s="261" t="s">
        <v>136</v>
      </c>
      <c r="W315" s="261">
        <v>1</v>
      </c>
      <c r="X315" s="261">
        <v>3</v>
      </c>
      <c r="Y315" s="261">
        <f>Tabla_query__2[[#This Row],[Número
Semanas]]*5*8</f>
        <v>120</v>
      </c>
      <c r="Z315" s="268">
        <f>Tabla_query__2[[#This Row],[TOTAL]]/Tabla_query__2[[#This Row],[Número de Horas]]/2</f>
        <v>15.625</v>
      </c>
      <c r="AA315" s="261">
        <v>2</v>
      </c>
      <c r="AB315" s="261">
        <v>625</v>
      </c>
      <c r="AC315" s="261"/>
      <c r="AD315" s="268">
        <f>Tabla_query__2[[#This Row],[Número
Semanas]]*Tabla_query__2[[#This Row],[Número
Personas]]*Tabla_query__2[[#This Row],[Costo
Mano Obra/semana]]</f>
        <v>3750</v>
      </c>
      <c r="AE315" s="261"/>
      <c r="AF315" s="267"/>
      <c r="AG315" s="267"/>
      <c r="AH315" s="467">
        <v>45355</v>
      </c>
      <c r="AI315" s="467">
        <v>45366</v>
      </c>
      <c r="AJ315" s="469" t="e">
        <f>#REF!</f>
        <v>#REF!</v>
      </c>
      <c r="AK315" s="467">
        <v>45369</v>
      </c>
      <c r="AL315" s="467">
        <v>45373</v>
      </c>
      <c r="AM315" s="469">
        <f t="shared" si="15"/>
        <v>362956</v>
      </c>
      <c r="AN315" s="467">
        <v>45376</v>
      </c>
      <c r="AO315" s="467">
        <v>45380</v>
      </c>
      <c r="AP315" s="384">
        <f>Tabla_query__2[[#This Row],[InicioDes]]</f>
        <v>45355</v>
      </c>
      <c r="AQ315" s="384">
        <f>Tabla_query__2[[#This Row],[FinDes2]]</f>
        <v>45380</v>
      </c>
      <c r="AR315" s="467">
        <f>Tabla_query__2[[#This Row],[Número
Semanas]]/4</f>
        <v>0.75</v>
      </c>
      <c r="AS315" s="269">
        <f>Tabla_query__2[[#This Row],[FinDes2]]-Tabla_query__2[[#This Row],[InicioDes2]]</f>
        <v>4</v>
      </c>
      <c r="AT315" s="261"/>
      <c r="AU315"/>
      <c r="AV315"/>
    </row>
    <row r="316" spans="1:48">
      <c r="A316" s="318" t="s">
        <v>130</v>
      </c>
      <c r="B316" s="262" t="s">
        <v>131</v>
      </c>
      <c r="C316" s="262" t="s">
        <v>170</v>
      </c>
      <c r="D316" s="262" t="s">
        <v>506</v>
      </c>
      <c r="E316" s="262" t="s">
        <v>172</v>
      </c>
      <c r="F316" s="262" t="s">
        <v>507</v>
      </c>
      <c r="G316" s="262" t="s">
        <v>136</v>
      </c>
      <c r="H316" s="262" t="s">
        <v>137</v>
      </c>
      <c r="I316" s="262" t="s">
        <v>508</v>
      </c>
      <c r="J316" s="262" t="s">
        <v>139</v>
      </c>
      <c r="K316" s="262"/>
      <c r="L316" s="262"/>
      <c r="M316" s="266" t="s">
        <v>329</v>
      </c>
      <c r="N316" s="262" t="s">
        <v>433</v>
      </c>
      <c r="O316" s="722" t="s">
        <v>861</v>
      </c>
      <c r="P316" s="262" t="s">
        <v>139</v>
      </c>
      <c r="Q316" s="262" t="s">
        <v>143</v>
      </c>
      <c r="R316" s="262" t="s">
        <v>144</v>
      </c>
      <c r="S316" s="261"/>
      <c r="T316" s="261" t="s">
        <v>145</v>
      </c>
      <c r="U316" s="261" t="s">
        <v>509</v>
      </c>
      <c r="V316" s="261" t="s">
        <v>146</v>
      </c>
      <c r="W316" s="261">
        <v>0.28999999999999998</v>
      </c>
      <c r="X316" s="261">
        <v>1</v>
      </c>
      <c r="Y316" s="261">
        <f>Tabla_query__2[[#This Row],[Número
Semanas]]*5*8</f>
        <v>40</v>
      </c>
      <c r="Z316" s="268">
        <f>Tabla_query__2[[#This Row],[TOTAL]]/Tabla_query__2[[#This Row],[Número de Horas]]/2</f>
        <v>369.99649999999997</v>
      </c>
      <c r="AA316" s="261">
        <v>1</v>
      </c>
      <c r="AB316" s="261">
        <v>101428</v>
      </c>
      <c r="AC316" s="261"/>
      <c r="AD316" s="387">
        <f>(Tabla_query__2[[#This Row],[Número
Semanas]]*Tabla_query__2[[#This Row],[Número
Personas]]*Tabla_query__2[[#This Row],[Costo
Mano Obra/semana]]+640)*Tabla_query__2[[#This Row],[Factor País]]</f>
        <v>29599.719999999998</v>
      </c>
      <c r="AE316" s="261"/>
      <c r="AF316" s="261"/>
      <c r="AG316" s="591" t="s">
        <v>159</v>
      </c>
      <c r="AH316" s="281">
        <v>45488</v>
      </c>
      <c r="AI316" s="281"/>
      <c r="AJ316" s="281">
        <f>Tabla_query__2[[#This Row],[FinDes]]-Tabla_query__2[[#This Row],[InicioDes]]</f>
        <v>-45488</v>
      </c>
      <c r="AK316" s="281"/>
      <c r="AL316" s="281"/>
      <c r="AM316" s="281">
        <f t="shared" si="15"/>
        <v>0</v>
      </c>
      <c r="AN316" s="281"/>
      <c r="AO316" s="281">
        <v>45628</v>
      </c>
      <c r="AP316" s="281">
        <v>45488</v>
      </c>
      <c r="AQ316" s="281">
        <f>Tabla_query__2[[#This Row],[Inicio Real]]+(20*7)</f>
        <v>45628</v>
      </c>
      <c r="AR316" s="462">
        <f>20/4</f>
        <v>5</v>
      </c>
      <c r="AS316" s="269">
        <f>Tabla_query__2[[#This Row],[FinDes2]]-Tabla_query__2[[#This Row],[InicioDes2]]</f>
        <v>45628</v>
      </c>
      <c r="AT316" s="261" t="s">
        <v>155</v>
      </c>
      <c r="AV316" s="439"/>
    </row>
    <row r="317" spans="1:48">
      <c r="A317" s="318" t="s">
        <v>130</v>
      </c>
      <c r="B317" s="262" t="s">
        <v>134</v>
      </c>
      <c r="C317" s="262"/>
      <c r="D317" s="277" t="s">
        <v>863</v>
      </c>
      <c r="E317" s="262"/>
      <c r="F317" s="259" t="s">
        <v>864</v>
      </c>
      <c r="G317" s="259"/>
      <c r="H317" s="259" t="s">
        <v>204</v>
      </c>
      <c r="I317" s="277" t="s">
        <v>220</v>
      </c>
      <c r="J317" s="262" t="s">
        <v>139</v>
      </c>
      <c r="K317" s="262"/>
      <c r="L317" s="262"/>
      <c r="M317" s="262" t="s">
        <v>329</v>
      </c>
      <c r="N317" s="262" t="s">
        <v>433</v>
      </c>
      <c r="O317" s="722" t="s">
        <v>861</v>
      </c>
      <c r="P317" s="262" t="s">
        <v>665</v>
      </c>
      <c r="Q317" s="262" t="s">
        <v>143</v>
      </c>
      <c r="R317" s="262" t="s">
        <v>179</v>
      </c>
      <c r="S317" s="261"/>
      <c r="T317" s="261" t="s">
        <v>152</v>
      </c>
      <c r="U317" s="328" t="s">
        <v>865</v>
      </c>
      <c r="V317" s="261" t="s">
        <v>136</v>
      </c>
      <c r="W317" s="261">
        <v>1</v>
      </c>
      <c r="X317" s="261">
        <v>1</v>
      </c>
      <c r="Y317" s="261">
        <f>Tabla_query__2[[#This Row],[Número
Semanas]]*5*8</f>
        <v>40</v>
      </c>
      <c r="Z317" s="268">
        <f>Tabla_query__2[[#This Row],[TOTAL]]/Tabla_query__2[[#This Row],[Número de Horas]]/2</f>
        <v>15.625</v>
      </c>
      <c r="AA317" s="261">
        <v>2</v>
      </c>
      <c r="AB317" s="261">
        <v>625</v>
      </c>
      <c r="AC317" s="261"/>
      <c r="AD317" s="388">
        <f>Tabla_query__2[[#This Row],[Número
Semanas]]*Tabla_query__2[[#This Row],[Número
Personas]]*Tabla_query__2[[#This Row],[Costo
Mano Obra/semana]]</f>
        <v>1250</v>
      </c>
      <c r="AE317" s="261"/>
      <c r="AF317" s="261"/>
      <c r="AG317" s="261"/>
      <c r="AH317" s="281">
        <v>45355</v>
      </c>
      <c r="AI317" s="281">
        <v>45359</v>
      </c>
      <c r="AJ317" s="281" t="e">
        <f>#REF!</f>
        <v>#REF!</v>
      </c>
      <c r="AK317" s="281">
        <v>45362</v>
      </c>
      <c r="AL317" s="281">
        <v>45366</v>
      </c>
      <c r="AM317" s="281">
        <f t="shared" si="15"/>
        <v>362900</v>
      </c>
      <c r="AN317" s="281">
        <v>45369</v>
      </c>
      <c r="AO317" s="281">
        <v>45373</v>
      </c>
      <c r="AP317" s="281">
        <f>Tabla_query__2[[#This Row],[InicioDes]]</f>
        <v>45355</v>
      </c>
      <c r="AQ317" s="281">
        <f>Tabla_query__2[[#This Row],[FinDes2]]</f>
        <v>45373</v>
      </c>
      <c r="AR317" s="462">
        <f>Tabla_query__2[[#This Row],[Número
Semanas]]/4</f>
        <v>0.25</v>
      </c>
      <c r="AS317" s="269">
        <f>Tabla_query__2[[#This Row],[FinDes2]]-Tabla_query__2[[#This Row],[InicioDes2]]</f>
        <v>4</v>
      </c>
      <c r="AT317" s="261"/>
      <c r="AV317" s="449"/>
    </row>
    <row r="318" spans="1:48">
      <c r="A318" s="318" t="s">
        <v>130</v>
      </c>
      <c r="B318" s="262" t="s">
        <v>131</v>
      </c>
      <c r="C318" s="262" t="s">
        <v>149</v>
      </c>
      <c r="D318" s="262" t="s">
        <v>866</v>
      </c>
      <c r="E318" s="262" t="s">
        <v>164</v>
      </c>
      <c r="F318" s="259" t="s">
        <v>867</v>
      </c>
      <c r="G318" s="259" t="s">
        <v>146</v>
      </c>
      <c r="H318" s="259" t="s">
        <v>204</v>
      </c>
      <c r="I318" s="262" t="s">
        <v>266</v>
      </c>
      <c r="J318" s="262" t="s">
        <v>139</v>
      </c>
      <c r="K318" s="262"/>
      <c r="L318" s="262"/>
      <c r="M318" s="266" t="s">
        <v>329</v>
      </c>
      <c r="N318" s="262" t="s">
        <v>433</v>
      </c>
      <c r="O318" s="722" t="s">
        <v>861</v>
      </c>
      <c r="P318" s="262" t="s">
        <v>178</v>
      </c>
      <c r="Q318" s="262" t="s">
        <v>143</v>
      </c>
      <c r="R318" s="262" t="s">
        <v>144</v>
      </c>
      <c r="S318" s="261"/>
      <c r="T318" s="261" t="s">
        <v>320</v>
      </c>
      <c r="U318" s="261" t="s">
        <v>868</v>
      </c>
      <c r="V318" s="261" t="s">
        <v>146</v>
      </c>
      <c r="W318" s="261"/>
      <c r="X318" s="261">
        <v>9</v>
      </c>
      <c r="Y318" s="261">
        <f>Tabla_query__2[[#This Row],[Número
Semanas]]*5*8</f>
        <v>360</v>
      </c>
      <c r="Z318" s="268">
        <f>Tabla_query__2[[#This Row],[TOTAL]]/Tabla_query__2[[#This Row],[Número de Horas]]/2</f>
        <v>7.7638888888888893</v>
      </c>
      <c r="AA318" s="261">
        <v>1</v>
      </c>
      <c r="AB318" s="261">
        <v>550</v>
      </c>
      <c r="AC318" s="261"/>
      <c r="AD318" s="268">
        <f>Tabla_query__2[[#This Row],[Número
Semanas]]*Tabla_query__2[[#This Row],[Número
Personas]]*Tabla_query__2[[#This Row],[Costo
Mano Obra/semana]] + 640</f>
        <v>5590</v>
      </c>
      <c r="AE318" s="261"/>
      <c r="AF318" s="261"/>
      <c r="AG318" s="591" t="s">
        <v>322</v>
      </c>
      <c r="AH318" s="281">
        <v>45579</v>
      </c>
      <c r="AI318" s="281">
        <v>45607</v>
      </c>
      <c r="AJ318" s="281">
        <f>Tabla_query__2[[#This Row],[FinDes]]-Tabla_query__2[[#This Row],[InicioDes]]</f>
        <v>28</v>
      </c>
      <c r="AK318" s="281">
        <v>45607</v>
      </c>
      <c r="AL318" s="281">
        <v>45621</v>
      </c>
      <c r="AM318" s="281">
        <f t="shared" si="15"/>
        <v>364870</v>
      </c>
      <c r="AN318" s="281">
        <v>45621</v>
      </c>
      <c r="AO318" s="281">
        <v>45642</v>
      </c>
      <c r="AP318" s="281">
        <v>45566</v>
      </c>
      <c r="AQ318" s="281">
        <f>Tabla_query__2[[#This Row],[Inicio Real]]+(Tabla_query__2[[#This Row],[Número
Semanas]]*7)</f>
        <v>45629</v>
      </c>
      <c r="AR318" s="462">
        <f>Tabla_query__2[[#This Row],[Número
Semanas]]/4</f>
        <v>2.25</v>
      </c>
      <c r="AS318" s="269">
        <f>Tabla_query__2[[#This Row],[FinDes2]]-Tabla_query__2[[#This Row],[InicioDes2]]</f>
        <v>21</v>
      </c>
      <c r="AT318" s="261" t="s">
        <v>869</v>
      </c>
      <c r="AV318" s="439"/>
    </row>
    <row r="319" spans="1:48" ht="58.15">
      <c r="A319" s="318" t="s">
        <v>130</v>
      </c>
      <c r="B319" s="262" t="s">
        <v>131</v>
      </c>
      <c r="C319" s="262" t="s">
        <v>519</v>
      </c>
      <c r="D319" s="262" t="s">
        <v>520</v>
      </c>
      <c r="E319" s="262" t="s">
        <v>303</v>
      </c>
      <c r="F319" s="259" t="s">
        <v>870</v>
      </c>
      <c r="G319" s="259" t="s">
        <v>136</v>
      </c>
      <c r="H319" s="259" t="s">
        <v>137</v>
      </c>
      <c r="I319" s="262" t="s">
        <v>260</v>
      </c>
      <c r="J319" s="262" t="s">
        <v>139</v>
      </c>
      <c r="K319" s="262"/>
      <c r="L319" s="262"/>
      <c r="M319" s="266" t="s">
        <v>329</v>
      </c>
      <c r="N319" s="262" t="s">
        <v>433</v>
      </c>
      <c r="O319" s="722" t="s">
        <v>861</v>
      </c>
      <c r="P319" s="262" t="s">
        <v>139</v>
      </c>
      <c r="Q319" s="262" t="s">
        <v>143</v>
      </c>
      <c r="R319" s="262" t="s">
        <v>144</v>
      </c>
      <c r="S319" s="261"/>
      <c r="T319" s="261" t="s">
        <v>320</v>
      </c>
      <c r="U319" s="261" t="s">
        <v>522</v>
      </c>
      <c r="V319" s="261" t="s">
        <v>136</v>
      </c>
      <c r="W319" s="261">
        <v>1</v>
      </c>
      <c r="X319" s="261">
        <v>15</v>
      </c>
      <c r="Y319" s="261">
        <f>Tabla_query__2[[#This Row],[Número
Semanas]]*5*8</f>
        <v>600</v>
      </c>
      <c r="Z319" s="268">
        <f>Tabla_query__2[[#This Row],[TOTAL]]/Tabla_query__2[[#This Row],[Número de Horas]]/2</f>
        <v>7.4083333333333332</v>
      </c>
      <c r="AA319" s="261">
        <v>1</v>
      </c>
      <c r="AB319" s="261">
        <v>550</v>
      </c>
      <c r="AC319" s="261"/>
      <c r="AD319" s="268">
        <f>Tabla_query__2[[#This Row],[Número
Semanas]]*Tabla_query__2[[#This Row],[Número
Personas]]*Tabla_query__2[[#This Row],[Costo
Mano Obra/semana]] + 640</f>
        <v>8890</v>
      </c>
      <c r="AE319" s="261"/>
      <c r="AF319" s="322"/>
      <c r="AG319" s="591" t="s">
        <v>322</v>
      </c>
      <c r="AH319" s="281">
        <v>45572</v>
      </c>
      <c r="AI319" s="281">
        <v>45600</v>
      </c>
      <c r="AJ319" s="281">
        <f>Tabla_query__2[[#This Row],[FinDes]]-Tabla_query__2[[#This Row],[InicioDes]]</f>
        <v>28</v>
      </c>
      <c r="AK319" s="281">
        <v>45600</v>
      </c>
      <c r="AL319" s="281">
        <v>45614</v>
      </c>
      <c r="AM319" s="281">
        <f t="shared" si="15"/>
        <v>364814</v>
      </c>
      <c r="AN319" s="281">
        <v>45614</v>
      </c>
      <c r="AO319" s="281">
        <v>45635</v>
      </c>
      <c r="AP319" s="281">
        <v>45566</v>
      </c>
      <c r="AQ319" s="281">
        <f>Tabla_query__2[[#This Row],[Inicio Real]]+(Tabla_query__2[[#This Row],[Número
Semanas]]*7)</f>
        <v>45671</v>
      </c>
      <c r="AR319" s="462">
        <f>Tabla_query__2[[#This Row],[Número
Semanas]]/4</f>
        <v>3.75</v>
      </c>
      <c r="AS319" s="269">
        <f>Tabla_query__2[[#This Row],[FinDes2]]-Tabla_query__2[[#This Row],[InicioDes2]]</f>
        <v>21</v>
      </c>
      <c r="AT319" s="261" t="s">
        <v>155</v>
      </c>
      <c r="AV319" s="439"/>
    </row>
    <row r="320" spans="1:48">
      <c r="A320" s="318" t="s">
        <v>130</v>
      </c>
      <c r="B320" s="262" t="s">
        <v>134</v>
      </c>
      <c r="C320" s="262"/>
      <c r="D320" s="277" t="s">
        <v>796</v>
      </c>
      <c r="E320" s="262"/>
      <c r="F320" s="259" t="s">
        <v>871</v>
      </c>
      <c r="G320" s="259"/>
      <c r="H320" s="259" t="s">
        <v>781</v>
      </c>
      <c r="I320" s="277" t="s">
        <v>220</v>
      </c>
      <c r="J320" s="262" t="s">
        <v>139</v>
      </c>
      <c r="K320" s="262"/>
      <c r="L320" s="262"/>
      <c r="M320" s="262" t="s">
        <v>329</v>
      </c>
      <c r="N320" s="262" t="s">
        <v>433</v>
      </c>
      <c r="O320" s="722" t="s">
        <v>861</v>
      </c>
      <c r="P320" s="262" t="s">
        <v>665</v>
      </c>
      <c r="Q320" s="262" t="s">
        <v>143</v>
      </c>
      <c r="R320" s="262" t="s">
        <v>179</v>
      </c>
      <c r="S320" s="261"/>
      <c r="T320" s="261" t="s">
        <v>145</v>
      </c>
      <c r="U320" s="328" t="s">
        <v>872</v>
      </c>
      <c r="V320" s="261" t="s">
        <v>136</v>
      </c>
      <c r="W320" s="261">
        <v>1</v>
      </c>
      <c r="X320" s="261">
        <v>1</v>
      </c>
      <c r="Y320" s="261">
        <f>Tabla_query__2[[#This Row],[Número
Semanas]]*5*8</f>
        <v>40</v>
      </c>
      <c r="Z320" s="268">
        <f>Tabla_query__2[[#This Row],[TOTAL]]/Tabla_query__2[[#This Row],[Número de Horas]]/2</f>
        <v>78.125</v>
      </c>
      <c r="AA320" s="261">
        <v>10</v>
      </c>
      <c r="AB320" s="261">
        <v>625</v>
      </c>
      <c r="AC320" s="261"/>
      <c r="AD320" s="388">
        <f>Tabla_query__2[[#This Row],[Número
Semanas]]*Tabla_query__2[[#This Row],[Número
Personas]]*Tabla_query__2[[#This Row],[Costo
Mano Obra/semana]]</f>
        <v>6250</v>
      </c>
      <c r="AE320" s="261"/>
      <c r="AF320" s="261"/>
      <c r="AG320" s="261"/>
      <c r="AH320" s="384">
        <v>45383</v>
      </c>
      <c r="AI320" s="448">
        <v>45429</v>
      </c>
      <c r="AJ320" s="282" t="e">
        <f>#REF!</f>
        <v>#REF!</v>
      </c>
      <c r="AK320" s="448">
        <v>45432</v>
      </c>
      <c r="AL320" s="448">
        <v>45436</v>
      </c>
      <c r="AM320" s="282">
        <f t="shared" si="15"/>
        <v>363460</v>
      </c>
      <c r="AN320" s="448">
        <v>45439</v>
      </c>
      <c r="AO320" s="448">
        <v>45443</v>
      </c>
      <c r="AP320" s="384">
        <f>Tabla_query__2[[#This Row],[InicioDes]]</f>
        <v>45383</v>
      </c>
      <c r="AQ320" s="384">
        <f>Tabla_query__2[[#This Row],[FinDes2]]</f>
        <v>45443</v>
      </c>
      <c r="AR320" s="462">
        <f>Tabla_query__2[[#This Row],[Número
Semanas]]/4</f>
        <v>0.25</v>
      </c>
      <c r="AS320" s="269">
        <f>Tabla_query__2[[#This Row],[FinDes2]]-Tabla_query__2[[#This Row],[InicioDes2]]</f>
        <v>4</v>
      </c>
      <c r="AT320" s="261"/>
    </row>
    <row r="321" spans="1:48" ht="23.25">
      <c r="A321" s="318" t="s">
        <v>130</v>
      </c>
      <c r="B321" s="262" t="s">
        <v>457</v>
      </c>
      <c r="C321" s="262"/>
      <c r="D321" s="266" t="s">
        <v>873</v>
      </c>
      <c r="E321" s="262"/>
      <c r="F321" s="259" t="s">
        <v>874</v>
      </c>
      <c r="G321" s="259"/>
      <c r="H321" s="259" t="s">
        <v>204</v>
      </c>
      <c r="I321" s="277" t="s">
        <v>266</v>
      </c>
      <c r="J321" s="262" t="s">
        <v>137</v>
      </c>
      <c r="K321" s="262"/>
      <c r="L321" s="262"/>
      <c r="M321" s="262" t="s">
        <v>329</v>
      </c>
      <c r="N321" s="262" t="s">
        <v>433</v>
      </c>
      <c r="O321" s="722" t="s">
        <v>861</v>
      </c>
      <c r="P321" s="262" t="s">
        <v>665</v>
      </c>
      <c r="Q321" s="262" t="s">
        <v>143</v>
      </c>
      <c r="R321" s="526" t="s">
        <v>144</v>
      </c>
      <c r="S321" s="261" t="s">
        <v>145</v>
      </c>
      <c r="T321" s="261" t="s">
        <v>145</v>
      </c>
      <c r="U321" s="261"/>
      <c r="V321" s="261" t="s">
        <v>210</v>
      </c>
      <c r="W321" s="261"/>
      <c r="X321" s="261">
        <v>2</v>
      </c>
      <c r="Y321" s="261">
        <f>Tabla_query__2[[#This Row],[Número
Semanas]]*5*8</f>
        <v>80</v>
      </c>
      <c r="Z321" s="268">
        <f>Tabla_query__2[[#This Row],[TOTAL]]/Tabla_query__2[[#This Row],[Número de Horas]]/2</f>
        <v>10.875</v>
      </c>
      <c r="AA321" s="261">
        <v>1</v>
      </c>
      <c r="AB321" s="261">
        <v>550</v>
      </c>
      <c r="AC321" s="261"/>
      <c r="AD321" s="268">
        <f>Tabla_query__2[[#This Row],[Número
Semanas]]*Tabla_query__2[[#This Row],[Número
Personas]]*Tabla_query__2[[#This Row],[Costo
Mano Obra/semana]] + 640</f>
        <v>1740</v>
      </c>
      <c r="AE321" s="261"/>
      <c r="AF321" s="261"/>
      <c r="AG321" s="261"/>
      <c r="AH321" s="267" t="s">
        <v>875</v>
      </c>
      <c r="AI321" s="267">
        <v>45597</v>
      </c>
      <c r="AJ321" s="282" t="e">
        <f>#REF!</f>
        <v>#REF!</v>
      </c>
      <c r="AK321" s="267">
        <v>45597</v>
      </c>
      <c r="AL321" s="267">
        <v>45627</v>
      </c>
      <c r="AM321" s="282">
        <f t="shared" si="15"/>
        <v>364806</v>
      </c>
      <c r="AN321" s="267">
        <v>45627</v>
      </c>
      <c r="AO321" s="267">
        <v>45633</v>
      </c>
      <c r="AP321" s="384" t="str">
        <f>Tabla_query__2[[#This Row],[InicioDes]]</f>
        <v>01/0/2024</v>
      </c>
      <c r="AQ321" s="384">
        <f>Tabla_query__2[[#This Row],[FinDes2]]</f>
        <v>45633</v>
      </c>
      <c r="AR321" s="462">
        <f>Tabla_query__2[[#This Row],[Número
Semanas]]/4</f>
        <v>0.5</v>
      </c>
      <c r="AS321" s="269">
        <f>Tabla_query__2[[#This Row],[FinDes2]]-Tabla_query__2[[#This Row],[InicioDes2]]</f>
        <v>6</v>
      </c>
      <c r="AT321" s="261"/>
    </row>
    <row r="322" spans="1:48" ht="23.25">
      <c r="A322" s="318" t="s">
        <v>130</v>
      </c>
      <c r="B322" s="262" t="s">
        <v>134</v>
      </c>
      <c r="C322" s="262"/>
      <c r="D322" s="266" t="s">
        <v>766</v>
      </c>
      <c r="E322" s="262"/>
      <c r="F322" s="259" t="s">
        <v>876</v>
      </c>
      <c r="G322" s="259"/>
      <c r="H322" s="259" t="s">
        <v>137</v>
      </c>
      <c r="I322" s="277" t="s">
        <v>266</v>
      </c>
      <c r="J322" s="262" t="s">
        <v>137</v>
      </c>
      <c r="K322" s="262"/>
      <c r="L322" s="262"/>
      <c r="M322" s="262" t="s">
        <v>329</v>
      </c>
      <c r="N322" s="262" t="s">
        <v>433</v>
      </c>
      <c r="O322" s="722" t="s">
        <v>861</v>
      </c>
      <c r="P322" s="262" t="s">
        <v>665</v>
      </c>
      <c r="Q322" s="262" t="s">
        <v>143</v>
      </c>
      <c r="R322" s="262" t="s">
        <v>179</v>
      </c>
      <c r="S322" s="261"/>
      <c r="T322" s="261" t="s">
        <v>145</v>
      </c>
      <c r="U322" s="261" t="s">
        <v>877</v>
      </c>
      <c r="V322" s="261" t="s">
        <v>136</v>
      </c>
      <c r="W322" s="261">
        <v>1</v>
      </c>
      <c r="X322" s="261">
        <v>6</v>
      </c>
      <c r="Y322" s="261">
        <f>Tabla_query__2[[#This Row],[Número
Semanas]]*5*8</f>
        <v>240</v>
      </c>
      <c r="Z322" s="268">
        <f>Tabla_query__2[[#This Row],[TOTAL]]/Tabla_query__2[[#This Row],[Número de Horas]]/2</f>
        <v>7.8125</v>
      </c>
      <c r="AA322" s="261">
        <v>1</v>
      </c>
      <c r="AB322" s="261">
        <v>625</v>
      </c>
      <c r="AC322" s="261"/>
      <c r="AD322" s="388">
        <f>Tabla_query__2[[#This Row],[Número
Semanas]]*Tabla_query__2[[#This Row],[Número
Personas]]*Tabla_query__2[[#This Row],[Costo
Mano Obra/semana]]</f>
        <v>3750</v>
      </c>
      <c r="AE322" s="261"/>
      <c r="AF322" s="261"/>
      <c r="AG322" s="261"/>
      <c r="AH322" s="384">
        <v>45411</v>
      </c>
      <c r="AI322" s="448">
        <v>45443</v>
      </c>
      <c r="AJ322" s="282" t="e">
        <f>#REF!</f>
        <v>#REF!</v>
      </c>
      <c r="AK322" s="448">
        <v>45446</v>
      </c>
      <c r="AL322" s="448">
        <v>45450</v>
      </c>
      <c r="AM322" s="282">
        <f t="shared" si="15"/>
        <v>363572</v>
      </c>
      <c r="AN322" s="448">
        <v>45453</v>
      </c>
      <c r="AO322" s="267">
        <v>45398</v>
      </c>
      <c r="AP322" s="384">
        <f>Tabla_query__2[[#This Row],[InicioDes]]</f>
        <v>45411</v>
      </c>
      <c r="AQ322" s="384">
        <f>Tabla_query__2[[#This Row],[FinDes2]]</f>
        <v>45398</v>
      </c>
      <c r="AR322" s="462">
        <f>Tabla_query__2[[#This Row],[Número
Semanas]]/4</f>
        <v>1.5</v>
      </c>
      <c r="AS322" s="269">
        <f>Tabla_query__2[[#This Row],[FinDes2]]-Tabla_query__2[[#This Row],[InicioDes2]]</f>
        <v>-55</v>
      </c>
      <c r="AT322" s="261"/>
    </row>
    <row r="323" spans="1:48" ht="23.25">
      <c r="A323" s="318" t="s">
        <v>130</v>
      </c>
      <c r="B323" s="262" t="s">
        <v>457</v>
      </c>
      <c r="C323" s="262"/>
      <c r="D323" s="271" t="s">
        <v>878</v>
      </c>
      <c r="E323" s="266"/>
      <c r="F323" s="259" t="s">
        <v>879</v>
      </c>
      <c r="G323" s="259"/>
      <c r="H323" s="259" t="s">
        <v>204</v>
      </c>
      <c r="I323" s="277" t="s">
        <v>266</v>
      </c>
      <c r="J323" s="262" t="s">
        <v>137</v>
      </c>
      <c r="K323" s="262"/>
      <c r="L323" s="262"/>
      <c r="M323" s="262" t="s">
        <v>329</v>
      </c>
      <c r="N323" s="262" t="s">
        <v>433</v>
      </c>
      <c r="O323" s="722" t="s">
        <v>861</v>
      </c>
      <c r="P323" s="262" t="s">
        <v>665</v>
      </c>
      <c r="Q323" s="262" t="s">
        <v>143</v>
      </c>
      <c r="R323" s="262" t="s">
        <v>144</v>
      </c>
      <c r="S323" s="261" t="s">
        <v>320</v>
      </c>
      <c r="T323" s="261" t="s">
        <v>320</v>
      </c>
      <c r="U323" s="261"/>
      <c r="V323" s="261" t="s">
        <v>136</v>
      </c>
      <c r="W323" s="261"/>
      <c r="X323" s="261">
        <v>12</v>
      </c>
      <c r="Y323" s="261">
        <f>Tabla_query__2[[#This Row],[Número
Semanas]]*5*8</f>
        <v>480</v>
      </c>
      <c r="Z323" s="268">
        <f>Tabla_query__2[[#This Row],[TOTAL]]/Tabla_query__2[[#This Row],[Número de Horas]]/2</f>
        <v>14.416666666666666</v>
      </c>
      <c r="AA323" s="261">
        <v>2</v>
      </c>
      <c r="AB323" s="261">
        <v>550</v>
      </c>
      <c r="AC323" s="261"/>
      <c r="AD323" s="268">
        <f>Tabla_query__2[[#This Row],[Número
Semanas]]*Tabla_query__2[[#This Row],[Número
Personas]]*Tabla_query__2[[#This Row],[Costo
Mano Obra/semana]] + 640</f>
        <v>13840</v>
      </c>
      <c r="AE323" s="261"/>
      <c r="AF323" s="261"/>
      <c r="AG323" s="261"/>
      <c r="AH323" s="267">
        <v>45536</v>
      </c>
      <c r="AI323" s="267">
        <v>45610</v>
      </c>
      <c r="AJ323" s="282" t="e">
        <f>#REF!</f>
        <v>#REF!</v>
      </c>
      <c r="AK323" s="267">
        <v>45610</v>
      </c>
      <c r="AL323" s="267">
        <v>45617</v>
      </c>
      <c r="AM323" s="282">
        <f t="shared" si="15"/>
        <v>364887</v>
      </c>
      <c r="AN323" s="267">
        <v>45617</v>
      </c>
      <c r="AO323" s="267" t="s">
        <v>880</v>
      </c>
      <c r="AP323" s="384">
        <f>Tabla_query__2[[#This Row],[InicioDes]]</f>
        <v>45536</v>
      </c>
      <c r="AQ323" s="384" t="str">
        <f>Tabla_query__2[[#This Row],[FinDes2]]</f>
        <v>01/12/12024</v>
      </c>
      <c r="AR323" s="462">
        <f>Tabla_query__2[[#This Row],[Número
Semanas]]/4</f>
        <v>3</v>
      </c>
      <c r="AS323" s="269" t="e">
        <f>Tabla_query__2[[#This Row],[FinDes2]]-Tabla_query__2[[#This Row],[InicioDes2]]</f>
        <v>#VALUE!</v>
      </c>
      <c r="AT323" s="261"/>
      <c r="AU323" s="5"/>
    </row>
    <row r="324" spans="1:48">
      <c r="A324" s="318" t="s">
        <v>130</v>
      </c>
      <c r="B324" s="277" t="s">
        <v>212</v>
      </c>
      <c r="C324" s="277"/>
      <c r="D324" s="271" t="s">
        <v>881</v>
      </c>
      <c r="E324" s="277"/>
      <c r="F324" s="259" t="s">
        <v>882</v>
      </c>
      <c r="G324" s="259"/>
      <c r="H324" s="259" t="s">
        <v>204</v>
      </c>
      <c r="I324" s="277" t="s">
        <v>266</v>
      </c>
      <c r="J324" s="262" t="s">
        <v>137</v>
      </c>
      <c r="K324" s="262"/>
      <c r="L324" s="262"/>
      <c r="M324" s="277" t="s">
        <v>329</v>
      </c>
      <c r="N324" s="277" t="s">
        <v>433</v>
      </c>
      <c r="O324" s="722" t="s">
        <v>861</v>
      </c>
      <c r="P324" s="262" t="s">
        <v>665</v>
      </c>
      <c r="Q324" s="262" t="s">
        <v>143</v>
      </c>
      <c r="R324" s="277" t="s">
        <v>144</v>
      </c>
      <c r="S324" s="259" t="s">
        <v>145</v>
      </c>
      <c r="T324" s="259" t="s">
        <v>145</v>
      </c>
      <c r="U324" s="259"/>
      <c r="V324" s="259" t="s">
        <v>146</v>
      </c>
      <c r="W324" s="259">
        <v>1</v>
      </c>
      <c r="X324" s="259">
        <v>6</v>
      </c>
      <c r="Y324" s="259">
        <f>Tabla_query__2[[#This Row],[Número
Semanas]]*5*8</f>
        <v>240</v>
      </c>
      <c r="Z324" s="387">
        <f>Tabla_query__2[[#This Row],[TOTAL]]/Tabla_query__2[[#This Row],[Número de Horas]]/2</f>
        <v>6.333333333333333</v>
      </c>
      <c r="AA324" s="259">
        <v>2</v>
      </c>
      <c r="AB324" s="259">
        <v>200</v>
      </c>
      <c r="AC324" s="259"/>
      <c r="AD324" s="403">
        <f>Tabla_query__2[[#This Row],[Número
Semanas]]*Tabla_query__2[[#This Row],[Número
Personas]]*Tabla_query__2[[#This Row],[Costo
Mano Obra/semana]] + 640</f>
        <v>3040</v>
      </c>
      <c r="AE324" s="259"/>
      <c r="AF324" s="259"/>
      <c r="AG324" s="259"/>
      <c r="AH324" s="404">
        <v>45341</v>
      </c>
      <c r="AI324" s="404">
        <v>45382</v>
      </c>
      <c r="AJ324" s="451">
        <f>Tabla_query__2[[#This Row],[FinDes]]-Tabla_query__2[[#This Row],[InicioDes]]</f>
        <v>41</v>
      </c>
      <c r="AK324" s="404">
        <v>45369</v>
      </c>
      <c r="AL324" s="404">
        <v>45376</v>
      </c>
      <c r="AM324" s="405">
        <f>Tabla_query__2[[#This Row],[FinPil]]-Tabla_query__2[[#This Row],[InicioPil]]</f>
        <v>7</v>
      </c>
      <c r="AN324" s="404">
        <v>45376</v>
      </c>
      <c r="AO324" s="404">
        <v>45383</v>
      </c>
      <c r="AP324" s="384">
        <f>Tabla_query__2[[#This Row],[InicioDes]]</f>
        <v>45341</v>
      </c>
      <c r="AQ324" s="384">
        <f>Tabla_query__2[[#This Row],[FinDes2]]</f>
        <v>45383</v>
      </c>
      <c r="AR324" s="462">
        <f>Tabla_query__2[[#This Row],[Número
Semanas]]/4</f>
        <v>1.5</v>
      </c>
      <c r="AS324" s="405">
        <f>Tabla_query__2[[#This Row],[FinDes2]]-Tabla_query__2[[#This Row],[InicioDes2]]</f>
        <v>7</v>
      </c>
      <c r="AT324" s="259"/>
      <c r="AU324" s="329"/>
      <c r="AV324" s="407"/>
    </row>
    <row r="325" spans="1:48" ht="23.25">
      <c r="A325" s="318" t="s">
        <v>130</v>
      </c>
      <c r="B325" s="277" t="s">
        <v>212</v>
      </c>
      <c r="C325" s="277"/>
      <c r="D325" s="661" t="s">
        <v>883</v>
      </c>
      <c r="E325" s="494"/>
      <c r="F325" s="259" t="s">
        <v>884</v>
      </c>
      <c r="G325" s="259"/>
      <c r="H325" s="259" t="s">
        <v>204</v>
      </c>
      <c r="I325" s="277" t="s">
        <v>266</v>
      </c>
      <c r="J325" s="262" t="s">
        <v>137</v>
      </c>
      <c r="K325" s="262"/>
      <c r="L325" s="262"/>
      <c r="M325" s="277" t="s">
        <v>329</v>
      </c>
      <c r="N325" s="277" t="s">
        <v>433</v>
      </c>
      <c r="O325" s="722" t="s">
        <v>861</v>
      </c>
      <c r="P325" s="262" t="s">
        <v>665</v>
      </c>
      <c r="Q325" s="262" t="s">
        <v>143</v>
      </c>
      <c r="R325" s="277" t="s">
        <v>144</v>
      </c>
      <c r="S325" s="259" t="s">
        <v>145</v>
      </c>
      <c r="T325" s="259" t="s">
        <v>221</v>
      </c>
      <c r="U325" s="259"/>
      <c r="V325" s="261" t="s">
        <v>136</v>
      </c>
      <c r="W325" s="259">
        <v>0</v>
      </c>
      <c r="X325" s="259">
        <v>6</v>
      </c>
      <c r="Y325" s="259">
        <f>Tabla_query__2[[#This Row],[Número
Semanas]]*5*8</f>
        <v>240</v>
      </c>
      <c r="Z325" s="387">
        <f>Tabla_query__2[[#This Row],[TOTAL]]/Tabla_query__2[[#This Row],[Número de Horas]]/2</f>
        <v>0</v>
      </c>
      <c r="AA325" s="259">
        <v>3</v>
      </c>
      <c r="AB325" s="259">
        <v>1000</v>
      </c>
      <c r="AC325" s="259"/>
      <c r="AD325" s="403">
        <f>(Tabla_query__2[[#This Row],[Número
Semanas]]*Tabla_query__2[[#This Row],[Número
Personas]]*Tabla_query__2[[#This Row],[Costo
Mano Obra/semana]] + 640)*Tabla_query__2[[#This Row],[Factor País]]</f>
        <v>0</v>
      </c>
      <c r="AE325" s="259"/>
      <c r="AF325" s="259"/>
      <c r="AG325" s="259"/>
      <c r="AH325" s="404">
        <v>45389</v>
      </c>
      <c r="AI325" s="404">
        <v>45426</v>
      </c>
      <c r="AJ325" s="451">
        <f>Tabla_query__2[[#This Row],[FinDes]]-Tabla_query__2[[#This Row],[InicioDes]]</f>
        <v>37</v>
      </c>
      <c r="AK325" s="404">
        <v>45426</v>
      </c>
      <c r="AL325" s="404">
        <v>45443</v>
      </c>
      <c r="AM325" s="405">
        <f>Tabla_query__2[[#This Row],[FinPil]]-Tabla_query__2[[#This Row],[InicioPil]]</f>
        <v>17</v>
      </c>
      <c r="AN325" s="404">
        <v>45443</v>
      </c>
      <c r="AO325" s="404">
        <v>45457</v>
      </c>
      <c r="AP325" s="384">
        <f>Tabla_query__2[[#This Row],[InicioDes]]</f>
        <v>45389</v>
      </c>
      <c r="AQ325" s="384">
        <f>Tabla_query__2[[#This Row],[FinDes2]]</f>
        <v>45457</v>
      </c>
      <c r="AR325" s="462">
        <f>Tabla_query__2[[#This Row],[Número
Semanas]]/4</f>
        <v>1.5</v>
      </c>
      <c r="AS325" s="405">
        <f>Tabla_query__2[[#This Row],[FinDes2]]-Tabla_query__2[[#This Row],[InicioDes2]]</f>
        <v>14</v>
      </c>
      <c r="AT325" s="259"/>
      <c r="AU325" s="329"/>
      <c r="AV325" s="407"/>
    </row>
    <row r="326" spans="1:48">
      <c r="A326" s="318" t="s">
        <v>130</v>
      </c>
      <c r="B326" s="409" t="s">
        <v>218</v>
      </c>
      <c r="C326" s="409"/>
      <c r="D326" s="262" t="s">
        <v>885</v>
      </c>
      <c r="E326" s="262"/>
      <c r="F326" s="262" t="s">
        <v>886</v>
      </c>
      <c r="G326" s="262"/>
      <c r="H326" s="259" t="s">
        <v>204</v>
      </c>
      <c r="I326" s="277" t="s">
        <v>266</v>
      </c>
      <c r="J326" s="262" t="s">
        <v>137</v>
      </c>
      <c r="K326" s="262"/>
      <c r="L326" s="262"/>
      <c r="M326" s="262" t="s">
        <v>329</v>
      </c>
      <c r="N326" s="262" t="s">
        <v>433</v>
      </c>
      <c r="O326" s="722" t="s">
        <v>861</v>
      </c>
      <c r="P326" s="262" t="s">
        <v>665</v>
      </c>
      <c r="Q326" s="262" t="s">
        <v>143</v>
      </c>
      <c r="R326" s="262" t="s">
        <v>144</v>
      </c>
      <c r="S326" s="262"/>
      <c r="T326" s="410" t="s">
        <v>145</v>
      </c>
      <c r="U326" s="410"/>
      <c r="V326" s="261" t="s">
        <v>146</v>
      </c>
      <c r="W326" s="410"/>
      <c r="X326" s="410">
        <v>3</v>
      </c>
      <c r="Y326" s="410">
        <f>Tabla_query__2[[#This Row],[Número
Semanas]]*5*8</f>
        <v>120</v>
      </c>
      <c r="Z326" s="411">
        <f>Tabla_query__2[[#This Row],[TOTAL]]/Tabla_query__2[[#This Row],[Número de Horas]]/2</f>
        <v>16</v>
      </c>
      <c r="AA326" s="410">
        <v>1</v>
      </c>
      <c r="AB326" s="410">
        <v>400</v>
      </c>
      <c r="AC326" s="410">
        <v>2000</v>
      </c>
      <c r="AD326" s="411">
        <f>Tabla_query__2[[#This Row],[Número
Semanas]]*Tabla_query__2[[#This Row],[Número
Personas]]*Tabla_query__2[[#This Row],[Costo
Mano Obra/semana]] + 640+AC326</f>
        <v>3840</v>
      </c>
      <c r="AE326" s="410"/>
      <c r="AF326" s="410"/>
      <c r="AG326" s="410"/>
      <c r="AH326" s="412">
        <v>45404</v>
      </c>
      <c r="AI326" s="412">
        <v>45429</v>
      </c>
      <c r="AJ326" s="386" t="e">
        <f>#REF!</f>
        <v>#REF!</v>
      </c>
      <c r="AK326" s="412">
        <v>45433</v>
      </c>
      <c r="AL326" s="412">
        <v>45443</v>
      </c>
      <c r="AM326" s="386">
        <f t="shared" ref="AM326:AM334" si="16">AL326+ ((AK326*7))</f>
        <v>363474</v>
      </c>
      <c r="AN326" s="412"/>
      <c r="AO326" s="412">
        <v>45443</v>
      </c>
      <c r="AP326" s="700">
        <f>Tabla_query__2[[#This Row],[InicioDes]]</f>
        <v>45404</v>
      </c>
      <c r="AQ326" s="700">
        <f>Tabla_query__2[[#This Row],[FinDes2]]</f>
        <v>45443</v>
      </c>
      <c r="AR326" s="462">
        <f>Tabla_query__2[[#This Row],[Número
Semanas]]/4</f>
        <v>0.75</v>
      </c>
      <c r="AS326" s="413">
        <f>Tabla_query__2[[#This Row],[FinDes2]]-Tabla_query__2[[#This Row],[InicioDes2]]</f>
        <v>45443</v>
      </c>
      <c r="AT326" s="410"/>
      <c r="AU326" s="97"/>
      <c r="AV326" s="97"/>
    </row>
    <row r="327" spans="1:48">
      <c r="A327" s="318" t="s">
        <v>130</v>
      </c>
      <c r="B327" s="262" t="s">
        <v>218</v>
      </c>
      <c r="C327" s="262"/>
      <c r="D327" s="262" t="s">
        <v>887</v>
      </c>
      <c r="E327" s="262"/>
      <c r="F327" s="262"/>
      <c r="G327" s="262"/>
      <c r="H327" s="262" t="s">
        <v>204</v>
      </c>
      <c r="I327" s="262" t="s">
        <v>220</v>
      </c>
      <c r="J327" s="262" t="s">
        <v>137</v>
      </c>
      <c r="K327" s="262"/>
      <c r="L327" s="262"/>
      <c r="M327" s="262" t="s">
        <v>329</v>
      </c>
      <c r="N327" s="262" t="s">
        <v>433</v>
      </c>
      <c r="O327" s="722" t="s">
        <v>861</v>
      </c>
      <c r="P327" s="262" t="s">
        <v>665</v>
      </c>
      <c r="Q327" s="262" t="s">
        <v>143</v>
      </c>
      <c r="R327" s="262" t="s">
        <v>179</v>
      </c>
      <c r="S327" s="262"/>
      <c r="T327" s="261" t="s">
        <v>145</v>
      </c>
      <c r="U327" s="261"/>
      <c r="V327" s="261" t="s">
        <v>146</v>
      </c>
      <c r="W327" s="261"/>
      <c r="X327" s="261">
        <v>44</v>
      </c>
      <c r="Y327" s="261">
        <f>Tabla_query__2[[#This Row],[Número
Semanas]]*5*8</f>
        <v>1760</v>
      </c>
      <c r="Z327" s="268">
        <f>Tabla_query__2[[#This Row],[TOTAL]]/Tabla_query__2[[#This Row],[Número de Horas]]/2</f>
        <v>3.6193181818181817</v>
      </c>
      <c r="AA327" s="261">
        <v>1</v>
      </c>
      <c r="AB327" s="261">
        <v>275</v>
      </c>
      <c r="AC327" s="261"/>
      <c r="AD327" s="268">
        <f>Tabla_query__2[[#This Row],[Número
Semanas]]*Tabla_query__2[[#This Row],[Número
Personas]]*Tabla_query__2[[#This Row],[Costo
Mano Obra/semana]] + 640</f>
        <v>12740</v>
      </c>
      <c r="AE327" s="261"/>
      <c r="AF327" s="261"/>
      <c r="AG327" s="261"/>
      <c r="AH327" s="267">
        <v>45352</v>
      </c>
      <c r="AI327" s="267">
        <v>45688</v>
      </c>
      <c r="AJ327" s="282" t="e">
        <f>#REF!</f>
        <v>#REF!</v>
      </c>
      <c r="AK327" s="267">
        <v>45352</v>
      </c>
      <c r="AL327" s="267">
        <v>45688</v>
      </c>
      <c r="AM327" s="282">
        <f t="shared" si="16"/>
        <v>363152</v>
      </c>
      <c r="AN327" s="267"/>
      <c r="AO327" s="267">
        <v>45688</v>
      </c>
      <c r="AP327" s="384">
        <f>Tabla_query__2[[#This Row],[InicioDes]]</f>
        <v>45352</v>
      </c>
      <c r="AQ327" s="384">
        <f>Tabla_query__2[[#This Row],[FinDes2]]</f>
        <v>45688</v>
      </c>
      <c r="AR327" s="462">
        <f>Tabla_query__2[[#This Row],[Número
Semanas]]/4</f>
        <v>11</v>
      </c>
      <c r="AS327" s="269">
        <f>Tabla_query__2[[#This Row],[FinDes2]]-Tabla_query__2[[#This Row],[InicioDes2]]</f>
        <v>45688</v>
      </c>
      <c r="AT327" s="261"/>
    </row>
    <row r="328" spans="1:48">
      <c r="A328" s="318" t="s">
        <v>130</v>
      </c>
      <c r="B328" s="262" t="s">
        <v>134</v>
      </c>
      <c r="C328" s="262"/>
      <c r="D328" s="266" t="s">
        <v>888</v>
      </c>
      <c r="E328" s="262"/>
      <c r="F328" s="259" t="s">
        <v>864</v>
      </c>
      <c r="G328" s="259"/>
      <c r="H328" s="259" t="s">
        <v>204</v>
      </c>
      <c r="I328" s="277" t="s">
        <v>266</v>
      </c>
      <c r="J328" s="262" t="s">
        <v>137</v>
      </c>
      <c r="K328" s="262"/>
      <c r="L328" s="262"/>
      <c r="M328" s="262" t="s">
        <v>329</v>
      </c>
      <c r="N328" s="262" t="s">
        <v>433</v>
      </c>
      <c r="O328" s="722" t="s">
        <v>861</v>
      </c>
      <c r="P328" s="262" t="s">
        <v>665</v>
      </c>
      <c r="Q328" s="262" t="s">
        <v>143</v>
      </c>
      <c r="R328" s="262" t="s">
        <v>179</v>
      </c>
      <c r="S328" s="261"/>
      <c r="T328" s="261" t="s">
        <v>152</v>
      </c>
      <c r="U328" s="328" t="s">
        <v>865</v>
      </c>
      <c r="V328" s="261" t="s">
        <v>136</v>
      </c>
      <c r="W328" s="261">
        <v>1</v>
      </c>
      <c r="X328" s="261">
        <v>1</v>
      </c>
      <c r="Y328" s="261">
        <f>Tabla_query__2[[#This Row],[Número
Semanas]]*5*8</f>
        <v>40</v>
      </c>
      <c r="Z328" s="268">
        <f>Tabla_query__2[[#This Row],[TOTAL]]/Tabla_query__2[[#This Row],[Número de Horas]]/2</f>
        <v>15.625</v>
      </c>
      <c r="AA328" s="261">
        <v>2</v>
      </c>
      <c r="AB328" s="261">
        <v>625</v>
      </c>
      <c r="AC328" s="261"/>
      <c r="AD328" s="388">
        <f>Tabla_query__2[[#This Row],[Número
Semanas]]*Tabla_query__2[[#This Row],[Número
Personas]]*Tabla_query__2[[#This Row],[Costo
Mano Obra/semana]]</f>
        <v>1250</v>
      </c>
      <c r="AE328" s="261"/>
      <c r="AF328" s="261"/>
      <c r="AG328" s="261"/>
      <c r="AH328" s="267">
        <v>45369</v>
      </c>
      <c r="AI328" s="267">
        <v>45373</v>
      </c>
      <c r="AJ328" s="282" t="e">
        <f>#REF!</f>
        <v>#REF!</v>
      </c>
      <c r="AK328" s="267">
        <v>45376</v>
      </c>
      <c r="AL328" s="267">
        <v>45380</v>
      </c>
      <c r="AM328" s="282">
        <f t="shared" si="16"/>
        <v>363012</v>
      </c>
      <c r="AN328" s="267">
        <v>45383</v>
      </c>
      <c r="AO328" s="267">
        <v>45387</v>
      </c>
      <c r="AP328" s="384">
        <f>Tabla_query__2[[#This Row],[InicioDes]]</f>
        <v>45369</v>
      </c>
      <c r="AQ328" s="384">
        <f>Tabla_query__2[[#This Row],[FinDes2]]</f>
        <v>45387</v>
      </c>
      <c r="AR328" s="462">
        <f>Tabla_query__2[[#This Row],[Número
Semanas]]/4</f>
        <v>0.25</v>
      </c>
      <c r="AS328" s="269">
        <f>Tabla_query__2[[#This Row],[FinDes2]]-Tabla_query__2[[#This Row],[InicioDes2]]</f>
        <v>4</v>
      </c>
      <c r="AT328" s="261"/>
      <c r="AV328" s="449"/>
    </row>
    <row r="329" spans="1:48">
      <c r="A329" s="318" t="s">
        <v>130</v>
      </c>
      <c r="B329" s="409" t="s">
        <v>218</v>
      </c>
      <c r="C329" s="409"/>
      <c r="D329" s="262" t="s">
        <v>889</v>
      </c>
      <c r="E329" s="262"/>
      <c r="F329" s="262" t="s">
        <v>867</v>
      </c>
      <c r="G329" s="262"/>
      <c r="H329" s="262" t="s">
        <v>204</v>
      </c>
      <c r="I329" s="262" t="s">
        <v>220</v>
      </c>
      <c r="J329" s="262" t="s">
        <v>137</v>
      </c>
      <c r="K329" s="262"/>
      <c r="L329" s="262"/>
      <c r="M329" s="262" t="s">
        <v>329</v>
      </c>
      <c r="N329" s="262" t="s">
        <v>433</v>
      </c>
      <c r="O329" s="722" t="s">
        <v>861</v>
      </c>
      <c r="P329" s="262" t="s">
        <v>665</v>
      </c>
      <c r="Q329" s="262" t="s">
        <v>143</v>
      </c>
      <c r="R329" s="262" t="s">
        <v>144</v>
      </c>
      <c r="S329" s="262"/>
      <c r="T329" s="410" t="s">
        <v>221</v>
      </c>
      <c r="U329" s="410"/>
      <c r="V329" s="261" t="s">
        <v>146</v>
      </c>
      <c r="W329" s="410"/>
      <c r="X329" s="410">
        <v>2</v>
      </c>
      <c r="Y329" s="410">
        <f>Tabla_query__2[[#This Row],[Número
Semanas]]*5*8</f>
        <v>80</v>
      </c>
      <c r="Z329" s="411">
        <f>Tabla_query__2[[#This Row],[TOTAL]]/Tabla_query__2[[#This Row],[Número de Horas]]/2</f>
        <v>0</v>
      </c>
      <c r="AA329" s="410">
        <v>2</v>
      </c>
      <c r="AB329" s="410">
        <v>400</v>
      </c>
      <c r="AC329" s="410"/>
      <c r="AD329" s="411"/>
      <c r="AE329" s="410"/>
      <c r="AF329" s="410"/>
      <c r="AG329" s="410"/>
      <c r="AH329" s="412">
        <v>45460</v>
      </c>
      <c r="AI329" s="412">
        <v>45471</v>
      </c>
      <c r="AJ329" s="386" t="e">
        <f>#REF!</f>
        <v>#REF!</v>
      </c>
      <c r="AK329" s="412">
        <v>45475</v>
      </c>
      <c r="AL329" s="412">
        <v>45482</v>
      </c>
      <c r="AM329" s="386">
        <f t="shared" si="16"/>
        <v>363807</v>
      </c>
      <c r="AN329" s="412"/>
      <c r="AO329" s="412">
        <v>45482</v>
      </c>
      <c r="AP329" s="384">
        <f>Tabla_query__2[[#This Row],[InicioDes]]</f>
        <v>45460</v>
      </c>
      <c r="AQ329" s="384">
        <f>Tabla_query__2[[#This Row],[FinDes2]]</f>
        <v>45482</v>
      </c>
      <c r="AR329" s="462">
        <f>Tabla_query__2[[#This Row],[Número
Semanas]]/4</f>
        <v>0.5</v>
      </c>
      <c r="AS329" s="413">
        <f>Tabla_query__2[[#This Row],[FinDes2]]-Tabla_query__2[[#This Row],[InicioDes2]]</f>
        <v>45482</v>
      </c>
      <c r="AT329" s="410"/>
      <c r="AU329" s="97"/>
      <c r="AV329" s="97"/>
    </row>
    <row r="330" spans="1:48" ht="23.25">
      <c r="A330" s="318" t="s">
        <v>130</v>
      </c>
      <c r="B330" s="262" t="s">
        <v>134</v>
      </c>
      <c r="C330" s="262"/>
      <c r="D330" s="266" t="s">
        <v>890</v>
      </c>
      <c r="E330" s="262"/>
      <c r="F330" s="259" t="s">
        <v>891</v>
      </c>
      <c r="G330" s="259"/>
      <c r="H330" s="259" t="s">
        <v>781</v>
      </c>
      <c r="I330" s="277" t="s">
        <v>266</v>
      </c>
      <c r="J330" s="262" t="s">
        <v>137</v>
      </c>
      <c r="K330" s="262"/>
      <c r="L330" s="262"/>
      <c r="M330" s="262" t="s">
        <v>329</v>
      </c>
      <c r="N330" s="262" t="s">
        <v>433</v>
      </c>
      <c r="O330" s="722" t="s">
        <v>861</v>
      </c>
      <c r="P330" s="262" t="s">
        <v>665</v>
      </c>
      <c r="Q330" s="262" t="s">
        <v>143</v>
      </c>
      <c r="R330" s="262" t="s">
        <v>179</v>
      </c>
      <c r="S330" s="261"/>
      <c r="T330" s="261" t="s">
        <v>145</v>
      </c>
      <c r="U330" s="328" t="s">
        <v>892</v>
      </c>
      <c r="V330" s="261" t="s">
        <v>136</v>
      </c>
      <c r="W330" s="261">
        <v>1</v>
      </c>
      <c r="X330" s="381">
        <v>1</v>
      </c>
      <c r="Y330" s="381">
        <f>Tabla_query__2[[#This Row],[Número
Semanas]]*5*8</f>
        <v>40</v>
      </c>
      <c r="Z330" s="646">
        <f>Tabla_query__2[[#This Row],[TOTAL]]/Tabla_query__2[[#This Row],[Número de Horas]]/2</f>
        <v>93.75</v>
      </c>
      <c r="AA330" s="402">
        <v>12</v>
      </c>
      <c r="AB330" s="261">
        <v>625</v>
      </c>
      <c r="AC330" s="261"/>
      <c r="AD330" s="388">
        <f>Tabla_query__2[[#This Row],[Número
Semanas]]*Tabla_query__2[[#This Row],[Número
Personas]]*Tabla_query__2[[#This Row],[Costo
Mano Obra/semana]]</f>
        <v>7500</v>
      </c>
      <c r="AE330" s="261"/>
      <c r="AF330" s="261"/>
      <c r="AG330" s="261"/>
      <c r="AH330" s="384">
        <v>45383</v>
      </c>
      <c r="AI330" s="448">
        <v>45443</v>
      </c>
      <c r="AJ330" s="282" t="e">
        <f>#REF!</f>
        <v>#REF!</v>
      </c>
      <c r="AK330" s="448">
        <v>45446</v>
      </c>
      <c r="AL330" s="448">
        <v>45450</v>
      </c>
      <c r="AM330" s="282">
        <f t="shared" si="16"/>
        <v>363572</v>
      </c>
      <c r="AN330" s="448">
        <v>45453</v>
      </c>
      <c r="AO330" s="448">
        <v>45464</v>
      </c>
      <c r="AP330" s="384">
        <f>Tabla_query__2[[#This Row],[InicioDes]]</f>
        <v>45383</v>
      </c>
      <c r="AQ330" s="384">
        <f>Tabla_query__2[[#This Row],[FinDes2]]</f>
        <v>45464</v>
      </c>
      <c r="AR330" s="462">
        <f>Tabla_query__2[[#This Row],[Número
Semanas]]/4</f>
        <v>0.25</v>
      </c>
      <c r="AS330" s="269">
        <f>Tabla_query__2[[#This Row],[FinDes2]]-Tabla_query__2[[#This Row],[InicioDes2]]</f>
        <v>11</v>
      </c>
      <c r="AT330" s="261"/>
    </row>
    <row r="331" spans="1:48">
      <c r="A331" s="318" t="s">
        <v>130</v>
      </c>
      <c r="B331" s="262" t="s">
        <v>457</v>
      </c>
      <c r="C331" s="262"/>
      <c r="D331" s="415" t="s">
        <v>893</v>
      </c>
      <c r="E331" s="499"/>
      <c r="F331" s="259" t="s">
        <v>894</v>
      </c>
      <c r="G331" s="259"/>
      <c r="H331" s="259" t="s">
        <v>204</v>
      </c>
      <c r="I331" s="277" t="s">
        <v>266</v>
      </c>
      <c r="J331" s="262" t="s">
        <v>137</v>
      </c>
      <c r="K331" s="262"/>
      <c r="L331" s="262"/>
      <c r="M331" s="262" t="s">
        <v>329</v>
      </c>
      <c r="N331" s="262" t="s">
        <v>433</v>
      </c>
      <c r="O331" s="722" t="s">
        <v>861</v>
      </c>
      <c r="P331" s="262" t="s">
        <v>665</v>
      </c>
      <c r="Q331" s="262" t="s">
        <v>143</v>
      </c>
      <c r="R331" s="262" t="s">
        <v>144</v>
      </c>
      <c r="S331" s="261" t="s">
        <v>320</v>
      </c>
      <c r="T331" s="261" t="s">
        <v>320</v>
      </c>
      <c r="U331" s="261" t="s">
        <v>895</v>
      </c>
      <c r="V331" s="261" t="s">
        <v>136</v>
      </c>
      <c r="W331" s="261"/>
      <c r="X331" s="261">
        <v>8</v>
      </c>
      <c r="Y331" s="261">
        <f>Tabla_query__2[[#This Row],[Número
Semanas]]*5*8</f>
        <v>320</v>
      </c>
      <c r="Z331" s="268">
        <f>Tabla_query__2[[#This Row],[TOTAL]]/Tabla_query__2[[#This Row],[Número de Horas]]/2</f>
        <v>13.75</v>
      </c>
      <c r="AA331" s="261">
        <v>2</v>
      </c>
      <c r="AB331" s="261">
        <v>550</v>
      </c>
      <c r="AC331" s="261"/>
      <c r="AD331" s="268">
        <f>Tabla_query__2[[#This Row],[Número
Semanas]]*Tabla_query__2[[#This Row],[Número
Personas]]*Tabla_query__2[[#This Row],[Costo
Mano Obra/semana]]</f>
        <v>8800</v>
      </c>
      <c r="AE331" s="261">
        <v>364</v>
      </c>
      <c r="AF331" s="261"/>
      <c r="AG331" s="261"/>
      <c r="AH331" s="267">
        <v>45432</v>
      </c>
      <c r="AI331" s="267">
        <v>45439</v>
      </c>
      <c r="AJ331" s="282" t="e">
        <f>#REF!</f>
        <v>#REF!</v>
      </c>
      <c r="AK331" s="267">
        <v>45597</v>
      </c>
      <c r="AL331" s="267">
        <v>45626</v>
      </c>
      <c r="AM331" s="282">
        <f t="shared" si="16"/>
        <v>364805</v>
      </c>
      <c r="AN331" s="267">
        <v>45626</v>
      </c>
      <c r="AO331" s="267">
        <v>45641</v>
      </c>
      <c r="AP331" s="384">
        <f>Tabla_query__2[[#This Row],[InicioDes]]</f>
        <v>45432</v>
      </c>
      <c r="AQ331" s="384">
        <f>Tabla_query__2[[#This Row],[FinDes2]]</f>
        <v>45641</v>
      </c>
      <c r="AR331" s="462">
        <f>Tabla_query__2[[#This Row],[Número
Semanas]]/4</f>
        <v>2</v>
      </c>
      <c r="AS331" s="269">
        <f>Tabla_query__2[[#This Row],[FinDes2]]-Tabla_query__2[[#This Row],[InicioDes2]]</f>
        <v>15</v>
      </c>
      <c r="AT331" s="261"/>
      <c r="AV331" s="293"/>
    </row>
    <row r="332" spans="1:48" ht="23.25">
      <c r="A332" s="318" t="s">
        <v>130</v>
      </c>
      <c r="B332" s="262" t="s">
        <v>134</v>
      </c>
      <c r="C332" s="262"/>
      <c r="D332" s="266" t="s">
        <v>896</v>
      </c>
      <c r="E332" s="262"/>
      <c r="F332" s="259" t="s">
        <v>438</v>
      </c>
      <c r="G332" s="259"/>
      <c r="H332" s="259" t="s">
        <v>204</v>
      </c>
      <c r="I332" s="277" t="s">
        <v>266</v>
      </c>
      <c r="J332" s="262" t="s">
        <v>137</v>
      </c>
      <c r="K332" s="262"/>
      <c r="L332" s="262"/>
      <c r="M332" s="262" t="s">
        <v>329</v>
      </c>
      <c r="N332" s="262" t="s">
        <v>433</v>
      </c>
      <c r="O332" s="722" t="s">
        <v>861</v>
      </c>
      <c r="P332" s="262" t="s">
        <v>665</v>
      </c>
      <c r="Q332" s="262" t="s">
        <v>143</v>
      </c>
      <c r="R332" s="262" t="s">
        <v>179</v>
      </c>
      <c r="S332" s="261"/>
      <c r="T332" s="261" t="s">
        <v>152</v>
      </c>
      <c r="U332" s="261" t="s">
        <v>897</v>
      </c>
      <c r="V332" s="261" t="s">
        <v>146</v>
      </c>
      <c r="W332" s="261">
        <v>1</v>
      </c>
      <c r="X332" s="261">
        <v>3</v>
      </c>
      <c r="Y332" s="261">
        <f>Tabla_query__2[[#This Row],[Número
Semanas]]*5*8</f>
        <v>120</v>
      </c>
      <c r="Z332" s="268">
        <f>Tabla_query__2[[#This Row],[TOTAL]]/Tabla_query__2[[#This Row],[Número de Horas]]/2</f>
        <v>7.8125</v>
      </c>
      <c r="AA332" s="261">
        <v>1</v>
      </c>
      <c r="AB332" s="261">
        <v>625</v>
      </c>
      <c r="AC332" s="261"/>
      <c r="AD332" s="388">
        <f>Tabla_query__2[[#This Row],[Número
Semanas]]*Tabla_query__2[[#This Row],[Número
Personas]]*Tabla_query__2[[#This Row],[Costo
Mano Obra/semana]]</f>
        <v>1875</v>
      </c>
      <c r="AE332" s="261"/>
      <c r="AF332" s="261"/>
      <c r="AG332" s="261"/>
      <c r="AH332" s="267">
        <v>45355</v>
      </c>
      <c r="AI332" s="267">
        <v>45366</v>
      </c>
      <c r="AJ332" s="282" t="e">
        <f>#REF!</f>
        <v>#REF!</v>
      </c>
      <c r="AK332" s="267">
        <v>45369</v>
      </c>
      <c r="AL332" s="267">
        <v>45373</v>
      </c>
      <c r="AM332" s="282">
        <f t="shared" si="16"/>
        <v>362956</v>
      </c>
      <c r="AN332" s="267">
        <v>45376</v>
      </c>
      <c r="AO332" s="267">
        <v>45380</v>
      </c>
      <c r="AP332" s="384">
        <f>Tabla_query__2[[#This Row],[InicioDes]]</f>
        <v>45355</v>
      </c>
      <c r="AQ332" s="384">
        <f>Tabla_query__2[[#This Row],[FinDes2]]</f>
        <v>45380</v>
      </c>
      <c r="AR332" s="462">
        <f>Tabla_query__2[[#This Row],[Número
Semanas]]/4</f>
        <v>0.75</v>
      </c>
      <c r="AS332" s="269">
        <f>Tabla_query__2[[#This Row],[FinDes2]]-Tabla_query__2[[#This Row],[InicioDes2]]</f>
        <v>4</v>
      </c>
      <c r="AT332" s="261"/>
    </row>
    <row r="333" spans="1:48">
      <c r="A333" s="318" t="s">
        <v>130</v>
      </c>
      <c r="B333" s="262" t="s">
        <v>457</v>
      </c>
      <c r="C333" s="262"/>
      <c r="D333" s="270" t="s">
        <v>898</v>
      </c>
      <c r="E333" s="500"/>
      <c r="F333" s="259" t="s">
        <v>867</v>
      </c>
      <c r="G333" s="259"/>
      <c r="H333" s="259" t="s">
        <v>204</v>
      </c>
      <c r="I333" s="277" t="s">
        <v>266</v>
      </c>
      <c r="J333" s="262" t="s">
        <v>137</v>
      </c>
      <c r="K333" s="262"/>
      <c r="L333" s="262"/>
      <c r="M333" s="262" t="s">
        <v>329</v>
      </c>
      <c r="N333" s="262" t="s">
        <v>433</v>
      </c>
      <c r="O333" s="722" t="s">
        <v>861</v>
      </c>
      <c r="P333" s="262" t="s">
        <v>665</v>
      </c>
      <c r="Q333" s="262" t="s">
        <v>143</v>
      </c>
      <c r="R333" s="262" t="s">
        <v>179</v>
      </c>
      <c r="S333" s="261" t="s">
        <v>152</v>
      </c>
      <c r="T333" s="261" t="s">
        <v>152</v>
      </c>
      <c r="U333" s="261" t="s">
        <v>678</v>
      </c>
      <c r="V333" s="261" t="s">
        <v>210</v>
      </c>
      <c r="W333" s="261"/>
      <c r="X333" s="261">
        <v>10</v>
      </c>
      <c r="Y333" s="261">
        <f>Tabla_query__2[[#This Row],[Número
Semanas]]*5*8</f>
        <v>400</v>
      </c>
      <c r="Z333" s="268">
        <f>Tabla_query__2[[#This Row],[TOTAL]]/Tabla_query__2[[#This Row],[Número de Horas]]/2</f>
        <v>6.875</v>
      </c>
      <c r="AA333" s="261">
        <v>1</v>
      </c>
      <c r="AB333" s="261">
        <f>2200/4</f>
        <v>550</v>
      </c>
      <c r="AC333" s="261"/>
      <c r="AD333" s="268">
        <f>Tabla_query__2[[#This Row],[Número
Semanas]]*Tabla_query__2[[#This Row],[Número
Personas]]*Tabla_query__2[[#This Row],[Costo
Mano Obra/semana]]</f>
        <v>5500</v>
      </c>
      <c r="AE333" s="261"/>
      <c r="AF333" s="261"/>
      <c r="AG333" s="261"/>
      <c r="AH333" s="267">
        <v>45305</v>
      </c>
      <c r="AI333" s="267">
        <v>45365</v>
      </c>
      <c r="AJ333" s="282" t="e">
        <f>#REF!</f>
        <v>#REF!</v>
      </c>
      <c r="AK333" s="267">
        <v>45365</v>
      </c>
      <c r="AL333" s="267">
        <v>45379</v>
      </c>
      <c r="AM333" s="282">
        <f t="shared" si="16"/>
        <v>362934</v>
      </c>
      <c r="AN333" s="267">
        <v>45379</v>
      </c>
      <c r="AO333" s="267">
        <v>45389</v>
      </c>
      <c r="AP333" s="384">
        <f>Tabla_query__2[[#This Row],[InicioDes]]</f>
        <v>45305</v>
      </c>
      <c r="AQ333" s="384">
        <f>Tabla_query__2[[#This Row],[FinDes2]]</f>
        <v>45389</v>
      </c>
      <c r="AR333" s="462">
        <f>Tabla_query__2[[#This Row],[Número
Semanas]]/4</f>
        <v>2.5</v>
      </c>
      <c r="AS333" s="269">
        <f>Tabla_query__2[[#This Row],[FinDes2]]-Tabla_query__2[[#This Row],[InicioDes2]]</f>
        <v>10</v>
      </c>
      <c r="AT333" s="261"/>
    </row>
    <row r="334" spans="1:48">
      <c r="A334" s="318" t="s">
        <v>130</v>
      </c>
      <c r="B334" s="262" t="s">
        <v>457</v>
      </c>
      <c r="C334" s="262"/>
      <c r="D334" s="266" t="s">
        <v>899</v>
      </c>
      <c r="E334" s="262"/>
      <c r="F334" s="259" t="s">
        <v>900</v>
      </c>
      <c r="G334" s="259"/>
      <c r="H334" s="259" t="s">
        <v>204</v>
      </c>
      <c r="I334" s="277" t="s">
        <v>266</v>
      </c>
      <c r="J334" s="262" t="s">
        <v>137</v>
      </c>
      <c r="K334" s="262"/>
      <c r="L334" s="262"/>
      <c r="M334" s="262" t="s">
        <v>329</v>
      </c>
      <c r="N334" s="262" t="s">
        <v>433</v>
      </c>
      <c r="O334" s="722" t="s">
        <v>861</v>
      </c>
      <c r="P334" s="262" t="s">
        <v>665</v>
      </c>
      <c r="Q334" s="262" t="s">
        <v>143</v>
      </c>
      <c r="R334" s="262" t="s">
        <v>144</v>
      </c>
      <c r="S334" s="261" t="s">
        <v>145</v>
      </c>
      <c r="T334" s="261" t="s">
        <v>145</v>
      </c>
      <c r="U334" s="261" t="s">
        <v>678</v>
      </c>
      <c r="V334" s="261" t="s">
        <v>146</v>
      </c>
      <c r="W334" s="261"/>
      <c r="X334" s="261">
        <v>12</v>
      </c>
      <c r="Y334" s="261">
        <f>Tabla_query__2[[#This Row],[Número
Semanas]]*5*8</f>
        <v>480</v>
      </c>
      <c r="Z334" s="268">
        <f>Tabla_query__2[[#This Row],[TOTAL]]/Tabla_query__2[[#This Row],[Número de Horas]]/2</f>
        <v>7.541666666666667</v>
      </c>
      <c r="AA334" s="261">
        <v>1</v>
      </c>
      <c r="AB334" s="261">
        <v>550</v>
      </c>
      <c r="AC334" s="261"/>
      <c r="AD334" s="268">
        <f>Tabla_query__2[[#This Row],[Número
Semanas]]*Tabla_query__2[[#This Row],[Número
Personas]]*Tabla_query__2[[#This Row],[Costo
Mano Obra/semana]] + 640</f>
        <v>7240</v>
      </c>
      <c r="AE334" s="261"/>
      <c r="AF334" s="261"/>
      <c r="AG334" s="261"/>
      <c r="AH334" s="267">
        <v>45474</v>
      </c>
      <c r="AI334" s="267">
        <v>45535</v>
      </c>
      <c r="AJ334" s="282" t="e">
        <f>#REF!</f>
        <v>#REF!</v>
      </c>
      <c r="AK334" s="267">
        <v>45535</v>
      </c>
      <c r="AL334" s="267">
        <v>45542</v>
      </c>
      <c r="AM334" s="282">
        <f t="shared" si="16"/>
        <v>364287</v>
      </c>
      <c r="AN334" s="267">
        <v>45542</v>
      </c>
      <c r="AO334" s="267">
        <v>45549</v>
      </c>
      <c r="AP334" s="384">
        <f>Tabla_query__2[[#This Row],[InicioDes]]</f>
        <v>45474</v>
      </c>
      <c r="AQ334" s="384">
        <f>Tabla_query__2[[#This Row],[FinDes2]]</f>
        <v>45549</v>
      </c>
      <c r="AR334" s="462">
        <f>Tabla_query__2[[#This Row],[Número
Semanas]]/4</f>
        <v>3</v>
      </c>
      <c r="AS334" s="269">
        <f>Tabla_query__2[[#This Row],[FinDes2]]-Tabla_query__2[[#This Row],[InicioDes2]]</f>
        <v>7</v>
      </c>
      <c r="AT334" s="261"/>
    </row>
    <row r="335" spans="1:48" ht="46.5">
      <c r="A335" s="318" t="s">
        <v>130</v>
      </c>
      <c r="B335" s="262" t="s">
        <v>457</v>
      </c>
      <c r="C335" s="262"/>
      <c r="D335" s="266" t="s">
        <v>901</v>
      </c>
      <c r="E335" s="262"/>
      <c r="F335" s="259" t="s">
        <v>902</v>
      </c>
      <c r="G335" s="259"/>
      <c r="H335" s="259" t="s">
        <v>204</v>
      </c>
      <c r="I335" s="277" t="s">
        <v>266</v>
      </c>
      <c r="J335" s="262" t="s">
        <v>137</v>
      </c>
      <c r="K335" s="262"/>
      <c r="L335" s="262"/>
      <c r="M335" s="262" t="s">
        <v>329</v>
      </c>
      <c r="N335" s="262" t="s">
        <v>433</v>
      </c>
      <c r="O335" s="722" t="s">
        <v>861</v>
      </c>
      <c r="P335" s="262" t="s">
        <v>665</v>
      </c>
      <c r="Q335" s="262" t="s">
        <v>143</v>
      </c>
      <c r="R335" s="262" t="s">
        <v>144</v>
      </c>
      <c r="S335" s="261" t="s">
        <v>320</v>
      </c>
      <c r="T335" s="261" t="s">
        <v>221</v>
      </c>
      <c r="U335" s="261" t="s">
        <v>903</v>
      </c>
      <c r="V335" s="261" t="s">
        <v>146</v>
      </c>
      <c r="W335" s="261"/>
      <c r="X335" s="261">
        <v>12</v>
      </c>
      <c r="Y335" s="261">
        <f>Tabla_query__2[[#This Row],[Número
Semanas]]*5*8</f>
        <v>480</v>
      </c>
      <c r="Z335" s="268">
        <f>Tabla_query__2[[#This Row],[TOTAL]]/Tabla_query__2[[#This Row],[Número de Horas]]/2</f>
        <v>7.541666666666667</v>
      </c>
      <c r="AA335" s="261">
        <v>1</v>
      </c>
      <c r="AB335" s="261">
        <v>550</v>
      </c>
      <c r="AC335" s="261"/>
      <c r="AD335" s="268">
        <f>Tabla_query__2[[#This Row],[Número
Semanas]]*Tabla_query__2[[#This Row],[Número
Personas]]*Tabla_query__2[[#This Row],[Costo
Mano Obra/semana]] + 640</f>
        <v>7240</v>
      </c>
      <c r="AE335" s="261"/>
      <c r="AF335" s="261"/>
      <c r="AG335" s="261"/>
      <c r="AH335" s="267">
        <v>45505</v>
      </c>
      <c r="AI335" s="267">
        <v>45579</v>
      </c>
      <c r="AJ335" s="267">
        <v>45579</v>
      </c>
      <c r="AK335" s="267">
        <v>45586</v>
      </c>
      <c r="AL335" s="267">
        <v>45586</v>
      </c>
      <c r="AM335" s="267">
        <v>45597</v>
      </c>
      <c r="AN335" s="267">
        <v>45586</v>
      </c>
      <c r="AO335" s="267">
        <v>45597</v>
      </c>
      <c r="AP335" s="384">
        <f>Tabla_query__2[[#This Row],[InicioDes]]</f>
        <v>45505</v>
      </c>
      <c r="AQ335" s="384">
        <f>Tabla_query__2[[#This Row],[FinDes2]]</f>
        <v>45597</v>
      </c>
      <c r="AR335" s="462">
        <f>Tabla_query__2[[#This Row],[Número
Semanas]]/4</f>
        <v>3</v>
      </c>
      <c r="AS335" s="269">
        <f>Tabla_query__2[[#This Row],[FinDes2]]-Tabla_query__2[[#This Row],[InicioDes2]]</f>
        <v>11</v>
      </c>
      <c r="AT335" s="261"/>
    </row>
    <row r="336" spans="1:48" s="329" customFormat="1" ht="23.25">
      <c r="A336" s="318" t="s">
        <v>130</v>
      </c>
      <c r="B336" s="262" t="s">
        <v>457</v>
      </c>
      <c r="C336" s="262"/>
      <c r="D336" s="266" t="s">
        <v>904</v>
      </c>
      <c r="E336" s="262"/>
      <c r="F336" s="259" t="s">
        <v>905</v>
      </c>
      <c r="G336" s="259"/>
      <c r="H336" s="259" t="s">
        <v>204</v>
      </c>
      <c r="I336" s="277" t="s">
        <v>266</v>
      </c>
      <c r="J336" s="262" t="s">
        <v>137</v>
      </c>
      <c r="K336" s="262"/>
      <c r="L336" s="262"/>
      <c r="M336" s="262" t="s">
        <v>329</v>
      </c>
      <c r="N336" s="262" t="s">
        <v>433</v>
      </c>
      <c r="O336" s="722" t="s">
        <v>861</v>
      </c>
      <c r="P336" s="262" t="s">
        <v>665</v>
      </c>
      <c r="Q336" s="262" t="s">
        <v>143</v>
      </c>
      <c r="R336" s="262" t="s">
        <v>144</v>
      </c>
      <c r="S336" s="261" t="s">
        <v>221</v>
      </c>
      <c r="T336" s="261" t="s">
        <v>221</v>
      </c>
      <c r="U336" s="261" t="s">
        <v>903</v>
      </c>
      <c r="V336" s="261" t="s">
        <v>136</v>
      </c>
      <c r="W336" s="261"/>
      <c r="X336" s="261">
        <v>12</v>
      </c>
      <c r="Y336" s="261">
        <f>Tabla_query__2[[#This Row],[Número
Semanas]]*5*8</f>
        <v>480</v>
      </c>
      <c r="Z336" s="268">
        <f>Tabla_query__2[[#This Row],[TOTAL]]/Tabla_query__2[[#This Row],[Número de Horas]]/2</f>
        <v>7.541666666666667</v>
      </c>
      <c r="AA336" s="261">
        <v>1</v>
      </c>
      <c r="AB336" s="261">
        <v>550</v>
      </c>
      <c r="AC336" s="261"/>
      <c r="AD336" s="268">
        <f>Tabla_query__2[[#This Row],[Número
Semanas]]*Tabla_query__2[[#This Row],[Número
Personas]]*Tabla_query__2[[#This Row],[Costo
Mano Obra/semana]] + 640</f>
        <v>7240</v>
      </c>
      <c r="AE336" s="261"/>
      <c r="AF336" s="261"/>
      <c r="AG336" s="261"/>
      <c r="AH336" s="267">
        <v>45505</v>
      </c>
      <c r="AI336" s="267">
        <v>45579</v>
      </c>
      <c r="AJ336" s="282" t="e">
        <f>#REF!</f>
        <v>#REF!</v>
      </c>
      <c r="AK336" s="267">
        <v>45579</v>
      </c>
      <c r="AL336" s="267">
        <v>45586</v>
      </c>
      <c r="AM336" s="282">
        <f t="shared" ref="AM336:AM343" si="17">AL336+ ((AK336*7))</f>
        <v>364639</v>
      </c>
      <c r="AN336" s="267">
        <v>45586</v>
      </c>
      <c r="AO336" s="267">
        <v>45597</v>
      </c>
      <c r="AP336" s="384">
        <f>Tabla_query__2[[#This Row],[InicioDes]]</f>
        <v>45505</v>
      </c>
      <c r="AQ336" s="384">
        <f>Tabla_query__2[[#This Row],[FinDes2]]</f>
        <v>45597</v>
      </c>
      <c r="AR336" s="462">
        <f>Tabla_query__2[[#This Row],[Número
Semanas]]/4</f>
        <v>3</v>
      </c>
      <c r="AS336" s="269">
        <f>Tabla_query__2[[#This Row],[FinDes2]]-Tabla_query__2[[#This Row],[InicioDes2]]</f>
        <v>11</v>
      </c>
      <c r="AT336" s="261"/>
      <c r="AU336"/>
      <c r="AV336"/>
    </row>
    <row r="337" spans="1:48" s="329" customFormat="1" ht="81.400000000000006">
      <c r="A337" s="318" t="s">
        <v>130</v>
      </c>
      <c r="B337" s="262" t="s">
        <v>134</v>
      </c>
      <c r="C337" s="262"/>
      <c r="D337" s="266" t="s">
        <v>906</v>
      </c>
      <c r="E337" s="262"/>
      <c r="F337" s="259" t="s">
        <v>907</v>
      </c>
      <c r="G337" s="259"/>
      <c r="H337" s="259" t="s">
        <v>204</v>
      </c>
      <c r="I337" s="262" t="s">
        <v>138</v>
      </c>
      <c r="J337" s="262" t="s">
        <v>137</v>
      </c>
      <c r="K337" s="262"/>
      <c r="L337" s="262"/>
      <c r="M337" s="262" t="s">
        <v>329</v>
      </c>
      <c r="N337" s="262" t="s">
        <v>433</v>
      </c>
      <c r="O337" s="722" t="s">
        <v>861</v>
      </c>
      <c r="P337" s="262" t="s">
        <v>665</v>
      </c>
      <c r="Q337" s="262" t="s">
        <v>143</v>
      </c>
      <c r="R337" s="262" t="s">
        <v>144</v>
      </c>
      <c r="S337" s="261"/>
      <c r="T337" s="261" t="s">
        <v>221</v>
      </c>
      <c r="U337" s="401" t="s">
        <v>908</v>
      </c>
      <c r="V337" s="261" t="s">
        <v>146</v>
      </c>
      <c r="W337" s="261">
        <v>1</v>
      </c>
      <c r="X337" s="261">
        <v>3</v>
      </c>
      <c r="Y337" s="261">
        <f>Tabla_query__2[[#This Row],[Número
Semanas]]*5*8</f>
        <v>120</v>
      </c>
      <c r="Z337" s="268">
        <f>Tabla_query__2[[#This Row],[TOTAL]]/Tabla_query__2[[#This Row],[Número de Horas]]/2</f>
        <v>7.8125</v>
      </c>
      <c r="AA337" s="261">
        <v>1</v>
      </c>
      <c r="AB337" s="261">
        <v>625</v>
      </c>
      <c r="AC337" s="261"/>
      <c r="AD337" s="388">
        <f>Tabla_query__2[[#This Row],[Número
Semanas]]*Tabla_query__2[[#This Row],[Número
Personas]]*Tabla_query__2[[#This Row],[Costo
Mano Obra/semana]]</f>
        <v>1875</v>
      </c>
      <c r="AE337" s="261"/>
      <c r="AF337" s="261"/>
      <c r="AG337" s="261"/>
      <c r="AH337" s="267">
        <v>45474</v>
      </c>
      <c r="AI337" s="267">
        <v>45485</v>
      </c>
      <c r="AJ337" s="282" t="e">
        <f>#REF!</f>
        <v>#REF!</v>
      </c>
      <c r="AK337" s="267">
        <v>45488</v>
      </c>
      <c r="AL337" s="267">
        <v>45492</v>
      </c>
      <c r="AM337" s="282">
        <f t="shared" si="17"/>
        <v>363908</v>
      </c>
      <c r="AN337" s="267">
        <v>45495</v>
      </c>
      <c r="AO337" s="267">
        <v>45499</v>
      </c>
      <c r="AP337" s="384">
        <f>Tabla_query__2[[#This Row],[InicioDes]]</f>
        <v>45474</v>
      </c>
      <c r="AQ337" s="384">
        <f>Tabla_query__2[[#This Row],[FinDes2]]</f>
        <v>45499</v>
      </c>
      <c r="AR337" s="462">
        <f>Tabla_query__2[[#This Row],[Número
Semanas]]/4</f>
        <v>0.75</v>
      </c>
      <c r="AS337" s="269">
        <f>Tabla_query__2[[#This Row],[FinDes2]]-Tabla_query__2[[#This Row],[InicioDes2]]</f>
        <v>4</v>
      </c>
      <c r="AT337" s="261"/>
      <c r="AU337"/>
      <c r="AV337"/>
    </row>
    <row r="338" spans="1:48" s="329" customFormat="1" ht="34.9">
      <c r="A338" s="318" t="s">
        <v>130</v>
      </c>
      <c r="B338" s="262" t="s">
        <v>134</v>
      </c>
      <c r="C338" s="262"/>
      <c r="D338" s="266" t="s">
        <v>909</v>
      </c>
      <c r="E338" s="262"/>
      <c r="F338" s="259" t="s">
        <v>910</v>
      </c>
      <c r="G338" s="259"/>
      <c r="H338" s="259" t="s">
        <v>204</v>
      </c>
      <c r="I338" s="262" t="s">
        <v>138</v>
      </c>
      <c r="J338" s="262" t="s">
        <v>137</v>
      </c>
      <c r="K338" s="262"/>
      <c r="L338" s="262"/>
      <c r="M338" s="262" t="s">
        <v>329</v>
      </c>
      <c r="N338" s="262" t="s">
        <v>433</v>
      </c>
      <c r="O338" s="722" t="s">
        <v>861</v>
      </c>
      <c r="P338" s="262" t="s">
        <v>665</v>
      </c>
      <c r="Q338" s="262" t="s">
        <v>143</v>
      </c>
      <c r="R338" s="262" t="s">
        <v>144</v>
      </c>
      <c r="S338" s="261"/>
      <c r="T338" s="261" t="s">
        <v>145</v>
      </c>
      <c r="U338" s="328" t="s">
        <v>911</v>
      </c>
      <c r="V338" s="261" t="s">
        <v>146</v>
      </c>
      <c r="W338" s="261">
        <v>1</v>
      </c>
      <c r="X338" s="261">
        <v>3</v>
      </c>
      <c r="Y338" s="261">
        <f>Tabla_query__2[[#This Row],[Número
Semanas]]*5*8</f>
        <v>120</v>
      </c>
      <c r="Z338" s="268">
        <f>Tabla_query__2[[#This Row],[TOTAL]]/Tabla_query__2[[#This Row],[Número de Horas]]/2</f>
        <v>7.8125</v>
      </c>
      <c r="AA338" s="261">
        <v>1</v>
      </c>
      <c r="AB338" s="261">
        <v>625</v>
      </c>
      <c r="AC338" s="261"/>
      <c r="AD338" s="388">
        <f>Tabla_query__2[[#This Row],[Número
Semanas]]*Tabla_query__2[[#This Row],[Número
Personas]]*Tabla_query__2[[#This Row],[Costo
Mano Obra/semana]]</f>
        <v>1875</v>
      </c>
      <c r="AE338" s="261"/>
      <c r="AF338" s="261"/>
      <c r="AG338" s="261"/>
      <c r="AH338" s="384">
        <v>45446</v>
      </c>
      <c r="AI338" s="448">
        <v>45457</v>
      </c>
      <c r="AJ338" s="282" t="e">
        <f>#REF!</f>
        <v>#REF!</v>
      </c>
      <c r="AK338" s="384">
        <v>45460</v>
      </c>
      <c r="AL338" s="448">
        <v>45464</v>
      </c>
      <c r="AM338" s="282">
        <f t="shared" si="17"/>
        <v>363684</v>
      </c>
      <c r="AN338" s="448">
        <v>45467</v>
      </c>
      <c r="AO338" s="448">
        <v>45471</v>
      </c>
      <c r="AP338" s="384">
        <f>Tabla_query__2[[#This Row],[InicioDes]]</f>
        <v>45446</v>
      </c>
      <c r="AQ338" s="384">
        <f>Tabla_query__2[[#This Row],[FinDes2]]</f>
        <v>45471</v>
      </c>
      <c r="AR338" s="462">
        <f>Tabla_query__2[[#This Row],[Número
Semanas]]/4</f>
        <v>0.75</v>
      </c>
      <c r="AS338" s="269">
        <f>Tabla_query__2[[#This Row],[FinDes2]]-Tabla_query__2[[#This Row],[InicioDes2]]</f>
        <v>4</v>
      </c>
      <c r="AT338" s="261"/>
      <c r="AU338"/>
      <c r="AV338"/>
    </row>
    <row r="339" spans="1:48" s="329" customFormat="1">
      <c r="A339" s="318" t="s">
        <v>251</v>
      </c>
      <c r="B339" s="262" t="s">
        <v>134</v>
      </c>
      <c r="C339" s="262"/>
      <c r="D339" s="408" t="s">
        <v>498</v>
      </c>
      <c r="E339" s="262"/>
      <c r="F339" s="259" t="s">
        <v>912</v>
      </c>
      <c r="G339" s="259"/>
      <c r="H339" s="259" t="s">
        <v>137</v>
      </c>
      <c r="I339" s="262" t="s">
        <v>138</v>
      </c>
      <c r="J339" s="262" t="s">
        <v>137</v>
      </c>
      <c r="K339" s="262"/>
      <c r="L339" s="262"/>
      <c r="M339" s="266" t="s">
        <v>329</v>
      </c>
      <c r="N339" s="262" t="s">
        <v>913</v>
      </c>
      <c r="O339" s="722" t="s">
        <v>861</v>
      </c>
      <c r="P339" s="262" t="s">
        <v>665</v>
      </c>
      <c r="Q339" s="262" t="s">
        <v>143</v>
      </c>
      <c r="R339" s="262" t="s">
        <v>197</v>
      </c>
      <c r="S339" s="261"/>
      <c r="T339" s="261" t="s">
        <v>152</v>
      </c>
      <c r="U339" s="328" t="s">
        <v>809</v>
      </c>
      <c r="V339" s="261" t="s">
        <v>146</v>
      </c>
      <c r="W339" s="261">
        <v>1</v>
      </c>
      <c r="X339" s="261">
        <v>3</v>
      </c>
      <c r="Y339" s="261">
        <f>Tabla_query__2[[#This Row],[Número
Semanas]]*5*8</f>
        <v>120</v>
      </c>
      <c r="Z339" s="268">
        <f>Tabla_query__2[[#This Row],[TOTAL]]/Tabla_query__2[[#This Row],[Número de Horas]]/2</f>
        <v>7.8125</v>
      </c>
      <c r="AA339" s="261">
        <v>1</v>
      </c>
      <c r="AB339" s="261">
        <v>625</v>
      </c>
      <c r="AC339" s="261"/>
      <c r="AD339" s="268">
        <f>Tabla_query__2[[#This Row],[Número
Semanas]]*Tabla_query__2[[#This Row],[Número
Personas]]*Tabla_query__2[[#This Row],[Costo
Mano Obra/semana]]</f>
        <v>1875</v>
      </c>
      <c r="AE339" s="261"/>
      <c r="AF339" s="261"/>
      <c r="AG339" s="261"/>
      <c r="AH339" s="267">
        <v>45327</v>
      </c>
      <c r="AI339" s="267">
        <v>45345</v>
      </c>
      <c r="AJ339" s="282" t="e">
        <f>#REF!</f>
        <v>#REF!</v>
      </c>
      <c r="AK339" s="267">
        <v>45348</v>
      </c>
      <c r="AL339" s="267">
        <v>45352</v>
      </c>
      <c r="AM339" s="282">
        <f t="shared" si="17"/>
        <v>362788</v>
      </c>
      <c r="AN339" s="267">
        <v>45355</v>
      </c>
      <c r="AO339" s="267">
        <v>45359</v>
      </c>
      <c r="AP339" s="384">
        <f>Tabla_query__2[[#This Row],[InicioDes]]</f>
        <v>45327</v>
      </c>
      <c r="AQ339" s="384">
        <f>Tabla_query__2[[#This Row],[FinDes2]]</f>
        <v>45359</v>
      </c>
      <c r="AR339" s="462">
        <f>Tabla_query__2[[#This Row],[Número
Semanas]]/4</f>
        <v>0.75</v>
      </c>
      <c r="AS339" s="269">
        <f>Tabla_query__2[[#This Row],[FinDes2]]-Tabla_query__2[[#This Row],[InicioDes2]]</f>
        <v>4</v>
      </c>
      <c r="AT339" s="261" t="s">
        <v>155</v>
      </c>
      <c r="AU339"/>
      <c r="AV339" s="449"/>
    </row>
    <row r="340" spans="1:48" ht="15" customHeight="1">
      <c r="A340" s="318" t="s">
        <v>130</v>
      </c>
      <c r="B340" s="262" t="s">
        <v>131</v>
      </c>
      <c r="C340" s="262" t="s">
        <v>914</v>
      </c>
      <c r="D340" s="262" t="s">
        <v>915</v>
      </c>
      <c r="E340" s="262" t="s">
        <v>310</v>
      </c>
      <c r="F340" s="262" t="s">
        <v>916</v>
      </c>
      <c r="G340" s="262" t="s">
        <v>136</v>
      </c>
      <c r="H340" s="259" t="s">
        <v>204</v>
      </c>
      <c r="I340" s="262" t="s">
        <v>260</v>
      </c>
      <c r="J340" s="262" t="s">
        <v>4</v>
      </c>
      <c r="K340" s="262"/>
      <c r="L340" s="262"/>
      <c r="M340" s="262" t="s">
        <v>206</v>
      </c>
      <c r="N340" s="278" t="s">
        <v>12</v>
      </c>
      <c r="O340" s="722" t="s">
        <v>442</v>
      </c>
      <c r="P340" s="262" t="s">
        <v>17</v>
      </c>
      <c r="Q340" s="262" t="s">
        <v>143</v>
      </c>
      <c r="R340" s="262" t="s">
        <v>144</v>
      </c>
      <c r="S340" s="261"/>
      <c r="T340" s="261" t="s">
        <v>145</v>
      </c>
      <c r="U340" s="261"/>
      <c r="V340" s="261" t="s">
        <v>146</v>
      </c>
      <c r="W340" s="261"/>
      <c r="X340" s="261">
        <v>8</v>
      </c>
      <c r="Y340" s="261">
        <f>Tabla_query__2[[#This Row],[Número
Semanas]]*5*8</f>
        <v>320</v>
      </c>
      <c r="Z340" s="268">
        <f>Tabla_query__2[[#This Row],[TOTAL]]/Tabla_query__2[[#This Row],[Número de Horas]]/2</f>
        <v>7.875</v>
      </c>
      <c r="AA340" s="261">
        <v>1</v>
      </c>
      <c r="AB340" s="261">
        <v>550</v>
      </c>
      <c r="AC340" s="261"/>
      <c r="AD340" s="268">
        <f>Tabla_query__2[[#This Row],[Número
Semanas]]*Tabla_query__2[[#This Row],[Número
Personas]]*Tabla_query__2[[#This Row],[Costo
Mano Obra/semana]] + 640</f>
        <v>5040</v>
      </c>
      <c r="AE340" s="261"/>
      <c r="AF340" s="261"/>
      <c r="AG340" s="261" t="s">
        <v>159</v>
      </c>
      <c r="AH340" s="281">
        <v>45369</v>
      </c>
      <c r="AI340" s="281">
        <v>45369</v>
      </c>
      <c r="AJ340" s="462">
        <f>Tabla_query__2[[#This Row],[FinDes]]-Tabla_query__2[[#This Row],[InicioDes]]</f>
        <v>0</v>
      </c>
      <c r="AK340" s="281">
        <v>45369</v>
      </c>
      <c r="AL340" s="281">
        <v>45383</v>
      </c>
      <c r="AM340" s="462">
        <f t="shared" si="17"/>
        <v>362966</v>
      </c>
      <c r="AN340" s="281">
        <v>45383</v>
      </c>
      <c r="AO340" s="281">
        <v>45397</v>
      </c>
      <c r="AP340" s="463">
        <v>45474</v>
      </c>
      <c r="AQ340" s="281">
        <f>Tabla_query__2[[#This Row],[Inicio Real]]+(Tabla_query__2[[#This Row],[Número
Semanas]]*7)</f>
        <v>45530</v>
      </c>
      <c r="AR340" s="462">
        <f>Tabla_query__2[[#This Row],[Número
Semanas]]/4</f>
        <v>2</v>
      </c>
      <c r="AS340" s="269">
        <f>Tabla_query__2[[#This Row],[FinDes2]]-Tabla_query__2[[#This Row],[InicioDes2]]</f>
        <v>14</v>
      </c>
      <c r="AT340" s="261"/>
      <c r="AV340" s="435" t="s">
        <v>148</v>
      </c>
    </row>
    <row r="341" spans="1:48" ht="23.25">
      <c r="A341" s="318" t="s">
        <v>130</v>
      </c>
      <c r="B341" s="262" t="s">
        <v>212</v>
      </c>
      <c r="C341" s="262"/>
      <c r="D341" s="277" t="s">
        <v>917</v>
      </c>
      <c r="E341" s="262"/>
      <c r="F341" s="259"/>
      <c r="G341" s="259"/>
      <c r="H341" s="259" t="s">
        <v>204</v>
      </c>
      <c r="I341" s="262"/>
      <c r="J341" s="262" t="s">
        <v>4</v>
      </c>
      <c r="K341" s="262"/>
      <c r="L341" s="262"/>
      <c r="M341" s="262" t="s">
        <v>206</v>
      </c>
      <c r="N341" s="262" t="s">
        <v>12</v>
      </c>
      <c r="O341" s="722" t="s">
        <v>442</v>
      </c>
      <c r="P341" s="262" t="s">
        <v>17</v>
      </c>
      <c r="Q341" s="262" t="s">
        <v>298</v>
      </c>
      <c r="R341" s="526" t="s">
        <v>144</v>
      </c>
      <c r="S341" s="261"/>
      <c r="T341" s="261"/>
      <c r="U341" s="261"/>
      <c r="V341" s="261"/>
      <c r="W341" s="261"/>
      <c r="X341" s="261"/>
      <c r="Y341" s="261">
        <f>Tabla_query__2[[#This Row],[Número
Semanas]]*5*8</f>
        <v>0</v>
      </c>
      <c r="Z341" s="268" t="e">
        <f>Tabla_query__2[[#This Row],[TOTAL]]/Tabla_query__2[[#This Row],[Número de Horas]]/2</f>
        <v>#DIV/0!</v>
      </c>
      <c r="AA341" s="261"/>
      <c r="AB341" s="261"/>
      <c r="AC341" s="261"/>
      <c r="AD341" s="268">
        <v>6400</v>
      </c>
      <c r="AE341" s="261"/>
      <c r="AF341" s="267"/>
      <c r="AG341" s="267"/>
      <c r="AH341" s="467"/>
      <c r="AI341" s="468"/>
      <c r="AJ341" s="469" t="e">
        <f>#REF!</f>
        <v>#REF!</v>
      </c>
      <c r="AK341" s="467"/>
      <c r="AL341" s="468"/>
      <c r="AM341" s="469">
        <f t="shared" si="17"/>
        <v>0</v>
      </c>
      <c r="AN341" s="467"/>
      <c r="AO341" s="267">
        <v>45427</v>
      </c>
      <c r="AP341" s="384">
        <f>Tabla_query__2[[#This Row],[InicioDes]]</f>
        <v>0</v>
      </c>
      <c r="AQ341" s="384">
        <f>Tabla_query__2[[#This Row],[FinDes2]]</f>
        <v>45427</v>
      </c>
      <c r="AR341" s="468">
        <f>Tabla_query__2[[#This Row],[Número
Semanas]]/4</f>
        <v>0</v>
      </c>
      <c r="AS341" s="269">
        <f>Tabla_query__2[[#This Row],[FinDes2]]-Tabla_query__2[[#This Row],[InicioDes2]]</f>
        <v>45427</v>
      </c>
      <c r="AT341" s="261"/>
    </row>
    <row r="342" spans="1:48">
      <c r="A342" s="318" t="s">
        <v>130</v>
      </c>
      <c r="B342" s="262" t="s">
        <v>212</v>
      </c>
      <c r="C342" s="262"/>
      <c r="D342" s="262" t="s">
        <v>918</v>
      </c>
      <c r="E342" s="262"/>
      <c r="F342" s="259"/>
      <c r="G342" s="259"/>
      <c r="H342" s="259" t="s">
        <v>204</v>
      </c>
      <c r="I342" s="262"/>
      <c r="J342" s="262" t="s">
        <v>4</v>
      </c>
      <c r="K342" s="262"/>
      <c r="L342" s="262"/>
      <c r="M342" s="262" t="s">
        <v>206</v>
      </c>
      <c r="N342" s="262" t="s">
        <v>12</v>
      </c>
      <c r="O342" s="722" t="s">
        <v>442</v>
      </c>
      <c r="P342" s="262" t="s">
        <v>17</v>
      </c>
      <c r="Q342" s="262" t="s">
        <v>298</v>
      </c>
      <c r="R342" s="262" t="s">
        <v>144</v>
      </c>
      <c r="S342" s="261"/>
      <c r="T342" s="261"/>
      <c r="U342" s="261"/>
      <c r="V342" s="261"/>
      <c r="W342" s="261"/>
      <c r="X342" s="261"/>
      <c r="Y342" s="261">
        <f>Tabla_query__2[[#This Row],[Número
Semanas]]*5*8</f>
        <v>0</v>
      </c>
      <c r="Z342" s="268" t="e">
        <f>Tabla_query__2[[#This Row],[TOTAL]]/Tabla_query__2[[#This Row],[Número de Horas]]/2</f>
        <v>#DIV/0!</v>
      </c>
      <c r="AA342" s="261"/>
      <c r="AB342" s="261"/>
      <c r="AC342" s="261"/>
      <c r="AD342" s="268">
        <v>21300</v>
      </c>
      <c r="AE342" s="261"/>
      <c r="AF342" s="267"/>
      <c r="AG342" s="267"/>
      <c r="AH342" s="467"/>
      <c r="AI342" s="468"/>
      <c r="AJ342" s="469" t="e">
        <f>#REF!</f>
        <v>#REF!</v>
      </c>
      <c r="AK342" s="467"/>
      <c r="AL342" s="468"/>
      <c r="AM342" s="469">
        <f t="shared" si="17"/>
        <v>0</v>
      </c>
      <c r="AN342" s="467"/>
      <c r="AO342" s="468"/>
      <c r="AP342" s="384">
        <f>Tabla_query__2[[#This Row],[InicioDes]]</f>
        <v>0</v>
      </c>
      <c r="AQ342" s="384">
        <f>Tabla_query__2[[#This Row],[FinDes2]]</f>
        <v>0</v>
      </c>
      <c r="AR342" s="468">
        <f>Tabla_query__2[[#This Row],[Número
Semanas]]/4</f>
        <v>0</v>
      </c>
      <c r="AS342" s="269">
        <f>Tabla_query__2[[#This Row],[FinDes2]]-Tabla_query__2[[#This Row],[InicioDes2]]</f>
        <v>0</v>
      </c>
      <c r="AT342" s="261"/>
    </row>
    <row r="343" spans="1:48">
      <c r="A343" s="318" t="s">
        <v>130</v>
      </c>
      <c r="B343" s="262" t="s">
        <v>212</v>
      </c>
      <c r="C343" s="262"/>
      <c r="D343" s="277" t="s">
        <v>919</v>
      </c>
      <c r="E343" s="262"/>
      <c r="F343" s="259"/>
      <c r="G343" s="259"/>
      <c r="H343" s="259" t="s">
        <v>204</v>
      </c>
      <c r="I343" s="262"/>
      <c r="J343" s="262" t="s">
        <v>4</v>
      </c>
      <c r="K343" s="262"/>
      <c r="L343" s="262"/>
      <c r="M343" s="262" t="s">
        <v>206</v>
      </c>
      <c r="N343" s="262" t="s">
        <v>12</v>
      </c>
      <c r="O343" s="722" t="s">
        <v>442</v>
      </c>
      <c r="P343" s="262" t="s">
        <v>17</v>
      </c>
      <c r="Q343" s="262" t="s">
        <v>298</v>
      </c>
      <c r="R343" s="262" t="s">
        <v>144</v>
      </c>
      <c r="S343" s="261"/>
      <c r="T343" s="261"/>
      <c r="U343" s="261"/>
      <c r="V343" s="261"/>
      <c r="W343" s="261"/>
      <c r="X343" s="261"/>
      <c r="Y343" s="261">
        <f>Tabla_query__2[[#This Row],[Número
Semanas]]*5*8</f>
        <v>0</v>
      </c>
      <c r="Z343" s="268" t="e">
        <f>Tabla_query__2[[#This Row],[TOTAL]]/Tabla_query__2[[#This Row],[Número de Horas]]/2</f>
        <v>#DIV/0!</v>
      </c>
      <c r="AA343" s="261"/>
      <c r="AB343" s="261"/>
      <c r="AC343" s="261"/>
      <c r="AD343" s="268">
        <v>3300</v>
      </c>
      <c r="AE343" s="261"/>
      <c r="AF343" s="267"/>
      <c r="AG343" s="267"/>
      <c r="AH343" s="467"/>
      <c r="AI343" s="468"/>
      <c r="AJ343" s="469" t="e">
        <f>#REF!</f>
        <v>#REF!</v>
      </c>
      <c r="AK343" s="467"/>
      <c r="AL343" s="468"/>
      <c r="AM343" s="469">
        <f t="shared" si="17"/>
        <v>0</v>
      </c>
      <c r="AN343" s="467"/>
      <c r="AO343" s="468"/>
      <c r="AP343" s="384">
        <f>Tabla_query__2[[#This Row],[InicioDes]]</f>
        <v>0</v>
      </c>
      <c r="AQ343" s="384">
        <f>Tabla_query__2[[#This Row],[FinDes2]]</f>
        <v>0</v>
      </c>
      <c r="AR343" s="468">
        <f>Tabla_query__2[[#This Row],[Número
Semanas]]/4</f>
        <v>0</v>
      </c>
      <c r="AS343" s="269">
        <f>Tabla_query__2[[#This Row],[FinDes2]]-Tabla_query__2[[#This Row],[InicioDes2]]</f>
        <v>0</v>
      </c>
      <c r="AT343" s="261"/>
    </row>
    <row r="344" spans="1:48" ht="46.5">
      <c r="A344" s="318" t="s">
        <v>130</v>
      </c>
      <c r="B344" s="277" t="s">
        <v>212</v>
      </c>
      <c r="C344" s="277"/>
      <c r="D344" s="414" t="s">
        <v>920</v>
      </c>
      <c r="E344" s="496"/>
      <c r="F344" s="259" t="s">
        <v>921</v>
      </c>
      <c r="G344" s="259"/>
      <c r="H344" s="259" t="s">
        <v>204</v>
      </c>
      <c r="I344" s="277" t="s">
        <v>922</v>
      </c>
      <c r="J344" s="277" t="s">
        <v>72</v>
      </c>
      <c r="K344" s="277"/>
      <c r="L344" s="277"/>
      <c r="M344" s="277" t="s">
        <v>206</v>
      </c>
      <c r="N344" s="277" t="s">
        <v>13</v>
      </c>
      <c r="O344" s="722" t="s">
        <v>442</v>
      </c>
      <c r="P344" s="277" t="s">
        <v>17</v>
      </c>
      <c r="Q344" s="262" t="s">
        <v>298</v>
      </c>
      <c r="R344" s="526" t="s">
        <v>144</v>
      </c>
      <c r="S344" s="259"/>
      <c r="T344" s="259" t="s">
        <v>320</v>
      </c>
      <c r="U344" s="259"/>
      <c r="V344" s="261" t="s">
        <v>136</v>
      </c>
      <c r="W344" s="259">
        <v>1</v>
      </c>
      <c r="X344" s="259">
        <v>8</v>
      </c>
      <c r="Y344" s="259">
        <f>Tabla_query__2[[#This Row],[Número
Semanas]]*5*8</f>
        <v>320</v>
      </c>
      <c r="Z344" s="387">
        <f>Tabla_query__2[[#This Row],[TOTAL]]/Tabla_query__2[[#This Row],[Número de Horas]]/2</f>
        <v>6.875</v>
      </c>
      <c r="AA344" s="259">
        <v>1</v>
      </c>
      <c r="AB344" s="259">
        <v>550</v>
      </c>
      <c r="AC344" s="259"/>
      <c r="AD344" s="403">
        <f>Tabla_query__2[[#This Row],[Número
Semanas]]*Tabla_query__2[[#This Row],[Número
Personas]]*Tabla_query__2[[#This Row],[Costo
Mano Obra/semana]]</f>
        <v>4400</v>
      </c>
      <c r="AE344" s="259"/>
      <c r="AF344" s="259"/>
      <c r="AG344" s="259"/>
      <c r="AH344" s="404"/>
      <c r="AI344" s="404"/>
      <c r="AJ344" s="451">
        <f>Tabla_query__2[[#This Row],[FinDes]]-Tabla_query__2[[#This Row],[InicioDes]]</f>
        <v>0</v>
      </c>
      <c r="AK344" s="404"/>
      <c r="AL344" s="404"/>
      <c r="AM344" s="405">
        <f>Tabla_query__2[[#This Row],[FinPil]]-Tabla_query__2[[#This Row],[InicioPil]]</f>
        <v>0</v>
      </c>
      <c r="AN344" s="404"/>
      <c r="AO344" s="404"/>
      <c r="AP344" s="384">
        <f>Tabla_query__2[[#This Row],[InicioDes]]</f>
        <v>0</v>
      </c>
      <c r="AQ344" s="384">
        <f>Tabla_query__2[[#This Row],[FinDes2]]</f>
        <v>0</v>
      </c>
      <c r="AR344" s="462">
        <f>Tabla_query__2[[#This Row],[Número
Semanas]]/4</f>
        <v>2</v>
      </c>
      <c r="AS344" s="405">
        <f>Tabla_query__2[[#This Row],[FinDes2]]-Tabla_query__2[[#This Row],[InicioDes2]]</f>
        <v>0</v>
      </c>
      <c r="AT344" s="259"/>
      <c r="AU344" s="329"/>
      <c r="AV344" s="329"/>
    </row>
    <row r="345" spans="1:48" ht="69.75">
      <c r="A345" s="318" t="s">
        <v>130</v>
      </c>
      <c r="B345" s="277" t="s">
        <v>212</v>
      </c>
      <c r="C345" s="277"/>
      <c r="D345" s="414" t="s">
        <v>923</v>
      </c>
      <c r="E345" s="496"/>
      <c r="F345" s="259" t="s">
        <v>924</v>
      </c>
      <c r="G345" s="259"/>
      <c r="H345" s="259" t="s">
        <v>204</v>
      </c>
      <c r="I345" s="277" t="s">
        <v>463</v>
      </c>
      <c r="J345" s="277" t="s">
        <v>72</v>
      </c>
      <c r="K345" s="277"/>
      <c r="L345" s="277"/>
      <c r="M345" s="277" t="s">
        <v>206</v>
      </c>
      <c r="N345" s="277" t="s">
        <v>13</v>
      </c>
      <c r="O345" s="722" t="s">
        <v>442</v>
      </c>
      <c r="P345" s="277" t="s">
        <v>11</v>
      </c>
      <c r="Q345" s="262" t="s">
        <v>298</v>
      </c>
      <c r="R345" s="277" t="s">
        <v>144</v>
      </c>
      <c r="S345" s="259" t="s">
        <v>145</v>
      </c>
      <c r="T345" s="259" t="s">
        <v>145</v>
      </c>
      <c r="U345" s="259"/>
      <c r="V345" s="259" t="s">
        <v>146</v>
      </c>
      <c r="W345" s="259">
        <v>1</v>
      </c>
      <c r="X345" s="259">
        <v>4</v>
      </c>
      <c r="Y345" s="259">
        <f>Tabla_query__2[[#This Row],[Número
Semanas]]*5*8</f>
        <v>160</v>
      </c>
      <c r="Z345" s="387">
        <f>Tabla_query__2[[#This Row],[TOTAL]]/Tabla_query__2[[#This Row],[Número de Horas]]/2</f>
        <v>13.75</v>
      </c>
      <c r="AA345" s="259">
        <v>1</v>
      </c>
      <c r="AB345" s="259">
        <f>40*27.5</f>
        <v>1100</v>
      </c>
      <c r="AC345" s="259"/>
      <c r="AD345" s="403">
        <f>Tabla_query__2[[#This Row],[Número
Semanas]]*Tabla_query__2[[#This Row],[Número
Personas]]*Tabla_query__2[[#This Row],[Costo
Mano Obra/semana]]</f>
        <v>4400</v>
      </c>
      <c r="AE345" s="259"/>
      <c r="AF345" s="259"/>
      <c r="AG345" s="259"/>
      <c r="AH345" s="404"/>
      <c r="AI345" s="404"/>
      <c r="AJ345" s="451">
        <f>Tabla_query__2[[#This Row],[FinDes]]-Tabla_query__2[[#This Row],[InicioDes]]</f>
        <v>0</v>
      </c>
      <c r="AK345" s="404"/>
      <c r="AL345" s="404"/>
      <c r="AM345" s="405">
        <f>Tabla_query__2[[#This Row],[FinPil]]-Tabla_query__2[[#This Row],[InicioPil]]</f>
        <v>0</v>
      </c>
      <c r="AN345" s="404"/>
      <c r="AO345" s="404"/>
      <c r="AP345" s="384">
        <f>Tabla_query__2[[#This Row],[InicioDes]]</f>
        <v>0</v>
      </c>
      <c r="AQ345" s="384">
        <f>Tabla_query__2[[#This Row],[FinDes2]]</f>
        <v>0</v>
      </c>
      <c r="AR345" s="462">
        <f>Tabla_query__2[[#This Row],[Número
Semanas]]/4</f>
        <v>1</v>
      </c>
      <c r="AS345" s="405">
        <f>Tabla_query__2[[#This Row],[FinDes2]]-Tabla_query__2[[#This Row],[InicioDes2]]</f>
        <v>0</v>
      </c>
      <c r="AT345" s="259"/>
      <c r="AU345" s="329"/>
      <c r="AV345" s="329"/>
    </row>
    <row r="346" spans="1:48" ht="58.15">
      <c r="A346" s="318" t="s">
        <v>130</v>
      </c>
      <c r="B346" s="262" t="s">
        <v>457</v>
      </c>
      <c r="C346" s="262"/>
      <c r="D346" s="262" t="s">
        <v>925</v>
      </c>
      <c r="E346" s="262"/>
      <c r="F346" s="259" t="s">
        <v>926</v>
      </c>
      <c r="G346" s="259"/>
      <c r="H346" s="259" t="s">
        <v>204</v>
      </c>
      <c r="I346" s="262"/>
      <c r="J346" s="262" t="s">
        <v>4</v>
      </c>
      <c r="K346" s="262"/>
      <c r="L346" s="262"/>
      <c r="M346" s="262" t="s">
        <v>206</v>
      </c>
      <c r="N346" s="262" t="s">
        <v>14</v>
      </c>
      <c r="O346" s="722" t="s">
        <v>442</v>
      </c>
      <c r="P346" s="262" t="s">
        <v>17</v>
      </c>
      <c r="Q346" s="262" t="s">
        <v>298</v>
      </c>
      <c r="R346" s="262" t="s">
        <v>144</v>
      </c>
      <c r="S346" s="261"/>
      <c r="T346" s="261" t="s">
        <v>221</v>
      </c>
      <c r="U346" s="261"/>
      <c r="V346" s="261" t="s">
        <v>146</v>
      </c>
      <c r="W346" s="261"/>
      <c r="X346" s="261">
        <v>14</v>
      </c>
      <c r="Y346" s="261">
        <f>Tabla_query__2[[#This Row],[Número
Semanas]]*5*8</f>
        <v>560</v>
      </c>
      <c r="Z346" s="268">
        <f>Tabla_query__2[[#This Row],[TOTAL]]/Tabla_query__2[[#This Row],[Número de Horas]]/2</f>
        <v>7.4464285714285712</v>
      </c>
      <c r="AA346" s="261">
        <v>1</v>
      </c>
      <c r="AB346" s="261">
        <v>550</v>
      </c>
      <c r="AC346" s="261"/>
      <c r="AD346" s="268">
        <f>Tabla_query__2[[#This Row],[Número
Semanas]]*Tabla_query__2[[#This Row],[Número
Personas]]*Tabla_query__2[[#This Row],[Costo
Mano Obra/semana]] + 640</f>
        <v>8340</v>
      </c>
      <c r="AE346" s="261"/>
      <c r="AF346" s="261"/>
      <c r="AG346" s="261"/>
      <c r="AH346" s="261"/>
      <c r="AI346" s="261"/>
      <c r="AJ346" s="282" t="e">
        <f>#REF!</f>
        <v>#REF!</v>
      </c>
      <c r="AK346" s="261"/>
      <c r="AL346" s="261"/>
      <c r="AM346" s="282">
        <f t="shared" ref="AM346:AM386" si="18">AL346+ ((AK346*7))</f>
        <v>0</v>
      </c>
      <c r="AN346" s="261"/>
      <c r="AO346" s="261"/>
      <c r="AP346" s="384">
        <f>Tabla_query__2[[#This Row],[InicioDes]]</f>
        <v>0</v>
      </c>
      <c r="AQ346" s="384">
        <f>Tabla_query__2[[#This Row],[FinDes2]]</f>
        <v>0</v>
      </c>
      <c r="AR346" s="462">
        <f>Tabla_query__2[[#This Row],[Número
Semanas]]/4</f>
        <v>3.5</v>
      </c>
      <c r="AS346" s="269">
        <f>Tabla_query__2[[#This Row],[FinDes2]]-Tabla_query__2[[#This Row],[InicioDes2]]</f>
        <v>0</v>
      </c>
      <c r="AT346" s="261"/>
    </row>
    <row r="347" spans="1:48">
      <c r="A347" s="318" t="s">
        <v>130</v>
      </c>
      <c r="B347" s="262" t="s">
        <v>457</v>
      </c>
      <c r="C347" s="262"/>
      <c r="D347" s="262" t="s">
        <v>927</v>
      </c>
      <c r="E347" s="262"/>
      <c r="F347" s="259" t="s">
        <v>928</v>
      </c>
      <c r="G347" s="259"/>
      <c r="H347" s="259" t="s">
        <v>204</v>
      </c>
      <c r="I347" s="277"/>
      <c r="J347" s="262" t="s">
        <v>4</v>
      </c>
      <c r="K347" s="262"/>
      <c r="L347" s="262"/>
      <c r="M347" s="262" t="s">
        <v>206</v>
      </c>
      <c r="N347" s="262" t="s">
        <v>14</v>
      </c>
      <c r="O347" s="722" t="s">
        <v>442</v>
      </c>
      <c r="P347" s="262" t="s">
        <v>17</v>
      </c>
      <c r="Q347" s="262" t="s">
        <v>298</v>
      </c>
      <c r="R347" s="262" t="s">
        <v>144</v>
      </c>
      <c r="S347" s="261"/>
      <c r="T347" s="261" t="s">
        <v>320</v>
      </c>
      <c r="U347" s="261"/>
      <c r="V347" s="261"/>
      <c r="W347" s="261"/>
      <c r="X347" s="261">
        <v>8</v>
      </c>
      <c r="Y347" s="261">
        <f>Tabla_query__2[[#This Row],[Número
Semanas]]*5*8</f>
        <v>320</v>
      </c>
      <c r="Z347" s="268">
        <f>Tabla_query__2[[#This Row],[TOTAL]]/Tabla_query__2[[#This Row],[Número de Horas]]/2</f>
        <v>7.875</v>
      </c>
      <c r="AA347" s="261">
        <v>1</v>
      </c>
      <c r="AB347" s="261">
        <v>550</v>
      </c>
      <c r="AC347" s="261"/>
      <c r="AD347" s="268">
        <f>Tabla_query__2[[#This Row],[Número
Semanas]]*Tabla_query__2[[#This Row],[Número
Personas]]*Tabla_query__2[[#This Row],[Costo
Mano Obra/semana]] + 640</f>
        <v>5040</v>
      </c>
      <c r="AE347" s="261"/>
      <c r="AF347" s="261"/>
      <c r="AG347" s="261"/>
      <c r="AH347" s="261"/>
      <c r="AI347" s="261"/>
      <c r="AJ347" s="269" t="e">
        <f>#REF!</f>
        <v>#REF!</v>
      </c>
      <c r="AK347" s="261"/>
      <c r="AL347" s="261"/>
      <c r="AM347" s="269">
        <f t="shared" si="18"/>
        <v>0</v>
      </c>
      <c r="AN347" s="261"/>
      <c r="AO347" s="261"/>
      <c r="AP347" s="384">
        <f>Tabla_query__2[[#This Row],[InicioDes]]</f>
        <v>0</v>
      </c>
      <c r="AQ347" s="384">
        <f>Tabla_query__2[[#This Row],[FinDes2]]</f>
        <v>0</v>
      </c>
      <c r="AR347" s="462">
        <f>Tabla_query__2[[#This Row],[Número
Semanas]]/4</f>
        <v>2</v>
      </c>
      <c r="AS347" s="269">
        <f>Tabla_query__2[[#This Row],[FinDes2]]-Tabla_query__2[[#This Row],[InicioDes2]]</f>
        <v>0</v>
      </c>
      <c r="AT347" s="261"/>
    </row>
    <row r="348" spans="1:48" ht="34.9">
      <c r="A348" s="318" t="s">
        <v>130</v>
      </c>
      <c r="B348" s="262" t="s">
        <v>457</v>
      </c>
      <c r="C348" s="262"/>
      <c r="D348" s="262" t="s">
        <v>929</v>
      </c>
      <c r="E348" s="262"/>
      <c r="F348" s="259" t="s">
        <v>930</v>
      </c>
      <c r="G348" s="259"/>
      <c r="H348" s="259" t="s">
        <v>204</v>
      </c>
      <c r="I348" s="277"/>
      <c r="J348" s="262" t="s">
        <v>4</v>
      </c>
      <c r="K348" s="262"/>
      <c r="L348" s="262"/>
      <c r="M348" s="262" t="s">
        <v>206</v>
      </c>
      <c r="N348" s="262" t="s">
        <v>14</v>
      </c>
      <c r="O348" s="722" t="s">
        <v>442</v>
      </c>
      <c r="P348" s="262" t="s">
        <v>17</v>
      </c>
      <c r="Q348" s="262" t="s">
        <v>298</v>
      </c>
      <c r="R348" s="262" t="s">
        <v>144</v>
      </c>
      <c r="S348" s="261"/>
      <c r="T348" s="261" t="s">
        <v>221</v>
      </c>
      <c r="U348" s="261"/>
      <c r="V348" s="261" t="s">
        <v>136</v>
      </c>
      <c r="W348" s="261"/>
      <c r="X348" s="261">
        <v>10</v>
      </c>
      <c r="Y348" s="261">
        <f>Tabla_query__2[[#This Row],[Número
Semanas]]*5*8</f>
        <v>400</v>
      </c>
      <c r="Z348" s="268">
        <f>Tabla_query__2[[#This Row],[TOTAL]]/Tabla_query__2[[#This Row],[Número de Horas]]/2</f>
        <v>7.6749999999999998</v>
      </c>
      <c r="AA348" s="261">
        <v>1</v>
      </c>
      <c r="AB348" s="261">
        <v>550</v>
      </c>
      <c r="AC348" s="261"/>
      <c r="AD348" s="268">
        <f>Tabla_query__2[[#This Row],[Número
Semanas]]*Tabla_query__2[[#This Row],[Número
Personas]]*Tabla_query__2[[#This Row],[Costo
Mano Obra/semana]] + 640</f>
        <v>6140</v>
      </c>
      <c r="AE348" s="261"/>
      <c r="AF348" s="261"/>
      <c r="AG348" s="261"/>
      <c r="AH348" s="261"/>
      <c r="AI348" s="261"/>
      <c r="AJ348" s="282" t="e">
        <f>#REF!</f>
        <v>#REF!</v>
      </c>
      <c r="AK348" s="261"/>
      <c r="AL348" s="261"/>
      <c r="AM348" s="282">
        <f t="shared" si="18"/>
        <v>0</v>
      </c>
      <c r="AN348" s="261"/>
      <c r="AO348" s="261"/>
      <c r="AP348" s="384">
        <f>Tabla_query__2[[#This Row],[InicioDes]]</f>
        <v>0</v>
      </c>
      <c r="AQ348" s="384">
        <f>Tabla_query__2[[#This Row],[FinDes2]]</f>
        <v>0</v>
      </c>
      <c r="AR348" s="462">
        <f>Tabla_query__2[[#This Row],[Número
Semanas]]/4</f>
        <v>2.5</v>
      </c>
      <c r="AS348" s="269">
        <f>Tabla_query__2[[#This Row],[FinDes2]]-Tabla_query__2[[#This Row],[InicioDes2]]</f>
        <v>0</v>
      </c>
      <c r="AT348" s="261"/>
      <c r="AV348" s="293"/>
    </row>
    <row r="349" spans="1:48" ht="45" customHeight="1">
      <c r="A349" s="318" t="s">
        <v>130</v>
      </c>
      <c r="B349" s="262" t="s">
        <v>131</v>
      </c>
      <c r="C349" s="262" t="s">
        <v>132</v>
      </c>
      <c r="D349" s="605" t="s">
        <v>931</v>
      </c>
      <c r="E349" s="262" t="s">
        <v>134</v>
      </c>
      <c r="F349" s="259" t="s">
        <v>932</v>
      </c>
      <c r="G349" s="259" t="s">
        <v>136</v>
      </c>
      <c r="H349" s="259" t="s">
        <v>204</v>
      </c>
      <c r="I349" s="262" t="s">
        <v>260</v>
      </c>
      <c r="J349" s="262" t="s">
        <v>4</v>
      </c>
      <c r="K349" s="262"/>
      <c r="L349" s="262"/>
      <c r="M349" s="266" t="s">
        <v>206</v>
      </c>
      <c r="N349" s="262" t="s">
        <v>29</v>
      </c>
      <c r="O349" s="722" t="s">
        <v>933</v>
      </c>
      <c r="P349" s="262" t="s">
        <v>28</v>
      </c>
      <c r="Q349" s="262" t="s">
        <v>143</v>
      </c>
      <c r="R349" s="262" t="s">
        <v>197</v>
      </c>
      <c r="S349" s="261"/>
      <c r="T349" s="547" t="s">
        <v>152</v>
      </c>
      <c r="U349" s="261" t="s">
        <v>934</v>
      </c>
      <c r="V349" s="261" t="s">
        <v>136</v>
      </c>
      <c r="W349" s="261"/>
      <c r="X349" s="261">
        <v>5</v>
      </c>
      <c r="Y349" s="261">
        <f>Tabla_query__2[[#This Row],[Número
Semanas]]*5*8</f>
        <v>200</v>
      </c>
      <c r="Z349" s="268">
        <f>Tabla_query__2[[#This Row],[TOTAL]]/Tabla_query__2[[#This Row],[Número de Horas]]/2</f>
        <v>15.35</v>
      </c>
      <c r="AA349" s="261">
        <v>2</v>
      </c>
      <c r="AB349" s="261">
        <v>550</v>
      </c>
      <c r="AC349" s="261"/>
      <c r="AD349" s="268">
        <f>Tabla_query__2[[#This Row],[Número
Semanas]]*Tabla_query__2[[#This Row],[Número
Personas]]*Tabla_query__2[[#This Row],[Costo
Mano Obra/semana]] + 640</f>
        <v>6140</v>
      </c>
      <c r="AE349" s="261"/>
      <c r="AF349" s="261"/>
      <c r="AG349" s="547" t="s">
        <v>365</v>
      </c>
      <c r="AH349" s="463">
        <v>45296</v>
      </c>
      <c r="AI349" s="463">
        <v>45348</v>
      </c>
      <c r="AJ349" s="462">
        <f>Tabla_query__2[[#This Row],[FinDes]]-Tabla_query__2[[#This Row],[InicioDes]]</f>
        <v>52</v>
      </c>
      <c r="AK349" s="463">
        <v>45348</v>
      </c>
      <c r="AL349" s="463">
        <v>45352</v>
      </c>
      <c r="AM349" s="462">
        <f t="shared" si="18"/>
        <v>362788</v>
      </c>
      <c r="AN349" s="463">
        <v>45352</v>
      </c>
      <c r="AO349" s="463">
        <v>45359</v>
      </c>
      <c r="AP349" s="463">
        <v>45296</v>
      </c>
      <c r="AQ349" s="463">
        <v>45359</v>
      </c>
      <c r="AR349" s="462">
        <f>Tabla_query__2[[#This Row],[Número
Semanas]]/4</f>
        <v>1.25</v>
      </c>
      <c r="AS349" s="269">
        <f>Tabla_query__2[[#This Row],[FinDes2]]-Tabla_query__2[[#This Row],[InicioDes2]]</f>
        <v>7</v>
      </c>
      <c r="AT349" s="261"/>
    </row>
    <row r="350" spans="1:48" ht="44.25" customHeight="1">
      <c r="A350" s="318" t="s">
        <v>130</v>
      </c>
      <c r="B350" s="262" t="s">
        <v>131</v>
      </c>
      <c r="C350" s="514" t="s">
        <v>132</v>
      </c>
      <c r="D350" s="262" t="s">
        <v>133</v>
      </c>
      <c r="E350" s="262" t="s">
        <v>134</v>
      </c>
      <c r="F350" s="264" t="s">
        <v>135</v>
      </c>
      <c r="G350" s="259" t="s">
        <v>136</v>
      </c>
      <c r="H350" s="259" t="s">
        <v>137</v>
      </c>
      <c r="I350" s="262" t="s">
        <v>138</v>
      </c>
      <c r="J350" s="262" t="s">
        <v>139</v>
      </c>
      <c r="K350" s="262"/>
      <c r="L350" s="262"/>
      <c r="M350" s="266" t="s">
        <v>206</v>
      </c>
      <c r="N350" s="262" t="s">
        <v>504</v>
      </c>
      <c r="O350" s="722" t="s">
        <v>505</v>
      </c>
      <c r="P350" s="262" t="s">
        <v>139</v>
      </c>
      <c r="Q350" s="262" t="s">
        <v>143</v>
      </c>
      <c r="R350" s="262" t="s">
        <v>144</v>
      </c>
      <c r="S350" s="261" t="s">
        <v>152</v>
      </c>
      <c r="T350" s="261" t="s">
        <v>152</v>
      </c>
      <c r="U350" s="261"/>
      <c r="V350" s="261" t="s">
        <v>146</v>
      </c>
      <c r="W350" s="261">
        <v>1</v>
      </c>
      <c r="X350" s="261">
        <v>6</v>
      </c>
      <c r="Y350" s="261">
        <f>Tabla_query__2[[#This Row],[Número
Semanas]]*5*8</f>
        <v>240</v>
      </c>
      <c r="Z350" s="268">
        <f>Tabla_query__2[[#This Row],[TOTAL]]/Tabla_query__2[[#This Row],[Número de Horas]]/2</f>
        <v>8.2083333333333339</v>
      </c>
      <c r="AA350" s="261">
        <v>1</v>
      </c>
      <c r="AB350" s="261">
        <v>550</v>
      </c>
      <c r="AC350" s="261"/>
      <c r="AD350" s="387">
        <f>(Tabla_query__2[[#This Row],[Número
Semanas]]*Tabla_query__2[[#This Row],[Número
Personas]]*Tabla_query__2[[#This Row],[Costo
Mano Obra/semana]]+640)*Tabla_query__2[[#This Row],[Factor País]]</f>
        <v>3940</v>
      </c>
      <c r="AE350" s="261"/>
      <c r="AF350" s="261"/>
      <c r="AG350" s="591" t="s">
        <v>159</v>
      </c>
      <c r="AH350" s="281">
        <v>45355</v>
      </c>
      <c r="AI350" s="281">
        <v>45369</v>
      </c>
      <c r="AJ350" s="281">
        <f>Tabla_query__2[[#This Row],[FinDes]]-Tabla_query__2[[#This Row],[InicioDes]]</f>
        <v>14</v>
      </c>
      <c r="AK350" s="281">
        <v>45369</v>
      </c>
      <c r="AL350" s="281">
        <v>45376</v>
      </c>
      <c r="AM350" s="281">
        <f t="shared" si="18"/>
        <v>362959</v>
      </c>
      <c r="AN350" s="281">
        <v>45376</v>
      </c>
      <c r="AO350" s="281">
        <v>45390</v>
      </c>
      <c r="AP350" s="281">
        <v>45474</v>
      </c>
      <c r="AQ350" s="281">
        <f>Tabla_query__2[[#This Row],[Inicio Real]]+(Tabla_query__2[[#This Row],[Número
Semanas]]*7)</f>
        <v>45516</v>
      </c>
      <c r="AR350" s="462">
        <f>Tabla_query__2[[#This Row],[Número
Semanas]]/4</f>
        <v>1.5</v>
      </c>
      <c r="AS350" s="269">
        <f>Tabla_query__2[[#This Row],[FinDes2]]-Tabla_query__2[[#This Row],[InicioDes2]]</f>
        <v>14</v>
      </c>
      <c r="AT350" s="261" t="s">
        <v>155</v>
      </c>
      <c r="AV350" s="434" t="s">
        <v>148</v>
      </c>
    </row>
    <row r="351" spans="1:48" ht="72" customHeight="1">
      <c r="A351" s="318" t="s">
        <v>130</v>
      </c>
      <c r="B351" s="262" t="s">
        <v>131</v>
      </c>
      <c r="C351" s="262" t="s">
        <v>162</v>
      </c>
      <c r="D351" s="262" t="s">
        <v>794</v>
      </c>
      <c r="E351" s="262" t="s">
        <v>164</v>
      </c>
      <c r="F351" s="259" t="s">
        <v>935</v>
      </c>
      <c r="G351" s="259" t="s">
        <v>146</v>
      </c>
      <c r="H351" s="259" t="s">
        <v>137</v>
      </c>
      <c r="I351" s="262" t="s">
        <v>138</v>
      </c>
      <c r="J351" s="262" t="s">
        <v>139</v>
      </c>
      <c r="K351" s="262"/>
      <c r="L351" s="262"/>
      <c r="M351" s="266" t="s">
        <v>206</v>
      </c>
      <c r="N351" s="262" t="s">
        <v>504</v>
      </c>
      <c r="O351" s="722" t="s">
        <v>505</v>
      </c>
      <c r="P351" s="262" t="s">
        <v>139</v>
      </c>
      <c r="Q351" s="262" t="s">
        <v>143</v>
      </c>
      <c r="R351" s="262" t="s">
        <v>144</v>
      </c>
      <c r="S351" s="261"/>
      <c r="T351" s="261" t="s">
        <v>145</v>
      </c>
      <c r="U351" s="261" t="s">
        <v>166</v>
      </c>
      <c r="V351" s="261" t="s">
        <v>146</v>
      </c>
      <c r="W351" s="261">
        <v>1</v>
      </c>
      <c r="X351" s="261">
        <v>2</v>
      </c>
      <c r="Y351" s="261">
        <f>Tabla_query__2[[#This Row],[Número
Semanas]]*5*8</f>
        <v>80</v>
      </c>
      <c r="Z351" s="268">
        <f>Tabla_query__2[[#This Row],[TOTAL]]/Tabla_query__2[[#This Row],[Número de Horas]]/2</f>
        <v>8.875</v>
      </c>
      <c r="AA351" s="261">
        <v>1</v>
      </c>
      <c r="AB351" s="261">
        <v>550</v>
      </c>
      <c r="AC351" s="261"/>
      <c r="AD351" s="387">
        <v>1420</v>
      </c>
      <c r="AE351" s="261"/>
      <c r="AF351" s="261"/>
      <c r="AG351" s="591" t="s">
        <v>159</v>
      </c>
      <c r="AH351" s="281">
        <v>45383</v>
      </c>
      <c r="AI351" s="281">
        <v>45397</v>
      </c>
      <c r="AJ351" s="281">
        <f>Tabla_query__2[[#This Row],[FinDes]]-Tabla_query__2[[#This Row],[InicioDes]]</f>
        <v>14</v>
      </c>
      <c r="AK351" s="281">
        <v>45397</v>
      </c>
      <c r="AL351" s="281">
        <v>45404</v>
      </c>
      <c r="AM351" s="281">
        <f t="shared" si="18"/>
        <v>363183</v>
      </c>
      <c r="AN351" s="281">
        <v>45404</v>
      </c>
      <c r="AO351" s="281">
        <v>45688</v>
      </c>
      <c r="AP351" s="281">
        <v>45474</v>
      </c>
      <c r="AQ351" s="281">
        <f>Tabla_query__2[[#This Row],[Inicio Real]]+(Tabla_query__2[[#This Row],[Número
Semanas]]*7)</f>
        <v>45488</v>
      </c>
      <c r="AR351" s="462">
        <f>Tabla_query__2[[#This Row],[Número
Semanas]]/4</f>
        <v>0.5</v>
      </c>
      <c r="AS351" s="269">
        <f>Tabla_query__2[[#This Row],[FinDes2]]-Tabla_query__2[[#This Row],[InicioDes2]]</f>
        <v>284</v>
      </c>
      <c r="AT351" s="261" t="s">
        <v>155</v>
      </c>
    </row>
    <row r="352" spans="1:48" ht="23.25" customHeight="1">
      <c r="A352" s="318" t="s">
        <v>130</v>
      </c>
      <c r="B352" s="262" t="s">
        <v>457</v>
      </c>
      <c r="C352" s="262"/>
      <c r="D352" s="266" t="s">
        <v>936</v>
      </c>
      <c r="E352" s="262"/>
      <c r="F352" s="259" t="s">
        <v>937</v>
      </c>
      <c r="G352" s="259"/>
      <c r="H352" s="259" t="s">
        <v>204</v>
      </c>
      <c r="I352" s="262"/>
      <c r="J352" s="262" t="s">
        <v>4</v>
      </c>
      <c r="K352" s="262"/>
      <c r="L352" s="262"/>
      <c r="M352" s="262" t="s">
        <v>206</v>
      </c>
      <c r="N352" s="262" t="s">
        <v>20</v>
      </c>
      <c r="O352" s="722" t="s">
        <v>938</v>
      </c>
      <c r="P352" s="262" t="s">
        <v>19</v>
      </c>
      <c r="Q352" s="262" t="s">
        <v>298</v>
      </c>
      <c r="R352" s="526" t="s">
        <v>144</v>
      </c>
      <c r="S352" s="261"/>
      <c r="T352" s="261" t="s">
        <v>320</v>
      </c>
      <c r="U352" s="261"/>
      <c r="V352" s="261" t="s">
        <v>146</v>
      </c>
      <c r="W352" s="261"/>
      <c r="X352" s="261">
        <v>8</v>
      </c>
      <c r="Y352" s="261">
        <f>Tabla_query__2[[#This Row],[Número
Semanas]]*5*8</f>
        <v>320</v>
      </c>
      <c r="Z352" s="268">
        <f>Tabla_query__2[[#This Row],[TOTAL]]/Tabla_query__2[[#This Row],[Número de Horas]]/2</f>
        <v>7.875</v>
      </c>
      <c r="AA352" s="261">
        <v>1</v>
      </c>
      <c r="AB352" s="261">
        <v>550</v>
      </c>
      <c r="AC352" s="261"/>
      <c r="AD352" s="268">
        <f>Tabla_query__2[[#This Row],[Número
Semanas]]*Tabla_query__2[[#This Row],[Número
Personas]]*Tabla_query__2[[#This Row],[Costo
Mano Obra/semana]] + 640</f>
        <v>5040</v>
      </c>
      <c r="AE352" s="261"/>
      <c r="AF352" s="261"/>
      <c r="AG352" s="261"/>
      <c r="AH352" s="261"/>
      <c r="AI352" s="261"/>
      <c r="AJ352" s="282" t="e">
        <f>#REF!</f>
        <v>#REF!</v>
      </c>
      <c r="AK352" s="261"/>
      <c r="AL352" s="261"/>
      <c r="AM352" s="282">
        <f t="shared" si="18"/>
        <v>0</v>
      </c>
      <c r="AN352" s="261"/>
      <c r="AO352" s="261"/>
      <c r="AP352" s="384">
        <f>Tabla_query__2[[#This Row],[InicioDes]]</f>
        <v>0</v>
      </c>
      <c r="AQ352" s="384">
        <f>Tabla_query__2[[#This Row],[FinDes2]]</f>
        <v>0</v>
      </c>
      <c r="AR352" s="462">
        <f>Tabla_query__2[[#This Row],[Número
Semanas]]/4</f>
        <v>2</v>
      </c>
      <c r="AS352" s="269">
        <f>Tabla_query__2[[#This Row],[FinDes2]]-Tabla_query__2[[#This Row],[InicioDes2]]</f>
        <v>0</v>
      </c>
      <c r="AT352" s="261"/>
    </row>
    <row r="353" spans="1:48" ht="21" customHeight="1">
      <c r="A353" s="318" t="s">
        <v>130</v>
      </c>
      <c r="B353" s="262" t="s">
        <v>457</v>
      </c>
      <c r="C353" s="262"/>
      <c r="D353" s="266" t="s">
        <v>939</v>
      </c>
      <c r="E353" s="262"/>
      <c r="F353" s="259" t="s">
        <v>940</v>
      </c>
      <c r="G353" s="259"/>
      <c r="H353" s="259" t="s">
        <v>204</v>
      </c>
      <c r="I353" s="262" t="s">
        <v>941</v>
      </c>
      <c r="J353" s="262" t="s">
        <v>4</v>
      </c>
      <c r="K353" s="262"/>
      <c r="L353" s="262"/>
      <c r="M353" s="262" t="s">
        <v>206</v>
      </c>
      <c r="N353" s="262" t="s">
        <v>20</v>
      </c>
      <c r="O353" s="722" t="s">
        <v>938</v>
      </c>
      <c r="P353" s="262" t="s">
        <v>19</v>
      </c>
      <c r="Q353" s="262" t="s">
        <v>298</v>
      </c>
      <c r="R353" s="526" t="s">
        <v>144</v>
      </c>
      <c r="S353" s="261" t="s">
        <v>221</v>
      </c>
      <c r="T353" s="261" t="s">
        <v>320</v>
      </c>
      <c r="U353" s="261" t="s">
        <v>678</v>
      </c>
      <c r="V353" s="261" t="s">
        <v>136</v>
      </c>
      <c r="W353" s="261"/>
      <c r="X353" s="261">
        <v>12</v>
      </c>
      <c r="Y353" s="261">
        <f>Tabla_query__2[[#This Row],[Número
Semanas]]*5*8</f>
        <v>480</v>
      </c>
      <c r="Z353" s="268">
        <f>Tabla_query__2[[#This Row],[TOTAL]]/Tabla_query__2[[#This Row],[Número de Horas]]/2</f>
        <v>14.416666666666666</v>
      </c>
      <c r="AA353" s="261">
        <v>2</v>
      </c>
      <c r="AB353" s="261">
        <v>550</v>
      </c>
      <c r="AC353" s="261"/>
      <c r="AD353" s="268">
        <f>Tabla_query__2[[#This Row],[Número
Semanas]]*Tabla_query__2[[#This Row],[Número
Personas]]*Tabla_query__2[[#This Row],[Costo
Mano Obra/semana]] + 640</f>
        <v>13840</v>
      </c>
      <c r="AE353" s="261"/>
      <c r="AF353" s="261"/>
      <c r="AG353" s="261"/>
      <c r="AH353" s="267">
        <v>45505</v>
      </c>
      <c r="AI353" s="267">
        <v>45566</v>
      </c>
      <c r="AJ353" s="282" t="e">
        <f>#REF!</f>
        <v>#REF!</v>
      </c>
      <c r="AK353" s="267">
        <v>45566</v>
      </c>
      <c r="AL353" s="267">
        <v>45572</v>
      </c>
      <c r="AM353" s="282">
        <f t="shared" si="18"/>
        <v>364534</v>
      </c>
      <c r="AN353" s="267">
        <v>45213</v>
      </c>
      <c r="AO353" s="267">
        <v>45220</v>
      </c>
      <c r="AP353" s="384">
        <f>Tabla_query__2[[#This Row],[InicioDes]]</f>
        <v>45505</v>
      </c>
      <c r="AQ353" s="384">
        <f>Tabla_query__2[[#This Row],[FinDes2]]</f>
        <v>45220</v>
      </c>
      <c r="AR353" s="462">
        <f>Tabla_query__2[[#This Row],[Número
Semanas]]/4</f>
        <v>3</v>
      </c>
      <c r="AS353" s="269">
        <f>Tabla_query__2[[#This Row],[FinDes2]]-Tabla_query__2[[#This Row],[InicioDes2]]</f>
        <v>7</v>
      </c>
      <c r="AT353" s="261"/>
      <c r="AU353" t="s">
        <v>942</v>
      </c>
      <c r="AV353" s="289"/>
    </row>
    <row r="354" spans="1:48">
      <c r="A354" s="318" t="s">
        <v>130</v>
      </c>
      <c r="B354" s="262" t="s">
        <v>218</v>
      </c>
      <c r="C354" s="262"/>
      <c r="D354" s="262" t="s">
        <v>943</v>
      </c>
      <c r="E354" s="262"/>
      <c r="F354" s="262" t="s">
        <v>944</v>
      </c>
      <c r="G354" s="262"/>
      <c r="H354" s="262" t="s">
        <v>204</v>
      </c>
      <c r="I354" s="262" t="s">
        <v>945</v>
      </c>
      <c r="J354" s="262" t="s">
        <v>137</v>
      </c>
      <c r="K354" s="262"/>
      <c r="L354" s="262"/>
      <c r="M354" s="262" t="s">
        <v>945</v>
      </c>
      <c r="N354" s="262" t="s">
        <v>946</v>
      </c>
      <c r="O354" s="722" t="s">
        <v>947</v>
      </c>
      <c r="P354" s="262" t="s">
        <v>948</v>
      </c>
      <c r="Q354" s="262" t="s">
        <v>143</v>
      </c>
      <c r="R354" s="262" t="s">
        <v>144</v>
      </c>
      <c r="S354" s="262"/>
      <c r="T354" s="261" t="s">
        <v>221</v>
      </c>
      <c r="U354" s="261"/>
      <c r="V354" s="261" t="s">
        <v>136</v>
      </c>
      <c r="W354" s="261"/>
      <c r="X354" s="261">
        <v>7</v>
      </c>
      <c r="Y354" s="261">
        <f>Tabla_query__2[[#This Row],[Número
Semanas]]*5*8</f>
        <v>280</v>
      </c>
      <c r="Z354" s="268">
        <f>Tabla_query__2[[#This Row],[TOTAL]]/Tabla_query__2[[#This Row],[Número de Horas]]/2</f>
        <v>12.392857142857142</v>
      </c>
      <c r="AA354" s="261">
        <v>2</v>
      </c>
      <c r="AB354" s="261">
        <v>450</v>
      </c>
      <c r="AC354" s="261"/>
      <c r="AD354" s="268">
        <f>Tabla_query__2[[#This Row],[Número
Semanas]]*Tabla_query__2[[#This Row],[Número
Personas]]*Tabla_query__2[[#This Row],[Costo
Mano Obra/semana]] + 640</f>
        <v>6940</v>
      </c>
      <c r="AE354" s="261"/>
      <c r="AF354" s="261"/>
      <c r="AG354" s="261"/>
      <c r="AH354" s="267">
        <v>45427</v>
      </c>
      <c r="AI354" s="267">
        <v>45483</v>
      </c>
      <c r="AJ354" s="282" t="e">
        <f>#REF!</f>
        <v>#REF!</v>
      </c>
      <c r="AK354" s="267">
        <v>45483</v>
      </c>
      <c r="AL354" s="267">
        <v>45497</v>
      </c>
      <c r="AM354" s="282">
        <f t="shared" si="18"/>
        <v>363878</v>
      </c>
      <c r="AN354" s="267"/>
      <c r="AO354" s="267">
        <v>45497</v>
      </c>
      <c r="AP354" s="384">
        <f>Tabla_query__2[[#This Row],[InicioDes]]</f>
        <v>45427</v>
      </c>
      <c r="AQ354" s="384">
        <f>Tabla_query__2[[#This Row],[FinDes2]]</f>
        <v>45497</v>
      </c>
      <c r="AR354" s="462">
        <f>Tabla_query__2[[#This Row],[Número
Semanas]]/4</f>
        <v>1.75</v>
      </c>
      <c r="AS354" s="269">
        <f>Tabla_query__2[[#This Row],[FinDes2]]-Tabla_query__2[[#This Row],[InicioDes2]]</f>
        <v>45497</v>
      </c>
      <c r="AT354" s="261"/>
    </row>
    <row r="355" spans="1:48">
      <c r="A355" s="318" t="s">
        <v>130</v>
      </c>
      <c r="B355" s="262" t="s">
        <v>218</v>
      </c>
      <c r="C355" s="262"/>
      <c r="D355" s="262" t="s">
        <v>949</v>
      </c>
      <c r="E355" s="262"/>
      <c r="F355" s="262"/>
      <c r="G355" s="262"/>
      <c r="H355" s="262" t="s">
        <v>204</v>
      </c>
      <c r="I355" s="262" t="s">
        <v>220</v>
      </c>
      <c r="J355" s="262" t="s">
        <v>137</v>
      </c>
      <c r="K355" s="262"/>
      <c r="L355" s="262"/>
      <c r="M355" s="262" t="s">
        <v>945</v>
      </c>
      <c r="N355" s="262" t="s">
        <v>946</v>
      </c>
      <c r="O355" s="722" t="s">
        <v>947</v>
      </c>
      <c r="P355" s="262" t="s">
        <v>948</v>
      </c>
      <c r="Q355" s="262" t="s">
        <v>143</v>
      </c>
      <c r="R355" s="262" t="s">
        <v>179</v>
      </c>
      <c r="S355" s="262"/>
      <c r="T355" s="261" t="s">
        <v>320</v>
      </c>
      <c r="U355" s="261"/>
      <c r="V355" s="261" t="s">
        <v>146</v>
      </c>
      <c r="W355" s="261"/>
      <c r="X355" s="261">
        <v>40</v>
      </c>
      <c r="Y355" s="261">
        <f>Tabla_query__2[[#This Row],[Número
Semanas]]*5*8</f>
        <v>1600</v>
      </c>
      <c r="Z355" s="268">
        <f>Tabla_query__2[[#This Row],[TOTAL]]/Tabla_query__2[[#This Row],[Número de Horas]]/2</f>
        <v>4.8875000000000002</v>
      </c>
      <c r="AA355" s="261">
        <v>1</v>
      </c>
      <c r="AB355" s="261">
        <v>375</v>
      </c>
      <c r="AC355" s="261"/>
      <c r="AD355" s="268">
        <f>Tabla_query__2[[#This Row],[Número
Semanas]]*Tabla_query__2[[#This Row],[Número
Personas]]*Tabla_query__2[[#This Row],[Costo
Mano Obra/semana]] + 640</f>
        <v>15640</v>
      </c>
      <c r="AE355" s="261"/>
      <c r="AF355" s="261"/>
      <c r="AG355" s="261"/>
      <c r="AH355" s="267">
        <v>45352</v>
      </c>
      <c r="AI355" s="267">
        <v>45688</v>
      </c>
      <c r="AJ355" s="282" t="e">
        <f>#REF!</f>
        <v>#REF!</v>
      </c>
      <c r="AK355" s="267">
        <v>45352</v>
      </c>
      <c r="AL355" s="267">
        <v>45688</v>
      </c>
      <c r="AM355" s="282">
        <f t="shared" si="18"/>
        <v>363152</v>
      </c>
      <c r="AN355" s="267"/>
      <c r="AO355" s="267">
        <v>45688</v>
      </c>
      <c r="AP355" s="384">
        <f>Tabla_query__2[[#This Row],[InicioDes]]</f>
        <v>45352</v>
      </c>
      <c r="AQ355" s="384">
        <f>Tabla_query__2[[#This Row],[FinDes2]]</f>
        <v>45688</v>
      </c>
      <c r="AR355" s="462">
        <f>Tabla_query__2[[#This Row],[Número
Semanas]]/4</f>
        <v>10</v>
      </c>
      <c r="AS355" s="269">
        <f>Tabla_query__2[[#This Row],[FinDes2]]-Tabla_query__2[[#This Row],[InicioDes2]]</f>
        <v>45688</v>
      </c>
      <c r="AT355" s="261"/>
    </row>
    <row r="356" spans="1:48" ht="23.25">
      <c r="A356" s="318" t="s">
        <v>130</v>
      </c>
      <c r="B356" s="262" t="s">
        <v>134</v>
      </c>
      <c r="C356" s="262"/>
      <c r="D356" s="266" t="s">
        <v>950</v>
      </c>
      <c r="E356" s="262"/>
      <c r="F356" s="259" t="s">
        <v>951</v>
      </c>
      <c r="G356" s="259"/>
      <c r="H356" s="259" t="s">
        <v>204</v>
      </c>
      <c r="I356" s="262"/>
      <c r="J356" s="262" t="s">
        <v>137</v>
      </c>
      <c r="K356" s="262"/>
      <c r="L356" s="262"/>
      <c r="M356" s="262" t="s">
        <v>945</v>
      </c>
      <c r="N356" s="262" t="s">
        <v>946</v>
      </c>
      <c r="O356" s="722" t="s">
        <v>947</v>
      </c>
      <c r="P356" s="262" t="s">
        <v>948</v>
      </c>
      <c r="Q356" s="262" t="s">
        <v>143</v>
      </c>
      <c r="R356" s="262" t="s">
        <v>144</v>
      </c>
      <c r="S356" s="261"/>
      <c r="T356" s="261" t="s">
        <v>145</v>
      </c>
      <c r="U356" s="261"/>
      <c r="V356" s="261" t="s">
        <v>210</v>
      </c>
      <c r="W356" s="261">
        <v>1</v>
      </c>
      <c r="X356" s="381">
        <v>1</v>
      </c>
      <c r="Y356" s="381">
        <f>Tabla_query__2[[#This Row],[Número
Semanas]]*5*8</f>
        <v>40</v>
      </c>
      <c r="Z356" s="646">
        <f>Tabla_query__2[[#This Row],[TOTAL]]/Tabla_query__2[[#This Row],[Número de Horas]]/2</f>
        <v>23.4375</v>
      </c>
      <c r="AA356" s="261">
        <v>3</v>
      </c>
      <c r="AB356" s="261">
        <v>625</v>
      </c>
      <c r="AC356" s="261"/>
      <c r="AD356" s="388">
        <f>Tabla_query__2[[#This Row],[Número
Semanas]]*Tabla_query__2[[#This Row],[Número
Personas]]*Tabla_query__2[[#This Row],[Costo
Mano Obra/semana]]</f>
        <v>1875</v>
      </c>
      <c r="AE356" s="261"/>
      <c r="AF356" s="261"/>
      <c r="AG356" s="261"/>
      <c r="AH356" s="713">
        <v>45753</v>
      </c>
      <c r="AI356" s="716">
        <v>45765</v>
      </c>
      <c r="AJ356" s="282" t="e">
        <f>#REF!</f>
        <v>#REF!</v>
      </c>
      <c r="AK356" s="267">
        <v>45403</v>
      </c>
      <c r="AL356" s="267">
        <v>45408</v>
      </c>
      <c r="AM356" s="282">
        <f t="shared" si="18"/>
        <v>363229</v>
      </c>
      <c r="AN356" s="267">
        <v>45410</v>
      </c>
      <c r="AO356" s="267">
        <v>45412</v>
      </c>
      <c r="AP356" s="384">
        <f>Tabla_query__2[[#This Row],[InicioDes]]</f>
        <v>45753</v>
      </c>
      <c r="AQ356" s="384">
        <f>Tabla_query__2[[#This Row],[FinDes2]]</f>
        <v>45412</v>
      </c>
      <c r="AR356" s="462">
        <f>Tabla_query__2[[#This Row],[Número
Semanas]]/4</f>
        <v>0.25</v>
      </c>
      <c r="AS356" s="269">
        <f>Tabla_query__2[[#This Row],[FinDes2]]-Tabla_query__2[[#This Row],[InicioDes2]]</f>
        <v>2</v>
      </c>
      <c r="AT356" s="261"/>
    </row>
    <row r="357" spans="1:48" s="97" customFormat="1" ht="17.25" customHeight="1">
      <c r="A357" s="318" t="s">
        <v>130</v>
      </c>
      <c r="B357" s="262" t="s">
        <v>134</v>
      </c>
      <c r="C357" s="262"/>
      <c r="D357" s="266" t="s">
        <v>952</v>
      </c>
      <c r="E357" s="266"/>
      <c r="F357" s="259" t="s">
        <v>953</v>
      </c>
      <c r="G357" s="259"/>
      <c r="H357" s="259" t="s">
        <v>204</v>
      </c>
      <c r="I357" s="262"/>
      <c r="J357" s="262" t="s">
        <v>137</v>
      </c>
      <c r="K357" s="262"/>
      <c r="L357" s="262"/>
      <c r="M357" s="262" t="s">
        <v>945</v>
      </c>
      <c r="N357" s="262" t="s">
        <v>946</v>
      </c>
      <c r="O357" s="722" t="s">
        <v>947</v>
      </c>
      <c r="P357" s="262" t="s">
        <v>948</v>
      </c>
      <c r="Q357" s="262" t="s">
        <v>143</v>
      </c>
      <c r="R357" s="262" t="s">
        <v>144</v>
      </c>
      <c r="S357" s="261"/>
      <c r="T357" s="261" t="s">
        <v>221</v>
      </c>
      <c r="U357" s="261"/>
      <c r="V357" s="261" t="s">
        <v>210</v>
      </c>
      <c r="W357" s="261">
        <v>1</v>
      </c>
      <c r="X357" s="261">
        <v>1</v>
      </c>
      <c r="Y357" s="261">
        <f>Tabla_query__2[[#This Row],[Número
Semanas]]*5*8</f>
        <v>40</v>
      </c>
      <c r="Z357" s="268">
        <f>Tabla_query__2[[#This Row],[TOTAL]]/Tabla_query__2[[#This Row],[Número de Horas]]/2</f>
        <v>31.25</v>
      </c>
      <c r="AA357" s="261">
        <v>4</v>
      </c>
      <c r="AB357" s="261">
        <v>625</v>
      </c>
      <c r="AC357" s="261"/>
      <c r="AD357" s="268">
        <f>Tabla_query__2[[#This Row],[Número
Semanas]]*Tabla_query__2[[#This Row],[Número
Personas]]*Tabla_query__2[[#This Row],[Costo
Mano Obra/semana]]</f>
        <v>2500</v>
      </c>
      <c r="AE357" s="261"/>
      <c r="AF357" s="261"/>
      <c r="AG357" s="261"/>
      <c r="AH357" s="267">
        <v>45522</v>
      </c>
      <c r="AI357" s="267">
        <v>45548</v>
      </c>
      <c r="AJ357" s="282" t="e">
        <f>#REF!</f>
        <v>#REF!</v>
      </c>
      <c r="AK357" s="267">
        <v>45551</v>
      </c>
      <c r="AL357" s="267">
        <v>45555</v>
      </c>
      <c r="AM357" s="282">
        <f t="shared" si="18"/>
        <v>364412</v>
      </c>
      <c r="AN357" s="267">
        <v>45558</v>
      </c>
      <c r="AO357" s="267">
        <v>45560</v>
      </c>
      <c r="AP357" s="384">
        <f>Tabla_query__2[[#This Row],[InicioDes]]</f>
        <v>45522</v>
      </c>
      <c r="AQ357" s="384">
        <f>Tabla_query__2[[#This Row],[FinDes2]]</f>
        <v>45560</v>
      </c>
      <c r="AR357" s="462">
        <f>Tabla_query__2[[#This Row],[Número
Semanas]]/4</f>
        <v>0.25</v>
      </c>
      <c r="AS357" s="269">
        <f>Tabla_query__2[[#This Row],[FinDes2]]-Tabla_query__2[[#This Row],[InicioDes2]]</f>
        <v>2</v>
      </c>
      <c r="AT357" s="261"/>
      <c r="AU357"/>
      <c r="AV357"/>
    </row>
    <row r="358" spans="1:48">
      <c r="A358" s="318" t="s">
        <v>130</v>
      </c>
      <c r="B358" s="262" t="s">
        <v>134</v>
      </c>
      <c r="C358" s="262"/>
      <c r="D358" s="266" t="s">
        <v>954</v>
      </c>
      <c r="E358" s="266"/>
      <c r="F358" s="259" t="s">
        <v>955</v>
      </c>
      <c r="G358" s="259"/>
      <c r="H358" s="259" t="s">
        <v>204</v>
      </c>
      <c r="I358" s="262"/>
      <c r="J358" s="262" t="s">
        <v>137</v>
      </c>
      <c r="K358" s="262"/>
      <c r="L358" s="262"/>
      <c r="M358" s="262" t="s">
        <v>945</v>
      </c>
      <c r="N358" s="262" t="s">
        <v>946</v>
      </c>
      <c r="O358" s="722" t="s">
        <v>947</v>
      </c>
      <c r="P358" s="262" t="s">
        <v>948</v>
      </c>
      <c r="Q358" s="262" t="s">
        <v>143</v>
      </c>
      <c r="R358" s="262" t="s">
        <v>144</v>
      </c>
      <c r="S358" s="261"/>
      <c r="T358" s="261" t="s">
        <v>221</v>
      </c>
      <c r="U358" s="261"/>
      <c r="V358" s="261" t="s">
        <v>210</v>
      </c>
      <c r="W358" s="261">
        <v>1</v>
      </c>
      <c r="X358" s="261">
        <v>1</v>
      </c>
      <c r="Y358" s="261">
        <f>Tabla_query__2[[#This Row],[Número
Semanas]]*5*8</f>
        <v>40</v>
      </c>
      <c r="Z358" s="268">
        <f>Tabla_query__2[[#This Row],[TOTAL]]/Tabla_query__2[[#This Row],[Número de Horas]]/2</f>
        <v>46.875</v>
      </c>
      <c r="AA358" s="261">
        <v>6</v>
      </c>
      <c r="AB358" s="261">
        <v>625</v>
      </c>
      <c r="AC358" s="261"/>
      <c r="AD358" s="268">
        <f>Tabla_query__2[[#This Row],[Número
Semanas]]*Tabla_query__2[[#This Row],[Número
Personas]]*Tabla_query__2[[#This Row],[Costo
Mano Obra/semana]]</f>
        <v>3750</v>
      </c>
      <c r="AE358" s="261"/>
      <c r="AF358" s="261"/>
      <c r="AG358" s="261"/>
      <c r="AH358" s="267">
        <v>45474</v>
      </c>
      <c r="AI358" s="267">
        <v>45506</v>
      </c>
      <c r="AJ358" s="282" t="e">
        <f>#REF!</f>
        <v>#REF!</v>
      </c>
      <c r="AK358" s="267">
        <v>45508</v>
      </c>
      <c r="AL358" s="267">
        <v>45513</v>
      </c>
      <c r="AM358" s="282">
        <f t="shared" si="18"/>
        <v>364069</v>
      </c>
      <c r="AN358" s="267">
        <v>45515</v>
      </c>
      <c r="AO358" s="267">
        <v>45517</v>
      </c>
      <c r="AP358" s="384">
        <f>Tabla_query__2[[#This Row],[InicioDes]]</f>
        <v>45474</v>
      </c>
      <c r="AQ358" s="384">
        <f>Tabla_query__2[[#This Row],[FinDes2]]</f>
        <v>45517</v>
      </c>
      <c r="AR358" s="462">
        <f>Tabla_query__2[[#This Row],[Número
Semanas]]/4</f>
        <v>0.25</v>
      </c>
      <c r="AS358" s="269">
        <f>Tabla_query__2[[#This Row],[FinDes2]]-Tabla_query__2[[#This Row],[InicioDes2]]</f>
        <v>2</v>
      </c>
      <c r="AT358" s="261"/>
    </row>
    <row r="359" spans="1:48">
      <c r="A359" s="318" t="s">
        <v>130</v>
      </c>
      <c r="B359" s="262" t="s">
        <v>218</v>
      </c>
      <c r="C359" s="262"/>
      <c r="D359" s="262" t="s">
        <v>956</v>
      </c>
      <c r="E359" s="524"/>
      <c r="F359" s="262"/>
      <c r="G359" s="262"/>
      <c r="H359" s="262" t="s">
        <v>204</v>
      </c>
      <c r="I359" s="262"/>
      <c r="J359" s="262" t="s">
        <v>137</v>
      </c>
      <c r="K359" s="262"/>
      <c r="L359" s="262"/>
      <c r="M359" s="262" t="s">
        <v>945</v>
      </c>
      <c r="N359" s="262" t="s">
        <v>946</v>
      </c>
      <c r="O359" s="722" t="s">
        <v>947</v>
      </c>
      <c r="P359" s="262"/>
      <c r="Q359" s="262"/>
      <c r="R359" s="262" t="s">
        <v>179</v>
      </c>
      <c r="S359" s="262"/>
      <c r="T359" s="261"/>
      <c r="U359" s="261"/>
      <c r="V359" s="261"/>
      <c r="W359" s="261"/>
      <c r="X359" s="261"/>
      <c r="Y359" s="261">
        <f>Tabla_query__2[[#This Row],[Número
Semanas]]*5*8</f>
        <v>0</v>
      </c>
      <c r="Z359" s="268" t="e">
        <f>Tabla_query__2[[#This Row],[TOTAL]]/Tabla_query__2[[#This Row],[Número de Horas]]/2</f>
        <v>#DIV/0!</v>
      </c>
      <c r="AA359" s="261"/>
      <c r="AB359" s="261"/>
      <c r="AC359" s="261"/>
      <c r="AD359" s="268">
        <f>Tabla_query__2[[#This Row],[Número
Semanas]]*Tabla_query__2[[#This Row],[Número
Personas]]*Tabla_query__2[[#This Row],[Costo
Mano Obra/semana]] + 640</f>
        <v>640</v>
      </c>
      <c r="AE359" s="261"/>
      <c r="AF359" s="261"/>
      <c r="AG359" s="261"/>
      <c r="AH359" s="267">
        <v>45383</v>
      </c>
      <c r="AI359" s="267"/>
      <c r="AJ359" s="282" t="e">
        <f>#REF!</f>
        <v>#REF!</v>
      </c>
      <c r="AK359" s="267"/>
      <c r="AL359" s="267"/>
      <c r="AM359" s="282">
        <f t="shared" si="18"/>
        <v>0</v>
      </c>
      <c r="AN359" s="267"/>
      <c r="AO359" s="267">
        <v>45408</v>
      </c>
      <c r="AP359" s="384">
        <v>45419</v>
      </c>
      <c r="AQ359" s="384">
        <v>45426</v>
      </c>
      <c r="AR359" s="462">
        <f>Tabla_query__2[[#This Row],[Número
Semanas]]/4</f>
        <v>0</v>
      </c>
      <c r="AS359" s="269">
        <f>Tabla_query__2[[#This Row],[FinDes2]]-Tabla_query__2[[#This Row],[InicioDes2]]</f>
        <v>45408</v>
      </c>
      <c r="AT359" s="261"/>
    </row>
    <row r="360" spans="1:48">
      <c r="A360" s="318" t="s">
        <v>130</v>
      </c>
      <c r="B360" s="262" t="s">
        <v>218</v>
      </c>
      <c r="C360" s="262"/>
      <c r="D360" s="532" t="s">
        <v>957</v>
      </c>
      <c r="E360" s="710"/>
      <c r="F360" s="532"/>
      <c r="G360" s="262"/>
      <c r="H360" s="262" t="s">
        <v>204</v>
      </c>
      <c r="I360" s="262"/>
      <c r="J360" s="262" t="s">
        <v>137</v>
      </c>
      <c r="K360" s="262"/>
      <c r="L360" s="262"/>
      <c r="M360" s="262" t="s">
        <v>945</v>
      </c>
      <c r="N360" s="262" t="s">
        <v>946</v>
      </c>
      <c r="O360" s="722" t="s">
        <v>947</v>
      </c>
      <c r="P360" s="262"/>
      <c r="Q360" s="262"/>
      <c r="R360" s="262" t="s">
        <v>144</v>
      </c>
      <c r="S360" s="262"/>
      <c r="T360" s="261"/>
      <c r="U360" s="261"/>
      <c r="V360" s="261"/>
      <c r="W360" s="261"/>
      <c r="X360" s="261"/>
      <c r="Y360" s="261">
        <f>Tabla_query__2[[#This Row],[Número
Semanas]]*5*8</f>
        <v>0</v>
      </c>
      <c r="Z360" s="268" t="e">
        <f>Tabla_query__2[[#This Row],[TOTAL]]/Tabla_query__2[[#This Row],[Número de Horas]]/2</f>
        <v>#DIV/0!</v>
      </c>
      <c r="AA360" s="261"/>
      <c r="AB360" s="261"/>
      <c r="AC360" s="261"/>
      <c r="AD360" s="268">
        <f>Tabla_query__2[[#This Row],[Número
Semanas]]*Tabla_query__2[[#This Row],[Número
Personas]]*Tabla_query__2[[#This Row],[Costo
Mano Obra/semana]] + 640</f>
        <v>640</v>
      </c>
      <c r="AE360" s="261"/>
      <c r="AF360" s="261"/>
      <c r="AG360" s="261"/>
      <c r="AH360" s="525">
        <v>45439</v>
      </c>
      <c r="AI360" s="267"/>
      <c r="AJ360" s="282" t="e">
        <f>#REF!</f>
        <v>#REF!</v>
      </c>
      <c r="AK360" s="267"/>
      <c r="AL360" s="267"/>
      <c r="AM360" s="282">
        <f t="shared" si="18"/>
        <v>0</v>
      </c>
      <c r="AN360" s="267"/>
      <c r="AO360" s="525">
        <v>45464</v>
      </c>
      <c r="AP360" s="384"/>
      <c r="AQ360" s="384"/>
      <c r="AR360" s="462">
        <f>Tabla_query__2[[#This Row],[Número
Semanas]]/4</f>
        <v>0</v>
      </c>
      <c r="AS360" s="269">
        <f>Tabla_query__2[[#This Row],[FinDes2]]-Tabla_query__2[[#This Row],[InicioDes2]]</f>
        <v>45464</v>
      </c>
      <c r="AT360" s="261"/>
    </row>
    <row r="361" spans="1:48">
      <c r="A361" s="318" t="s">
        <v>130</v>
      </c>
      <c r="B361" s="262" t="s">
        <v>218</v>
      </c>
      <c r="C361" s="262"/>
      <c r="D361" s="501" t="s">
        <v>958</v>
      </c>
      <c r="E361" s="501"/>
      <c r="F361" s="501" t="s">
        <v>959</v>
      </c>
      <c r="G361" s="262"/>
      <c r="H361" s="262" t="s">
        <v>204</v>
      </c>
      <c r="I361" s="262" t="s">
        <v>220</v>
      </c>
      <c r="J361" s="262" t="s">
        <v>137</v>
      </c>
      <c r="K361" s="262"/>
      <c r="L361" s="262"/>
      <c r="M361" s="262" t="s">
        <v>945</v>
      </c>
      <c r="N361" s="262" t="s">
        <v>946</v>
      </c>
      <c r="O361" s="722" t="s">
        <v>947</v>
      </c>
      <c r="P361" s="262" t="s">
        <v>948</v>
      </c>
      <c r="Q361" s="262" t="s">
        <v>143</v>
      </c>
      <c r="R361" s="262" t="s">
        <v>144</v>
      </c>
      <c r="S361" s="262"/>
      <c r="T361" s="261" t="s">
        <v>145</v>
      </c>
      <c r="U361" s="261"/>
      <c r="V361" s="261" t="s">
        <v>210</v>
      </c>
      <c r="W361" s="261"/>
      <c r="X361" s="261">
        <v>1</v>
      </c>
      <c r="Y361" s="261">
        <f>Tabla_query__2[[#This Row],[Número
Semanas]]*5*8</f>
        <v>40</v>
      </c>
      <c r="Z361" s="268">
        <f>Tabla_query__2[[#This Row],[TOTAL]]/Tabla_query__2[[#This Row],[Número de Horas]]/2</f>
        <v>0</v>
      </c>
      <c r="AA361" s="261">
        <v>1</v>
      </c>
      <c r="AB361" s="261"/>
      <c r="AC361" s="261"/>
      <c r="AD361" s="268"/>
      <c r="AE361" s="261"/>
      <c r="AF361" s="261"/>
      <c r="AG361" s="261"/>
      <c r="AH361" s="267">
        <v>45427</v>
      </c>
      <c r="AI361" s="267">
        <v>45373</v>
      </c>
      <c r="AJ361" s="282"/>
      <c r="AK361" s="267">
        <v>410619</v>
      </c>
      <c r="AL361" s="267">
        <v>45384</v>
      </c>
      <c r="AM361" s="282">
        <f t="shared" si="18"/>
        <v>2919717</v>
      </c>
      <c r="AN361" s="267"/>
      <c r="AO361" s="267"/>
      <c r="AP361" s="384">
        <f>Tabla_query__2[[#This Row],[InicioDes]]</f>
        <v>45427</v>
      </c>
      <c r="AQ361" s="384">
        <f>Tabla_query__2[[#This Row],[FinDes2]]</f>
        <v>0</v>
      </c>
      <c r="AR361" s="462">
        <f>Tabla_query__2[[#This Row],[Número
Semanas]]/4</f>
        <v>0.25</v>
      </c>
      <c r="AS361" s="269">
        <f>Tabla_query__2[[#This Row],[FinDes2]]-Tabla_query__2[[#This Row],[InicioDes2]]</f>
        <v>0</v>
      </c>
      <c r="AT361" s="261"/>
    </row>
    <row r="362" spans="1:48" ht="34.9">
      <c r="A362" s="318" t="s">
        <v>130</v>
      </c>
      <c r="B362" s="262" t="s">
        <v>134</v>
      </c>
      <c r="C362" s="262"/>
      <c r="D362" s="296" t="s">
        <v>960</v>
      </c>
      <c r="E362" s="501"/>
      <c r="F362" s="319" t="s">
        <v>961</v>
      </c>
      <c r="G362" s="259"/>
      <c r="H362" s="259" t="s">
        <v>204</v>
      </c>
      <c r="I362" s="262"/>
      <c r="J362" s="262" t="s">
        <v>137</v>
      </c>
      <c r="K362" s="262"/>
      <c r="L362" s="262"/>
      <c r="M362" s="262" t="s">
        <v>945</v>
      </c>
      <c r="N362" s="262" t="s">
        <v>946</v>
      </c>
      <c r="O362" s="722" t="s">
        <v>947</v>
      </c>
      <c r="P362" s="262" t="s">
        <v>948</v>
      </c>
      <c r="Q362" s="262" t="s">
        <v>143</v>
      </c>
      <c r="R362" s="262" t="s">
        <v>144</v>
      </c>
      <c r="S362" s="261"/>
      <c r="T362" s="261" t="s">
        <v>152</v>
      </c>
      <c r="U362" s="261"/>
      <c r="V362" s="261" t="s">
        <v>136</v>
      </c>
      <c r="W362" s="261">
        <v>1</v>
      </c>
      <c r="X362" s="261">
        <v>4</v>
      </c>
      <c r="Y362" s="261">
        <f>Tabla_query__2[[#This Row],[Número
Semanas]]*5*8</f>
        <v>160</v>
      </c>
      <c r="Z362" s="268">
        <f>Tabla_query__2[[#This Row],[TOTAL]]/Tabla_query__2[[#This Row],[Número de Horas]]/2</f>
        <v>7.8125</v>
      </c>
      <c r="AA362" s="261">
        <v>1</v>
      </c>
      <c r="AB362" s="261">
        <v>625</v>
      </c>
      <c r="AC362" s="261"/>
      <c r="AD362" s="388">
        <f>Tabla_query__2[[#This Row],[Número
Semanas]]*Tabla_query__2[[#This Row],[Número
Personas]]*Tabla_query__2[[#This Row],[Costo
Mano Obra/semana]]</f>
        <v>2500</v>
      </c>
      <c r="AE362" s="261"/>
      <c r="AF362" s="261"/>
      <c r="AG362" s="261"/>
      <c r="AH362" s="267">
        <v>45354</v>
      </c>
      <c r="AI362" s="267">
        <v>45366</v>
      </c>
      <c r="AJ362" s="282" t="e">
        <f>#REF!</f>
        <v>#REF!</v>
      </c>
      <c r="AK362" s="267">
        <v>45369</v>
      </c>
      <c r="AL362" s="267">
        <v>45373</v>
      </c>
      <c r="AM362" s="282">
        <f t="shared" si="18"/>
        <v>362956</v>
      </c>
      <c r="AN362" s="267">
        <v>45376</v>
      </c>
      <c r="AO362" s="267">
        <v>45380</v>
      </c>
      <c r="AP362" s="384">
        <f>Tabla_query__2[[#This Row],[InicioDes]]</f>
        <v>45354</v>
      </c>
      <c r="AQ362" s="384">
        <f>Tabla_query__2[[#This Row],[FinDes2]]</f>
        <v>45380</v>
      </c>
      <c r="AR362" s="462">
        <f>Tabla_query__2[[#This Row],[Número
Semanas]]/4</f>
        <v>1</v>
      </c>
      <c r="AS362" s="269">
        <f>Tabla_query__2[[#This Row],[FinDes2]]-Tabla_query__2[[#This Row],[InicioDes2]]</f>
        <v>4</v>
      </c>
      <c r="AT362" s="261"/>
    </row>
    <row r="363" spans="1:48">
      <c r="A363" s="318" t="s">
        <v>130</v>
      </c>
      <c r="B363" s="262" t="s">
        <v>457</v>
      </c>
      <c r="C363" s="262"/>
      <c r="D363" s="262" t="s">
        <v>962</v>
      </c>
      <c r="E363" s="262"/>
      <c r="F363" s="319" t="s">
        <v>963</v>
      </c>
      <c r="G363" s="259"/>
      <c r="H363" s="259" t="s">
        <v>204</v>
      </c>
      <c r="I363" s="262" t="s">
        <v>266</v>
      </c>
      <c r="J363" s="262" t="s">
        <v>139</v>
      </c>
      <c r="K363" s="262"/>
      <c r="L363" s="262"/>
      <c r="M363" s="262" t="s">
        <v>330</v>
      </c>
      <c r="N363" s="262" t="s">
        <v>513</v>
      </c>
      <c r="O363" s="722" t="s">
        <v>514</v>
      </c>
      <c r="P363" s="262" t="s">
        <v>835</v>
      </c>
      <c r="Q363" s="262" t="s">
        <v>143</v>
      </c>
      <c r="R363" s="526" t="s">
        <v>144</v>
      </c>
      <c r="S363" s="261"/>
      <c r="T363" s="261" t="s">
        <v>221</v>
      </c>
      <c r="U363" s="261"/>
      <c r="V363" s="261" t="s">
        <v>146</v>
      </c>
      <c r="W363" s="261">
        <v>1</v>
      </c>
      <c r="X363" s="261">
        <v>2</v>
      </c>
      <c r="Y363" s="261">
        <f>Tabla_query__2[[#This Row],[Número
Semanas]]*5*8</f>
        <v>80</v>
      </c>
      <c r="Z363" s="268">
        <f>Tabla_query__2[[#This Row],[TOTAL]]/Tabla_query__2[[#This Row],[Número de Horas]]/2</f>
        <v>0</v>
      </c>
      <c r="AA363" s="261">
        <v>1</v>
      </c>
      <c r="AB363" s="261">
        <v>0</v>
      </c>
      <c r="AC363" s="261"/>
      <c r="AD363" s="268">
        <v>0</v>
      </c>
      <c r="AE363" s="261"/>
      <c r="AF363" s="261"/>
      <c r="AG363" s="261"/>
      <c r="AH363" s="267">
        <v>45396</v>
      </c>
      <c r="AI363" s="267">
        <v>45403</v>
      </c>
      <c r="AJ363" s="282" t="e">
        <f>#REF!</f>
        <v>#REF!</v>
      </c>
      <c r="AK363" s="267">
        <v>45403</v>
      </c>
      <c r="AL363" s="267">
        <v>45406</v>
      </c>
      <c r="AM363" s="282">
        <f t="shared" si="18"/>
        <v>363227</v>
      </c>
      <c r="AN363" s="267">
        <v>45406</v>
      </c>
      <c r="AO363" s="267">
        <v>45410</v>
      </c>
      <c r="AP363" s="384">
        <f>Tabla_query__2[[#This Row],[InicioDes]]</f>
        <v>45396</v>
      </c>
      <c r="AQ363" s="384">
        <f>Tabla_query__2[[#This Row],[FinDes2]]</f>
        <v>45410</v>
      </c>
      <c r="AR363" s="462">
        <f>Tabla_query__2[[#This Row],[Número
Semanas]]/4</f>
        <v>0.5</v>
      </c>
      <c r="AS363" s="269">
        <f>Tabla_query__2[[#This Row],[FinDes2]]-Tabla_query__2[[#This Row],[InicioDes2]]</f>
        <v>4</v>
      </c>
      <c r="AT363" s="261"/>
    </row>
    <row r="364" spans="1:48">
      <c r="A364" s="318" t="s">
        <v>130</v>
      </c>
      <c r="B364" s="262" t="s">
        <v>457</v>
      </c>
      <c r="C364" s="262"/>
      <c r="D364" s="262" t="s">
        <v>964</v>
      </c>
      <c r="E364" s="262"/>
      <c r="F364" s="319" t="s">
        <v>965</v>
      </c>
      <c r="G364" s="259"/>
      <c r="H364" s="259" t="s">
        <v>204</v>
      </c>
      <c r="I364" s="262" t="s">
        <v>266</v>
      </c>
      <c r="J364" s="262" t="s">
        <v>139</v>
      </c>
      <c r="K364" s="262"/>
      <c r="L364" s="262"/>
      <c r="M364" s="262" t="s">
        <v>330</v>
      </c>
      <c r="N364" s="262" t="s">
        <v>513</v>
      </c>
      <c r="O364" s="722" t="s">
        <v>514</v>
      </c>
      <c r="P364" s="262" t="s">
        <v>835</v>
      </c>
      <c r="Q364" s="262" t="s">
        <v>143</v>
      </c>
      <c r="R364" s="526" t="s">
        <v>144</v>
      </c>
      <c r="S364" s="261"/>
      <c r="T364" s="261" t="s">
        <v>145</v>
      </c>
      <c r="U364" s="261"/>
      <c r="V364" s="261" t="s">
        <v>146</v>
      </c>
      <c r="W364" s="261">
        <v>0</v>
      </c>
      <c r="X364" s="261">
        <v>8</v>
      </c>
      <c r="Y364" s="261">
        <f>Tabla_query__2[[#This Row],[Número
Semanas]]*5*8</f>
        <v>320</v>
      </c>
      <c r="Z364" s="268">
        <f>Tabla_query__2[[#This Row],[TOTAL]]/Tabla_query__2[[#This Row],[Número de Horas]]/2</f>
        <v>0</v>
      </c>
      <c r="AA364" s="261">
        <v>1</v>
      </c>
      <c r="AB364" s="261">
        <v>550</v>
      </c>
      <c r="AC364" s="261"/>
      <c r="AD364" s="268">
        <v>0</v>
      </c>
      <c r="AE364" s="261"/>
      <c r="AF364" s="261"/>
      <c r="AG364" s="261"/>
      <c r="AH364" s="267">
        <v>45383</v>
      </c>
      <c r="AI364" s="267">
        <v>45426</v>
      </c>
      <c r="AJ364" s="282" t="e">
        <f>#REF!</f>
        <v>#REF!</v>
      </c>
      <c r="AK364" s="267">
        <v>45426</v>
      </c>
      <c r="AL364" s="267">
        <v>45433</v>
      </c>
      <c r="AM364" s="282">
        <f t="shared" si="18"/>
        <v>363415</v>
      </c>
      <c r="AN364" s="267">
        <v>45464</v>
      </c>
      <c r="AO364" s="267">
        <v>45471</v>
      </c>
      <c r="AP364" s="384">
        <f>Tabla_query__2[[#This Row],[InicioDes]]</f>
        <v>45383</v>
      </c>
      <c r="AQ364" s="384">
        <f>Tabla_query__2[[#This Row],[FinDes2]]</f>
        <v>45471</v>
      </c>
      <c r="AR364" s="462">
        <f>Tabla_query__2[[#This Row],[Número
Semanas]]/4</f>
        <v>2</v>
      </c>
      <c r="AS364" s="269">
        <f>Tabla_query__2[[#This Row],[FinDes2]]-Tabla_query__2[[#This Row],[InicioDes2]]</f>
        <v>7</v>
      </c>
      <c r="AT364" s="261" t="s">
        <v>966</v>
      </c>
    </row>
    <row r="365" spans="1:48">
      <c r="A365" s="318" t="s">
        <v>130</v>
      </c>
      <c r="B365" s="262" t="s">
        <v>457</v>
      </c>
      <c r="C365" s="262"/>
      <c r="D365" s="653" t="s">
        <v>967</v>
      </c>
      <c r="E365" s="501"/>
      <c r="F365" s="319" t="s">
        <v>965</v>
      </c>
      <c r="G365" s="259"/>
      <c r="H365" s="259" t="s">
        <v>204</v>
      </c>
      <c r="I365" s="262" t="s">
        <v>266</v>
      </c>
      <c r="J365" s="262" t="s">
        <v>139</v>
      </c>
      <c r="K365" s="262"/>
      <c r="L365" s="262"/>
      <c r="M365" s="262" t="s">
        <v>330</v>
      </c>
      <c r="N365" s="262" t="s">
        <v>513</v>
      </c>
      <c r="O365" s="722" t="s">
        <v>514</v>
      </c>
      <c r="P365" s="262" t="s">
        <v>835</v>
      </c>
      <c r="Q365" s="262" t="s">
        <v>143</v>
      </c>
      <c r="R365" s="262" t="s">
        <v>144</v>
      </c>
      <c r="S365" s="261"/>
      <c r="T365" s="261" t="s">
        <v>145</v>
      </c>
      <c r="U365" s="261"/>
      <c r="V365" s="261" t="s">
        <v>146</v>
      </c>
      <c r="W365" s="261">
        <v>0</v>
      </c>
      <c r="X365" s="261">
        <v>10</v>
      </c>
      <c r="Y365" s="261">
        <f>Tabla_query__2[[#This Row],[Número
Semanas]]*5*8</f>
        <v>400</v>
      </c>
      <c r="Z365" s="268">
        <f>Tabla_query__2[[#This Row],[TOTAL]]/Tabla_query__2[[#This Row],[Número de Horas]]/2</f>
        <v>0</v>
      </c>
      <c r="AA365" s="261">
        <v>1</v>
      </c>
      <c r="AB365" s="261">
        <v>550</v>
      </c>
      <c r="AC365" s="261"/>
      <c r="AD365" s="268">
        <v>0</v>
      </c>
      <c r="AE365" s="261">
        <v>364</v>
      </c>
      <c r="AF365" s="261"/>
      <c r="AG365" s="261"/>
      <c r="AH365" s="281">
        <v>45383</v>
      </c>
      <c r="AI365" s="281">
        <v>45444</v>
      </c>
      <c r="AJ365" s="281" t="e">
        <f>#REF!</f>
        <v>#REF!</v>
      </c>
      <c r="AK365" s="281">
        <v>45444</v>
      </c>
      <c r="AL365" s="281">
        <v>45450</v>
      </c>
      <c r="AM365" s="281">
        <f t="shared" si="18"/>
        <v>363558</v>
      </c>
      <c r="AN365" s="281">
        <v>45450</v>
      </c>
      <c r="AO365" s="281">
        <v>45457</v>
      </c>
      <c r="AP365" s="281">
        <f>Tabla_query__2[[#This Row],[InicioDes]]</f>
        <v>45383</v>
      </c>
      <c r="AQ365" s="281">
        <f>Tabla_query__2[[#This Row],[FinDes2]]</f>
        <v>45457</v>
      </c>
      <c r="AR365" s="462">
        <f>Tabla_query__2[[#This Row],[Número
Semanas]]/4</f>
        <v>2.5</v>
      </c>
      <c r="AS365" s="269">
        <f>Tabla_query__2[[#This Row],[FinDes2]]-Tabla_query__2[[#This Row],[InicioDes2]]</f>
        <v>7</v>
      </c>
      <c r="AT365" s="261" t="s">
        <v>968</v>
      </c>
    </row>
    <row r="366" spans="1:48" ht="23.25">
      <c r="A366" s="318" t="s">
        <v>130</v>
      </c>
      <c r="B366" s="262" t="s">
        <v>131</v>
      </c>
      <c r="C366" s="262" t="s">
        <v>170</v>
      </c>
      <c r="D366" s="501" t="s">
        <v>506</v>
      </c>
      <c r="E366" s="262" t="s">
        <v>172</v>
      </c>
      <c r="F366" s="653" t="s">
        <v>969</v>
      </c>
      <c r="G366" s="262" t="s">
        <v>136</v>
      </c>
      <c r="H366" s="262" t="s">
        <v>137</v>
      </c>
      <c r="I366" s="262" t="s">
        <v>508</v>
      </c>
      <c r="J366" s="262" t="s">
        <v>139</v>
      </c>
      <c r="K366" s="262"/>
      <c r="L366" s="262"/>
      <c r="M366" s="266" t="s">
        <v>330</v>
      </c>
      <c r="N366" s="262" t="s">
        <v>513</v>
      </c>
      <c r="O366" s="722" t="s">
        <v>514</v>
      </c>
      <c r="P366" s="262" t="s">
        <v>139</v>
      </c>
      <c r="Q366" s="262" t="s">
        <v>143</v>
      </c>
      <c r="R366" s="262" t="s">
        <v>144</v>
      </c>
      <c r="S366" s="261"/>
      <c r="T366" s="261" t="s">
        <v>145</v>
      </c>
      <c r="U366" s="261" t="s">
        <v>509</v>
      </c>
      <c r="V366" s="261" t="s">
        <v>146</v>
      </c>
      <c r="W366" s="261">
        <v>0.03</v>
      </c>
      <c r="X366" s="261">
        <v>1</v>
      </c>
      <c r="Y366" s="261">
        <f>Tabla_query__2[[#This Row],[Número
Semanas]]*5*8</f>
        <v>40</v>
      </c>
      <c r="Z366" s="268">
        <f>Tabla_query__2[[#This Row],[TOTAL]]/Tabla_query__2[[#This Row],[Número de Horas]]/2</f>
        <v>38.275500000000001</v>
      </c>
      <c r="AA366" s="261">
        <v>1</v>
      </c>
      <c r="AB366" s="261">
        <v>101428</v>
      </c>
      <c r="AC366" s="261"/>
      <c r="AD366" s="387">
        <f>(Tabla_query__2[[#This Row],[Número
Semanas]]*Tabla_query__2[[#This Row],[Número
Personas]]*Tabla_query__2[[#This Row],[Costo
Mano Obra/semana]]+640)*Tabla_query__2[[#This Row],[Factor País]]</f>
        <v>3062.04</v>
      </c>
      <c r="AE366" s="261"/>
      <c r="AF366" s="261"/>
      <c r="AG366" s="261" t="s">
        <v>322</v>
      </c>
      <c r="AH366" s="281">
        <v>45586</v>
      </c>
      <c r="AI366" s="281"/>
      <c r="AJ366" s="281">
        <f>Tabla_query__2[[#This Row],[FinDes]]-Tabla_query__2[[#This Row],[InicioDes]]</f>
        <v>-45586</v>
      </c>
      <c r="AK366" s="281"/>
      <c r="AL366" s="281"/>
      <c r="AM366" s="281">
        <f t="shared" si="18"/>
        <v>0</v>
      </c>
      <c r="AN366" s="281"/>
      <c r="AO366" s="281">
        <v>45628</v>
      </c>
      <c r="AP366" s="281">
        <v>45586</v>
      </c>
      <c r="AQ366" s="281">
        <f>Tabla_query__2[[#This Row],[Inicio Real]]+(6*7)</f>
        <v>45628</v>
      </c>
      <c r="AR366" s="462">
        <f>6/4</f>
        <v>1.5</v>
      </c>
      <c r="AS366" s="269">
        <f>Tabla_query__2[[#This Row],[FinDes2]]-Tabla_query__2[[#This Row],[InicioDes2]]</f>
        <v>45628</v>
      </c>
      <c r="AT366" s="261" t="s">
        <v>155</v>
      </c>
      <c r="AV366" s="444"/>
    </row>
    <row r="367" spans="1:48" ht="46.5">
      <c r="A367" s="318" t="s">
        <v>130</v>
      </c>
      <c r="B367" s="262" t="s">
        <v>131</v>
      </c>
      <c r="C367" s="514" t="s">
        <v>132</v>
      </c>
      <c r="D367" s="653" t="s">
        <v>133</v>
      </c>
      <c r="E367" s="501" t="s">
        <v>134</v>
      </c>
      <c r="F367" s="711" t="s">
        <v>135</v>
      </c>
      <c r="G367" s="259" t="s">
        <v>136</v>
      </c>
      <c r="H367" s="259" t="s">
        <v>137</v>
      </c>
      <c r="I367" s="262" t="s">
        <v>138</v>
      </c>
      <c r="J367" s="262" t="s">
        <v>139</v>
      </c>
      <c r="K367" s="262"/>
      <c r="L367" s="262"/>
      <c r="M367" s="266" t="s">
        <v>330</v>
      </c>
      <c r="N367" s="262" t="s">
        <v>513</v>
      </c>
      <c r="O367" s="722" t="s">
        <v>514</v>
      </c>
      <c r="P367" s="262" t="s">
        <v>139</v>
      </c>
      <c r="Q367" s="262" t="s">
        <v>143</v>
      </c>
      <c r="R367" s="262" t="s">
        <v>144</v>
      </c>
      <c r="S367" s="261"/>
      <c r="T367" s="261" t="s">
        <v>152</v>
      </c>
      <c r="U367" s="261"/>
      <c r="V367" s="261" t="s">
        <v>146</v>
      </c>
      <c r="W367" s="261">
        <v>1</v>
      </c>
      <c r="X367" s="261">
        <v>4</v>
      </c>
      <c r="Y367" s="261">
        <f>Tabla_query__2[[#This Row],[Número
Semanas]]*5*8</f>
        <v>160</v>
      </c>
      <c r="Z367" s="268">
        <f>Tabla_query__2[[#This Row],[TOTAL]]/Tabla_query__2[[#This Row],[Número de Horas]]/2</f>
        <v>8.875</v>
      </c>
      <c r="AA367" s="261">
        <v>1</v>
      </c>
      <c r="AB367" s="261">
        <v>550</v>
      </c>
      <c r="AC367" s="261"/>
      <c r="AD367" s="387">
        <f>Tabla_query__2[[#This Row],[Número
Semanas]]*Tabla_query__2[[#This Row],[Número
Personas]]*Tabla_query__2[[#This Row],[Costo
Mano Obra/semana]] + 640</f>
        <v>2840</v>
      </c>
      <c r="AE367" s="261"/>
      <c r="AF367" s="261"/>
      <c r="AG367" s="261" t="s">
        <v>147</v>
      </c>
      <c r="AH367" s="281">
        <v>45355</v>
      </c>
      <c r="AI367" s="281">
        <v>45383</v>
      </c>
      <c r="AJ367" s="281">
        <f>Tabla_query__2[[#This Row],[FinDes]]-Tabla_query__2[[#This Row],[InicioDes]]</f>
        <v>28</v>
      </c>
      <c r="AK367" s="281">
        <v>45383</v>
      </c>
      <c r="AL367" s="281">
        <v>45390</v>
      </c>
      <c r="AM367" s="281">
        <f t="shared" si="18"/>
        <v>363071</v>
      </c>
      <c r="AN367" s="281">
        <v>45390</v>
      </c>
      <c r="AO367" s="281">
        <v>45397</v>
      </c>
      <c r="AP367" s="281">
        <v>45505</v>
      </c>
      <c r="AQ367" s="281">
        <f>Tabla_query__2[[#This Row],[Inicio Real]]+(Tabla_query__2[[#This Row],[Número
Semanas]]*7)</f>
        <v>45533</v>
      </c>
      <c r="AR367" s="462">
        <f>Tabla_query__2[[#This Row],[Número
Semanas]]/4</f>
        <v>1</v>
      </c>
      <c r="AS367" s="269">
        <f>Tabla_query__2[[#This Row],[FinDes2]]-Tabla_query__2[[#This Row],[InicioDes2]]</f>
        <v>7</v>
      </c>
      <c r="AT367" s="261"/>
      <c r="AV367" s="444" t="s">
        <v>148</v>
      </c>
    </row>
    <row r="368" spans="1:48">
      <c r="A368" s="318" t="s">
        <v>130</v>
      </c>
      <c r="B368" s="262" t="s">
        <v>134</v>
      </c>
      <c r="C368" s="262"/>
      <c r="D368" s="262" t="s">
        <v>792</v>
      </c>
      <c r="E368" s="262"/>
      <c r="F368" s="259" t="s">
        <v>970</v>
      </c>
      <c r="G368" s="259"/>
      <c r="H368" s="259" t="s">
        <v>204</v>
      </c>
      <c r="I368" s="262" t="s">
        <v>220</v>
      </c>
      <c r="J368" s="262" t="s">
        <v>139</v>
      </c>
      <c r="K368" s="262"/>
      <c r="L368" s="262"/>
      <c r="M368" s="262" t="s">
        <v>330</v>
      </c>
      <c r="N368" s="262" t="s">
        <v>513</v>
      </c>
      <c r="O368" s="722" t="s">
        <v>514</v>
      </c>
      <c r="P368" s="262" t="s">
        <v>835</v>
      </c>
      <c r="Q368" s="262" t="s">
        <v>143</v>
      </c>
      <c r="R368" s="262" t="s">
        <v>179</v>
      </c>
      <c r="S368" s="261"/>
      <c r="T368" s="261" t="s">
        <v>152</v>
      </c>
      <c r="U368" s="261"/>
      <c r="V368" s="261" t="s">
        <v>136</v>
      </c>
      <c r="W368" s="261">
        <v>1</v>
      </c>
      <c r="X368" s="261">
        <v>8</v>
      </c>
      <c r="Y368" s="261">
        <f>Tabla_query__2[[#This Row],[Número
Semanas]]*5*8</f>
        <v>320</v>
      </c>
      <c r="Z368" s="268">
        <f>Tabla_query__2[[#This Row],[TOTAL]]/Tabla_query__2[[#This Row],[Número de Horas]]/2</f>
        <v>20.625</v>
      </c>
      <c r="AA368" s="261">
        <v>3</v>
      </c>
      <c r="AB368" s="261">
        <v>550</v>
      </c>
      <c r="AC368" s="261"/>
      <c r="AD368" s="268">
        <f>Tabla_query__2[[#This Row],[Número
Semanas]]*Tabla_query__2[[#This Row],[Número
Personas]]*Tabla_query__2[[#This Row],[Costo
Mano Obra/semana]]</f>
        <v>13200</v>
      </c>
      <c r="AE368" s="261"/>
      <c r="AF368" s="261"/>
      <c r="AG368" s="261"/>
      <c r="AH368" s="281">
        <v>45292</v>
      </c>
      <c r="AI368" s="281">
        <v>45365</v>
      </c>
      <c r="AJ368" s="281" t="e">
        <f>#REF!</f>
        <v>#REF!</v>
      </c>
      <c r="AK368" s="281">
        <v>45369</v>
      </c>
      <c r="AL368" s="281">
        <v>45373</v>
      </c>
      <c r="AM368" s="281">
        <f t="shared" si="18"/>
        <v>362956</v>
      </c>
      <c r="AN368" s="281">
        <v>45376</v>
      </c>
      <c r="AO368" s="281">
        <v>45378</v>
      </c>
      <c r="AP368" s="281">
        <f>Tabla_query__2[[#This Row],[InicioDes]]</f>
        <v>45292</v>
      </c>
      <c r="AQ368" s="281">
        <f>Tabla_query__2[[#This Row],[FinDes2]]</f>
        <v>45378</v>
      </c>
      <c r="AR368" s="462">
        <f>Tabla_query__2[[#This Row],[Número
Semanas]]/4</f>
        <v>2</v>
      </c>
      <c r="AS368" s="269">
        <f>Tabla_query__2[[#This Row],[FinDes2]]-Tabla_query__2[[#This Row],[InicioDes2]]</f>
        <v>2</v>
      </c>
      <c r="AT368" s="261"/>
    </row>
    <row r="369" spans="1:46">
      <c r="A369" s="318" t="s">
        <v>130</v>
      </c>
      <c r="B369" s="262" t="s">
        <v>457</v>
      </c>
      <c r="C369" s="262"/>
      <c r="D369" s="532" t="s">
        <v>971</v>
      </c>
      <c r="E369" s="262"/>
      <c r="F369" s="259" t="s">
        <v>972</v>
      </c>
      <c r="G369" s="259"/>
      <c r="H369" s="259" t="s">
        <v>204</v>
      </c>
      <c r="I369" s="262" t="s">
        <v>266</v>
      </c>
      <c r="J369" s="262" t="s">
        <v>139</v>
      </c>
      <c r="K369" s="262"/>
      <c r="L369" s="262"/>
      <c r="M369" s="262" t="s">
        <v>330</v>
      </c>
      <c r="N369" s="262" t="s">
        <v>513</v>
      </c>
      <c r="O369" s="722" t="s">
        <v>514</v>
      </c>
      <c r="P369" s="262" t="s">
        <v>835</v>
      </c>
      <c r="Q369" s="262" t="s">
        <v>143</v>
      </c>
      <c r="R369" s="262" t="s">
        <v>144</v>
      </c>
      <c r="S369" s="261"/>
      <c r="T369" s="261" t="s">
        <v>145</v>
      </c>
      <c r="U369" s="261"/>
      <c r="V369" s="261" t="s">
        <v>210</v>
      </c>
      <c r="W369" s="261">
        <v>1</v>
      </c>
      <c r="X369" s="261">
        <v>2</v>
      </c>
      <c r="Y369" s="261">
        <f>Tabla_query__2[[#This Row],[Número
Semanas]]*5*8</f>
        <v>80</v>
      </c>
      <c r="Z369" s="268">
        <f>Tabla_query__2[[#This Row],[TOTAL]]/Tabla_query__2[[#This Row],[Número de Horas]]/2</f>
        <v>10.875</v>
      </c>
      <c r="AA369" s="261">
        <v>1</v>
      </c>
      <c r="AB369" s="261">
        <v>550</v>
      </c>
      <c r="AC369" s="261"/>
      <c r="AD369" s="268">
        <f>Tabla_query__2[[#This Row],[Número
Semanas]]*Tabla_query__2[[#This Row],[Número
Personas]]*Tabla_query__2[[#This Row],[Costo
Mano Obra/semana]] + 640</f>
        <v>1740</v>
      </c>
      <c r="AE369" s="261"/>
      <c r="AF369" s="261"/>
      <c r="AG369" s="261"/>
      <c r="AH369" s="528">
        <v>45383</v>
      </c>
      <c r="AI369" s="528">
        <v>45389</v>
      </c>
      <c r="AJ369" s="281" t="e">
        <f>#REF!</f>
        <v>#REF!</v>
      </c>
      <c r="AK369" s="528">
        <v>45389</v>
      </c>
      <c r="AL369" s="528">
        <v>45392</v>
      </c>
      <c r="AM369" s="281">
        <f t="shared" si="18"/>
        <v>363115</v>
      </c>
      <c r="AN369" s="528">
        <v>45392</v>
      </c>
      <c r="AO369" s="528">
        <v>45396</v>
      </c>
      <c r="AP369" s="281">
        <f>Tabla_query__2[[#This Row],[InicioDes]]</f>
        <v>45383</v>
      </c>
      <c r="AQ369" s="281">
        <f>Tabla_query__2[[#This Row],[FinDes2]]</f>
        <v>45396</v>
      </c>
      <c r="AR369" s="462">
        <f>Tabla_query__2[[#This Row],[Número
Semanas]]/4</f>
        <v>0.5</v>
      </c>
      <c r="AS369" s="269">
        <f>Tabla_query__2[[#This Row],[FinDes2]]-Tabla_query__2[[#This Row],[InicioDes2]]</f>
        <v>4</v>
      </c>
      <c r="AT369" s="261"/>
    </row>
    <row r="370" spans="1:46" ht="23.25">
      <c r="A370" s="318" t="s">
        <v>130</v>
      </c>
      <c r="B370" s="262" t="s">
        <v>457</v>
      </c>
      <c r="C370" s="262"/>
      <c r="D370" s="262" t="s">
        <v>973</v>
      </c>
      <c r="E370" s="262"/>
      <c r="F370" s="259" t="s">
        <v>974</v>
      </c>
      <c r="G370" s="259"/>
      <c r="H370" s="259" t="s">
        <v>204</v>
      </c>
      <c r="I370" s="262" t="s">
        <v>266</v>
      </c>
      <c r="J370" s="262" t="s">
        <v>139</v>
      </c>
      <c r="K370" s="262"/>
      <c r="L370" s="262"/>
      <c r="M370" s="262" t="s">
        <v>330</v>
      </c>
      <c r="N370" s="262" t="s">
        <v>513</v>
      </c>
      <c r="O370" s="722" t="s">
        <v>514</v>
      </c>
      <c r="P370" s="262" t="s">
        <v>835</v>
      </c>
      <c r="Q370" s="262" t="s">
        <v>143</v>
      </c>
      <c r="R370" s="262" t="s">
        <v>179</v>
      </c>
      <c r="S370" s="261"/>
      <c r="T370" s="261" t="s">
        <v>145</v>
      </c>
      <c r="U370" s="261"/>
      <c r="V370" s="261" t="s">
        <v>136</v>
      </c>
      <c r="W370" s="261">
        <v>0</v>
      </c>
      <c r="X370" s="261">
        <v>32</v>
      </c>
      <c r="Y370" s="261">
        <f>Tabla_query__2[[#This Row],[Número
Semanas]]*5*8</f>
        <v>1280</v>
      </c>
      <c r="Z370" s="268">
        <f>Tabla_query__2[[#This Row],[TOTAL]]/Tabla_query__2[[#This Row],[Número de Horas]]/2</f>
        <v>0</v>
      </c>
      <c r="AA370" s="261">
        <v>2</v>
      </c>
      <c r="AB370" s="261">
        <v>700</v>
      </c>
      <c r="AC370" s="261"/>
      <c r="AD370" s="268">
        <f>(Tabla_query__2[[#This Row],[Número
Semanas]]*Tabla_query__2[[#This Row],[Número
Personas]]*Tabla_query__2[[#This Row],[Costo
Mano Obra/semana]] + 640)*Tabla_query__2[[#This Row],[Factor País]]</f>
        <v>0</v>
      </c>
      <c r="AE370" s="261"/>
      <c r="AF370" s="261"/>
      <c r="AG370" s="261"/>
      <c r="AH370" s="281">
        <v>45383</v>
      </c>
      <c r="AI370" s="281">
        <v>45640</v>
      </c>
      <c r="AJ370" s="281" t="e">
        <f>#REF!</f>
        <v>#REF!</v>
      </c>
      <c r="AK370" s="281">
        <v>45640</v>
      </c>
      <c r="AL370" s="281">
        <v>45647</v>
      </c>
      <c r="AM370" s="281">
        <f t="shared" si="18"/>
        <v>365127</v>
      </c>
      <c r="AN370" s="281">
        <v>45647</v>
      </c>
      <c r="AO370" s="281">
        <v>45654</v>
      </c>
      <c r="AP370" s="281">
        <f>Tabla_query__2[[#This Row],[InicioDes]]</f>
        <v>45383</v>
      </c>
      <c r="AQ370" s="281">
        <f>Tabla_query__2[[#This Row],[FinDes2]]</f>
        <v>45654</v>
      </c>
      <c r="AR370" s="267">
        <f>Tabla_query__2[[#This Row],[Número
Semanas]]/4</f>
        <v>8</v>
      </c>
      <c r="AS370" s="269">
        <f>Tabla_query__2[[#This Row],[FinDes2]]-Tabla_query__2[[#This Row],[InicioDes2]]</f>
        <v>7</v>
      </c>
      <c r="AT370" s="261" t="s">
        <v>975</v>
      </c>
    </row>
    <row r="371" spans="1:46">
      <c r="A371" s="318" t="s">
        <v>130</v>
      </c>
      <c r="B371" s="262" t="s">
        <v>457</v>
      </c>
      <c r="C371" s="262"/>
      <c r="D371" s="262" t="s">
        <v>976</v>
      </c>
      <c r="E371" s="262"/>
      <c r="F371" s="259" t="s">
        <v>977</v>
      </c>
      <c r="G371" s="259"/>
      <c r="H371" s="259" t="s">
        <v>204</v>
      </c>
      <c r="I371" s="262" t="s">
        <v>266</v>
      </c>
      <c r="J371" s="262" t="s">
        <v>139</v>
      </c>
      <c r="K371" s="262"/>
      <c r="L371" s="262"/>
      <c r="M371" s="262" t="s">
        <v>330</v>
      </c>
      <c r="N371" s="262" t="s">
        <v>513</v>
      </c>
      <c r="O371" s="722" t="s">
        <v>514</v>
      </c>
      <c r="P371" s="262" t="s">
        <v>835</v>
      </c>
      <c r="Q371" s="262" t="s">
        <v>143</v>
      </c>
      <c r="R371" s="262" t="s">
        <v>144</v>
      </c>
      <c r="S371" s="261"/>
      <c r="T371" s="261" t="s">
        <v>320</v>
      </c>
      <c r="U371" s="261"/>
      <c r="V371" s="261" t="s">
        <v>136</v>
      </c>
      <c r="W371" s="261">
        <v>1</v>
      </c>
      <c r="X371" s="261">
        <v>6</v>
      </c>
      <c r="Y371" s="261">
        <f>Tabla_query__2[[#This Row],[Número
Semanas]]*5*8</f>
        <v>240</v>
      </c>
      <c r="Z371" s="268">
        <f>Tabla_query__2[[#This Row],[TOTAL]]/Tabla_query__2[[#This Row],[Número de Horas]]/2</f>
        <v>8.2083333333333339</v>
      </c>
      <c r="AA371" s="261">
        <v>1</v>
      </c>
      <c r="AB371" s="261">
        <v>550</v>
      </c>
      <c r="AC371" s="261"/>
      <c r="AD371" s="268">
        <f>Tabla_query__2[[#This Row],[Número
Semanas]]*Tabla_query__2[[#This Row],[Número
Personas]]*Tabla_query__2[[#This Row],[Costo
Mano Obra/semana]] + 640</f>
        <v>3940</v>
      </c>
      <c r="AE371" s="261">
        <v>364</v>
      </c>
      <c r="AF371" s="261"/>
      <c r="AG371" s="261"/>
      <c r="AH371" s="267">
        <v>45566</v>
      </c>
      <c r="AI371" s="267">
        <v>45962</v>
      </c>
      <c r="AJ371" s="282" t="e">
        <f>#REF!</f>
        <v>#REF!</v>
      </c>
      <c r="AK371" s="267">
        <v>45597</v>
      </c>
      <c r="AL371" s="267">
        <v>45603</v>
      </c>
      <c r="AM371" s="282">
        <f t="shared" si="18"/>
        <v>364782</v>
      </c>
      <c r="AN371" s="267">
        <v>45603</v>
      </c>
      <c r="AO371" s="267">
        <v>45603</v>
      </c>
      <c r="AP371" s="384">
        <f>Tabla_query__2[[#This Row],[InicioDes]]</f>
        <v>45566</v>
      </c>
      <c r="AQ371" s="384">
        <f>Tabla_query__2[[#This Row],[FinDes2]]</f>
        <v>45603</v>
      </c>
      <c r="AR371" s="267">
        <f>Tabla_query__2[[#This Row],[Número
Semanas]]/4</f>
        <v>1.5</v>
      </c>
      <c r="AS371" s="269">
        <f>Tabla_query__2[[#This Row],[FinDes2]]-Tabla_query__2[[#This Row],[InicioDes2]]</f>
        <v>0</v>
      </c>
      <c r="AT371" s="261"/>
    </row>
    <row r="372" spans="1:46" ht="23.25">
      <c r="A372" s="318" t="s">
        <v>130</v>
      </c>
      <c r="B372" s="262" t="s">
        <v>134</v>
      </c>
      <c r="C372" s="262"/>
      <c r="D372" s="262" t="s">
        <v>796</v>
      </c>
      <c r="E372" s="262"/>
      <c r="F372" s="401" t="s">
        <v>797</v>
      </c>
      <c r="G372" s="401"/>
      <c r="H372" s="401" t="s">
        <v>137</v>
      </c>
      <c r="I372" s="262" t="s">
        <v>220</v>
      </c>
      <c r="J372" s="262" t="s">
        <v>139</v>
      </c>
      <c r="K372" s="262"/>
      <c r="L372" s="262"/>
      <c r="M372" s="262" t="s">
        <v>330</v>
      </c>
      <c r="N372" s="262" t="s">
        <v>513</v>
      </c>
      <c r="O372" s="722" t="s">
        <v>514</v>
      </c>
      <c r="P372" s="262" t="s">
        <v>835</v>
      </c>
      <c r="Q372" s="262" t="s">
        <v>143</v>
      </c>
      <c r="R372" s="262" t="s">
        <v>144</v>
      </c>
      <c r="S372" s="261"/>
      <c r="T372" s="261" t="s">
        <v>221</v>
      </c>
      <c r="U372" s="261"/>
      <c r="V372" s="261" t="s">
        <v>136</v>
      </c>
      <c r="W372" s="261">
        <v>1</v>
      </c>
      <c r="X372" s="261">
        <v>8</v>
      </c>
      <c r="Y372" s="261">
        <f>Tabla_query__2[[#This Row],[Número
Semanas]]*5*8</f>
        <v>320</v>
      </c>
      <c r="Z372" s="268">
        <f>Tabla_query__2[[#This Row],[TOTAL]]/Tabla_query__2[[#This Row],[Número de Horas]]/2</f>
        <v>6.875</v>
      </c>
      <c r="AA372" s="261">
        <v>1</v>
      </c>
      <c r="AB372" s="261">
        <v>550</v>
      </c>
      <c r="AC372" s="261"/>
      <c r="AD372" s="268">
        <f>Tabla_query__2[[#This Row],[Número
Semanas]]*Tabla_query__2[[#This Row],[Número
Personas]]*Tabla_query__2[[#This Row],[Costo
Mano Obra/semana]]</f>
        <v>4400</v>
      </c>
      <c r="AE372" s="261"/>
      <c r="AF372" s="261"/>
      <c r="AG372" s="261"/>
      <c r="AH372" s="267">
        <v>45474</v>
      </c>
      <c r="AI372" s="267">
        <v>45520</v>
      </c>
      <c r="AJ372" s="282" t="e">
        <f>#REF!</f>
        <v>#REF!</v>
      </c>
      <c r="AK372" s="267">
        <v>45523</v>
      </c>
      <c r="AL372" s="267">
        <v>45527</v>
      </c>
      <c r="AM372" s="282">
        <f t="shared" si="18"/>
        <v>364188</v>
      </c>
      <c r="AN372" s="267">
        <v>45530</v>
      </c>
      <c r="AO372" s="267">
        <v>45532</v>
      </c>
      <c r="AP372" s="384">
        <f>Tabla_query__2[[#This Row],[InicioDes]]</f>
        <v>45474</v>
      </c>
      <c r="AQ372" s="384">
        <f>Tabla_query__2[[#This Row],[FinDes2]]</f>
        <v>45532</v>
      </c>
      <c r="AR372" s="462">
        <f>Tabla_query__2[[#This Row],[Número
Semanas]]/4</f>
        <v>2</v>
      </c>
      <c r="AS372" s="269">
        <f>Tabla_query__2[[#This Row],[FinDes2]]-Tabla_query__2[[#This Row],[InicioDes2]]</f>
        <v>2</v>
      </c>
      <c r="AT372" s="261"/>
    </row>
    <row r="373" spans="1:46">
      <c r="A373" s="318" t="s">
        <v>130</v>
      </c>
      <c r="B373" s="262" t="s">
        <v>217</v>
      </c>
      <c r="C373" s="262"/>
      <c r="D373" s="266" t="s">
        <v>978</v>
      </c>
      <c r="E373" s="262"/>
      <c r="F373" s="259" t="s">
        <v>979</v>
      </c>
      <c r="G373" s="259"/>
      <c r="H373" s="259" t="s">
        <v>204</v>
      </c>
      <c r="I373" s="262" t="s">
        <v>266</v>
      </c>
      <c r="J373" s="262" t="s">
        <v>137</v>
      </c>
      <c r="K373" s="262"/>
      <c r="L373" s="262"/>
      <c r="M373" s="262" t="s">
        <v>330</v>
      </c>
      <c r="N373" s="262" t="s">
        <v>513</v>
      </c>
      <c r="O373" s="722" t="s">
        <v>514</v>
      </c>
      <c r="P373" s="262"/>
      <c r="Q373" s="262" t="s">
        <v>208</v>
      </c>
      <c r="R373" s="526" t="s">
        <v>144</v>
      </c>
      <c r="S373" s="261"/>
      <c r="T373" s="261" t="s">
        <v>221</v>
      </c>
      <c r="U373" s="261"/>
      <c r="V373" s="261" t="s">
        <v>146</v>
      </c>
      <c r="W373" s="261">
        <v>1</v>
      </c>
      <c r="X373" s="261"/>
      <c r="Y373" s="261">
        <f>Tabla_query__2[[#This Row],[Número
Semanas]]*5*8</f>
        <v>0</v>
      </c>
      <c r="Z373" s="268" t="e">
        <f>Tabla_query__2[[#This Row],[TOTAL]]/Tabla_query__2[[#This Row],[Número de Horas]]/2</f>
        <v>#DIV/0!</v>
      </c>
      <c r="AA373" s="261"/>
      <c r="AB373" s="261"/>
      <c r="AC373" s="261"/>
      <c r="AD373" s="268">
        <f>Tabla_query__2[[#This Row],[Número
Semanas]]*Tabla_query__2[[#This Row],[Número
Personas]]*Tabla_query__2[[#This Row],[Costo
Mano Obra/semana]] + 640</f>
        <v>640</v>
      </c>
      <c r="AE373" s="261"/>
      <c r="AF373" s="261"/>
      <c r="AG373" s="261"/>
      <c r="AH373" s="334"/>
      <c r="AI373" s="334"/>
      <c r="AJ373" s="282" t="e">
        <f>#REF!</f>
        <v>#REF!</v>
      </c>
      <c r="AK373" s="334"/>
      <c r="AL373" s="334"/>
      <c r="AM373" s="282">
        <f t="shared" si="18"/>
        <v>0</v>
      </c>
      <c r="AN373" s="334"/>
      <c r="AO373" s="334"/>
      <c r="AP373" s="384">
        <f>Tabla_query__2[[#This Row],[InicioDes]]</f>
        <v>0</v>
      </c>
      <c r="AQ373" s="384">
        <f>Tabla_query__2[[#This Row],[FinDes2]]</f>
        <v>0</v>
      </c>
      <c r="AR373" s="462">
        <f>Tabla_query__2[[#This Row],[Número
Semanas]]/4</f>
        <v>0</v>
      </c>
      <c r="AS373" s="269">
        <f>Tabla_query__2[[#This Row],[FinDes2]]-Tabla_query__2[[#This Row],[InicioDes2]]</f>
        <v>0</v>
      </c>
      <c r="AT373" s="261"/>
    </row>
    <row r="374" spans="1:46">
      <c r="A374" s="318" t="s">
        <v>130</v>
      </c>
      <c r="B374" s="262" t="s">
        <v>134</v>
      </c>
      <c r="C374" s="262"/>
      <c r="D374" s="266" t="s">
        <v>980</v>
      </c>
      <c r="E374" s="262"/>
      <c r="F374" s="259"/>
      <c r="G374" s="259"/>
      <c r="H374" s="259" t="s">
        <v>204</v>
      </c>
      <c r="I374" s="262" t="s">
        <v>266</v>
      </c>
      <c r="J374" s="262" t="s">
        <v>137</v>
      </c>
      <c r="K374" s="262"/>
      <c r="L374" s="262"/>
      <c r="M374" s="262" t="s">
        <v>330</v>
      </c>
      <c r="N374" s="262" t="s">
        <v>513</v>
      </c>
      <c r="O374" s="722" t="s">
        <v>514</v>
      </c>
      <c r="P374" s="262" t="s">
        <v>835</v>
      </c>
      <c r="Q374" s="262" t="s">
        <v>143</v>
      </c>
      <c r="R374" s="262" t="s">
        <v>179</v>
      </c>
      <c r="S374" s="261"/>
      <c r="T374" s="261" t="s">
        <v>152</v>
      </c>
      <c r="U374" s="261"/>
      <c r="V374" s="261" t="s">
        <v>136</v>
      </c>
      <c r="W374" s="261">
        <v>1</v>
      </c>
      <c r="X374" s="261">
        <v>8</v>
      </c>
      <c r="Y374" s="261">
        <f>Tabla_query__2[[#This Row],[Número
Semanas]]*5*8</f>
        <v>320</v>
      </c>
      <c r="Z374" s="268">
        <f>Tabla_query__2[[#This Row],[TOTAL]]/Tabla_query__2[[#This Row],[Número de Horas]]/2</f>
        <v>6.875</v>
      </c>
      <c r="AA374" s="261">
        <v>1</v>
      </c>
      <c r="AB374" s="261">
        <v>550</v>
      </c>
      <c r="AC374" s="261"/>
      <c r="AD374" s="268">
        <f>Tabla_query__2[[#This Row],[Número
Semanas]]*Tabla_query__2[[#This Row],[Número
Personas]]*Tabla_query__2[[#This Row],[Costo
Mano Obra/semana]]</f>
        <v>4400</v>
      </c>
      <c r="AE374" s="261"/>
      <c r="AF374" s="261"/>
      <c r="AG374" s="261"/>
      <c r="AH374" s="267">
        <v>45333</v>
      </c>
      <c r="AI374" s="267">
        <v>45380</v>
      </c>
      <c r="AJ374" s="282" t="e">
        <f>#REF!</f>
        <v>#REF!</v>
      </c>
      <c r="AK374" s="267">
        <v>45383</v>
      </c>
      <c r="AL374" s="267">
        <v>45387</v>
      </c>
      <c r="AM374" s="282">
        <f t="shared" si="18"/>
        <v>363068</v>
      </c>
      <c r="AN374" s="267">
        <v>45390</v>
      </c>
      <c r="AO374" s="267">
        <v>45392</v>
      </c>
      <c r="AP374" s="384">
        <f>Tabla_query__2[[#This Row],[InicioDes]]</f>
        <v>45333</v>
      </c>
      <c r="AQ374" s="384">
        <f>Tabla_query__2[[#This Row],[FinDes2]]</f>
        <v>45392</v>
      </c>
      <c r="AR374" s="462">
        <f>Tabla_query__2[[#This Row],[Número
Semanas]]/4</f>
        <v>2</v>
      </c>
      <c r="AS374" s="269">
        <f>Tabla_query__2[[#This Row],[FinDes2]]-Tabla_query__2[[#This Row],[InicioDes2]]</f>
        <v>2</v>
      </c>
      <c r="AT374" s="261"/>
    </row>
    <row r="375" spans="1:46">
      <c r="A375" s="318" t="s">
        <v>130</v>
      </c>
      <c r="B375" s="262" t="s">
        <v>134</v>
      </c>
      <c r="C375" s="262"/>
      <c r="D375" s="266" t="s">
        <v>981</v>
      </c>
      <c r="E375" s="266"/>
      <c r="F375" s="259"/>
      <c r="G375" s="259"/>
      <c r="H375" s="259" t="s">
        <v>204</v>
      </c>
      <c r="I375" s="262" t="s">
        <v>138</v>
      </c>
      <c r="J375" s="262" t="s">
        <v>137</v>
      </c>
      <c r="K375" s="262"/>
      <c r="L375" s="262"/>
      <c r="M375" s="262" t="s">
        <v>330</v>
      </c>
      <c r="N375" s="262" t="s">
        <v>513</v>
      </c>
      <c r="O375" s="722" t="s">
        <v>514</v>
      </c>
      <c r="P375" s="262" t="s">
        <v>835</v>
      </c>
      <c r="Q375" s="262" t="s">
        <v>143</v>
      </c>
      <c r="R375" s="262" t="s">
        <v>179</v>
      </c>
      <c r="S375" s="261"/>
      <c r="T375" s="261" t="s">
        <v>145</v>
      </c>
      <c r="U375" s="328" t="s">
        <v>982</v>
      </c>
      <c r="V375" s="261" t="s">
        <v>136</v>
      </c>
      <c r="W375" s="261">
        <v>1</v>
      </c>
      <c r="X375" s="261">
        <v>8</v>
      </c>
      <c r="Y375" s="261">
        <f>Tabla_query__2[[#This Row],[Número
Semanas]]*5*8</f>
        <v>320</v>
      </c>
      <c r="Z375" s="268">
        <f>Tabla_query__2[[#This Row],[TOTAL]]/Tabla_query__2[[#This Row],[Número de Horas]]/2</f>
        <v>6.875</v>
      </c>
      <c r="AA375" s="261">
        <v>1</v>
      </c>
      <c r="AB375" s="261">
        <v>550</v>
      </c>
      <c r="AC375" s="261"/>
      <c r="AD375" s="268">
        <f>Tabla_query__2[[#This Row],[Número
Semanas]]*Tabla_query__2[[#This Row],[Número
Personas]]*Tabla_query__2[[#This Row],[Costo
Mano Obra/semana]]</f>
        <v>4400</v>
      </c>
      <c r="AE375" s="261"/>
      <c r="AF375" s="261"/>
      <c r="AG375" s="261"/>
      <c r="AH375" s="267">
        <v>45418</v>
      </c>
      <c r="AI375" s="267">
        <v>45457</v>
      </c>
      <c r="AJ375" s="282" t="e">
        <f>#REF!</f>
        <v>#REF!</v>
      </c>
      <c r="AK375" s="267">
        <v>45460</v>
      </c>
      <c r="AL375" s="267">
        <v>45464</v>
      </c>
      <c r="AM375" s="282">
        <f t="shared" si="18"/>
        <v>363684</v>
      </c>
      <c r="AN375" s="267">
        <v>45467</v>
      </c>
      <c r="AO375" s="267">
        <v>45469</v>
      </c>
      <c r="AP375" s="384">
        <f>Tabla_query__2[[#This Row],[InicioDes]]</f>
        <v>45418</v>
      </c>
      <c r="AQ375" s="384">
        <f>Tabla_query__2[[#This Row],[FinDes2]]</f>
        <v>45469</v>
      </c>
      <c r="AR375" s="462">
        <f>Tabla_query__2[[#This Row],[Número
Semanas]]/4</f>
        <v>2</v>
      </c>
      <c r="AS375" s="269">
        <f>Tabla_query__2[[#This Row],[FinDes2]]-Tabla_query__2[[#This Row],[InicioDes2]]</f>
        <v>2</v>
      </c>
      <c r="AT375" s="261"/>
    </row>
    <row r="376" spans="1:46">
      <c r="A376" s="318" t="s">
        <v>130</v>
      </c>
      <c r="B376" s="262" t="s">
        <v>218</v>
      </c>
      <c r="C376" s="262"/>
      <c r="D376" s="262" t="s">
        <v>983</v>
      </c>
      <c r="E376" s="266"/>
      <c r="F376" s="262"/>
      <c r="G376" s="262"/>
      <c r="H376" s="421" t="s">
        <v>204</v>
      </c>
      <c r="I376" s="262" t="s">
        <v>220</v>
      </c>
      <c r="J376" s="262" t="s">
        <v>137</v>
      </c>
      <c r="K376" s="262"/>
      <c r="L376" s="262"/>
      <c r="M376" s="262" t="s">
        <v>330</v>
      </c>
      <c r="N376" s="262" t="s">
        <v>513</v>
      </c>
      <c r="O376" s="722" t="s">
        <v>514</v>
      </c>
      <c r="P376" s="262" t="s">
        <v>835</v>
      </c>
      <c r="Q376" s="262" t="s">
        <v>143</v>
      </c>
      <c r="R376" s="262" t="s">
        <v>179</v>
      </c>
      <c r="S376" s="262"/>
      <c r="T376" s="261" t="s">
        <v>320</v>
      </c>
      <c r="U376" s="261"/>
      <c r="V376" s="261" t="s">
        <v>146</v>
      </c>
      <c r="W376" s="261"/>
      <c r="X376" s="261">
        <v>40</v>
      </c>
      <c r="Y376" s="261">
        <f>Tabla_query__2[[#This Row],[Número
Semanas]]*5*8</f>
        <v>1600</v>
      </c>
      <c r="Z376" s="268">
        <f>Tabla_query__2[[#This Row],[TOTAL]]/Tabla_query__2[[#This Row],[Número de Horas]]/2</f>
        <v>5.8250000000000002</v>
      </c>
      <c r="AA376" s="261">
        <v>1</v>
      </c>
      <c r="AB376" s="261">
        <v>450</v>
      </c>
      <c r="AC376" s="261"/>
      <c r="AD376" s="268">
        <f>Tabla_query__2[[#This Row],[Número
Semanas]]*Tabla_query__2[[#This Row],[Número
Personas]]*Tabla_query__2[[#This Row],[Costo
Mano Obra/semana]] + 640</f>
        <v>18640</v>
      </c>
      <c r="AE376" s="261"/>
      <c r="AF376" s="261"/>
      <c r="AG376" s="261"/>
      <c r="AH376" s="267">
        <v>45352</v>
      </c>
      <c r="AI376" s="267">
        <v>45688</v>
      </c>
      <c r="AJ376" s="282" t="e">
        <f>#REF!</f>
        <v>#REF!</v>
      </c>
      <c r="AK376" s="267">
        <v>45352</v>
      </c>
      <c r="AL376" s="267">
        <v>45688</v>
      </c>
      <c r="AM376" s="282">
        <f t="shared" si="18"/>
        <v>363152</v>
      </c>
      <c r="AN376" s="267"/>
      <c r="AO376" s="267">
        <v>45688</v>
      </c>
      <c r="AP376" s="384">
        <f>Tabla_query__2[[#This Row],[InicioDes]]</f>
        <v>45352</v>
      </c>
      <c r="AQ376" s="384">
        <f>Tabla_query__2[[#This Row],[FinDes2]]</f>
        <v>45688</v>
      </c>
      <c r="AR376" s="462">
        <f>Tabla_query__2[[#This Row],[Número
Semanas]]/4</f>
        <v>10</v>
      </c>
      <c r="AS376" s="269">
        <f>Tabla_query__2[[#This Row],[FinDes2]]-Tabla_query__2[[#This Row],[InicioDes2]]</f>
        <v>45688</v>
      </c>
      <c r="AT376" s="261"/>
    </row>
    <row r="377" spans="1:46" ht="23.25">
      <c r="A377" s="318" t="s">
        <v>130</v>
      </c>
      <c r="B377" s="262" t="s">
        <v>134</v>
      </c>
      <c r="C377" s="262"/>
      <c r="D377" s="266" t="s">
        <v>984</v>
      </c>
      <c r="E377" s="266"/>
      <c r="F377" s="259" t="s">
        <v>985</v>
      </c>
      <c r="G377" s="259"/>
      <c r="H377" s="259" t="s">
        <v>204</v>
      </c>
      <c r="I377" s="262" t="s">
        <v>138</v>
      </c>
      <c r="J377" s="262" t="s">
        <v>137</v>
      </c>
      <c r="K377" s="262"/>
      <c r="L377" s="262"/>
      <c r="M377" s="262" t="s">
        <v>330</v>
      </c>
      <c r="N377" s="262" t="s">
        <v>513</v>
      </c>
      <c r="O377" s="722" t="s">
        <v>514</v>
      </c>
      <c r="P377" s="262" t="s">
        <v>835</v>
      </c>
      <c r="Q377" s="262" t="s">
        <v>143</v>
      </c>
      <c r="R377" s="262" t="s">
        <v>144</v>
      </c>
      <c r="S377" s="261"/>
      <c r="T377" s="261" t="s">
        <v>145</v>
      </c>
      <c r="U377" s="328" t="s">
        <v>986</v>
      </c>
      <c r="V377" s="261" t="s">
        <v>146</v>
      </c>
      <c r="W377" s="261">
        <v>1</v>
      </c>
      <c r="X377" s="261">
        <v>6</v>
      </c>
      <c r="Y377" s="261">
        <f>Tabla_query__2[[#This Row],[Número
Semanas]]*5*8</f>
        <v>240</v>
      </c>
      <c r="Z377" s="268">
        <f>Tabla_query__2[[#This Row],[TOTAL]]/Tabla_query__2[[#This Row],[Número de Horas]]/2</f>
        <v>6.875</v>
      </c>
      <c r="AA377" s="261">
        <v>1</v>
      </c>
      <c r="AB377" s="261">
        <v>550</v>
      </c>
      <c r="AC377" s="261"/>
      <c r="AD377" s="268">
        <f>Tabla_query__2[[#This Row],[Número
Semanas]]*Tabla_query__2[[#This Row],[Número
Personas]]*Tabla_query__2[[#This Row],[Costo
Mano Obra/semana]]</f>
        <v>3300</v>
      </c>
      <c r="AE377" s="261"/>
      <c r="AF377" s="261"/>
      <c r="AG377" s="261"/>
      <c r="AH377" s="267">
        <v>45383</v>
      </c>
      <c r="AI377" s="267">
        <v>45408</v>
      </c>
      <c r="AJ377" s="282" t="e">
        <f>#REF!</f>
        <v>#REF!</v>
      </c>
      <c r="AK377" s="267">
        <v>45411</v>
      </c>
      <c r="AL377" s="267">
        <v>45415</v>
      </c>
      <c r="AM377" s="282">
        <f t="shared" si="18"/>
        <v>363292</v>
      </c>
      <c r="AN377" s="267">
        <v>45418</v>
      </c>
      <c r="AO377" s="267">
        <v>45420</v>
      </c>
      <c r="AP377" s="384">
        <f>Tabla_query__2[[#This Row],[InicioDes]]</f>
        <v>45383</v>
      </c>
      <c r="AQ377" s="384">
        <f>Tabla_query__2[[#This Row],[FinDes2]]</f>
        <v>45420</v>
      </c>
      <c r="AR377" s="462">
        <f>Tabla_query__2[[#This Row],[Número
Semanas]]/4</f>
        <v>1.5</v>
      </c>
      <c r="AS377" s="269">
        <f>Tabla_query__2[[#This Row],[FinDes2]]-Tabla_query__2[[#This Row],[InicioDes2]]</f>
        <v>2</v>
      </c>
      <c r="AT377" s="261"/>
    </row>
    <row r="378" spans="1:46">
      <c r="A378" s="318" t="s">
        <v>130</v>
      </c>
      <c r="B378" s="262" t="s">
        <v>218</v>
      </c>
      <c r="C378" s="262"/>
      <c r="D378" s="262" t="s">
        <v>987</v>
      </c>
      <c r="E378" s="266"/>
      <c r="F378" s="262" t="s">
        <v>988</v>
      </c>
      <c r="G378" s="262"/>
      <c r="H378" s="259" t="s">
        <v>204</v>
      </c>
      <c r="I378" s="262" t="s">
        <v>266</v>
      </c>
      <c r="J378" s="262" t="s">
        <v>137</v>
      </c>
      <c r="K378" s="262"/>
      <c r="L378" s="262"/>
      <c r="M378" s="262" t="s">
        <v>330</v>
      </c>
      <c r="N378" s="262" t="s">
        <v>513</v>
      </c>
      <c r="O378" s="722" t="s">
        <v>514</v>
      </c>
      <c r="P378" s="262" t="s">
        <v>835</v>
      </c>
      <c r="Q378" s="262" t="s">
        <v>143</v>
      </c>
      <c r="R378" s="262" t="s">
        <v>144</v>
      </c>
      <c r="S378" s="262"/>
      <c r="T378" s="261" t="s">
        <v>145</v>
      </c>
      <c r="U378" s="261"/>
      <c r="V378" s="261" t="s">
        <v>136</v>
      </c>
      <c r="W378" s="261"/>
      <c r="X378" s="261">
        <v>5</v>
      </c>
      <c r="Y378" s="261">
        <f>Tabla_query__2[[#This Row],[Número
Semanas]]*5*8</f>
        <v>200</v>
      </c>
      <c r="Z378" s="268">
        <f>Tabla_query__2[[#This Row],[TOTAL]]/Tabla_query__2[[#This Row],[Número de Horas]]/2</f>
        <v>11.6</v>
      </c>
      <c r="AA378" s="261">
        <v>2</v>
      </c>
      <c r="AB378" s="261">
        <v>400</v>
      </c>
      <c r="AC378" s="261"/>
      <c r="AD378" s="268">
        <f>Tabla_query__2[[#This Row],[Número
Semanas]]*Tabla_query__2[[#This Row],[Número
Personas]]*Tabla_query__2[[#This Row],[Costo
Mano Obra/semana]] + 640</f>
        <v>4640</v>
      </c>
      <c r="AE378" s="261"/>
      <c r="AF378" s="261"/>
      <c r="AG378" s="261"/>
      <c r="AH378" s="334">
        <v>45427</v>
      </c>
      <c r="AI378" s="334">
        <v>45483</v>
      </c>
      <c r="AJ378" s="282" t="e">
        <f>#REF!</f>
        <v>#REF!</v>
      </c>
      <c r="AK378" s="334">
        <v>45483</v>
      </c>
      <c r="AL378" s="334">
        <v>45497</v>
      </c>
      <c r="AM378" s="282">
        <f t="shared" si="18"/>
        <v>363878</v>
      </c>
      <c r="AN378" s="267"/>
      <c r="AO378" s="267">
        <v>45497</v>
      </c>
      <c r="AP378" s="384">
        <f>Tabla_query__2[[#This Row],[InicioDes]]</f>
        <v>45427</v>
      </c>
      <c r="AQ378" s="384">
        <f>Tabla_query__2[[#This Row],[FinDes2]]</f>
        <v>45497</v>
      </c>
      <c r="AR378" s="462">
        <f>Tabla_query__2[[#This Row],[Número
Semanas]]/4</f>
        <v>1.25</v>
      </c>
      <c r="AS378" s="269">
        <f>Tabla_query__2[[#This Row],[FinDes2]]-Tabla_query__2[[#This Row],[InicioDes2]]</f>
        <v>45497</v>
      </c>
      <c r="AT378" s="261"/>
    </row>
    <row r="379" spans="1:46" ht="46.5">
      <c r="A379" s="318" t="s">
        <v>130</v>
      </c>
      <c r="B379" s="262" t="s">
        <v>134</v>
      </c>
      <c r="C379" s="262"/>
      <c r="D379" s="266" t="s">
        <v>989</v>
      </c>
      <c r="E379" s="266"/>
      <c r="F379" s="259" t="s">
        <v>990</v>
      </c>
      <c r="G379" s="259"/>
      <c r="H379" s="259" t="s">
        <v>204</v>
      </c>
      <c r="I379" s="262" t="s">
        <v>266</v>
      </c>
      <c r="J379" s="262" t="s">
        <v>137</v>
      </c>
      <c r="K379" s="262"/>
      <c r="L379" s="262"/>
      <c r="M379" s="262" t="s">
        <v>330</v>
      </c>
      <c r="N379" s="262" t="s">
        <v>513</v>
      </c>
      <c r="O379" s="722" t="s">
        <v>514</v>
      </c>
      <c r="P379" s="262" t="s">
        <v>835</v>
      </c>
      <c r="Q379" s="262" t="s">
        <v>143</v>
      </c>
      <c r="R379" s="262" t="s">
        <v>179</v>
      </c>
      <c r="S379" s="261"/>
      <c r="T379" s="261" t="s">
        <v>152</v>
      </c>
      <c r="U379" s="261"/>
      <c r="V379" s="261" t="s">
        <v>136</v>
      </c>
      <c r="W379" s="261">
        <v>1</v>
      </c>
      <c r="X379" s="261">
        <v>4</v>
      </c>
      <c r="Y379" s="261">
        <f>Tabla_query__2[[#This Row],[Número
Semanas]]*5*8</f>
        <v>160</v>
      </c>
      <c r="Z379" s="268">
        <f>Tabla_query__2[[#This Row],[TOTAL]]/Tabla_query__2[[#This Row],[Número de Horas]]/2</f>
        <v>20.625</v>
      </c>
      <c r="AA379" s="261">
        <v>3</v>
      </c>
      <c r="AB379" s="261">
        <v>550</v>
      </c>
      <c r="AC379" s="261"/>
      <c r="AD379" s="388">
        <f>Tabla_query__2[[#This Row],[Número
Semanas]]*Tabla_query__2[[#This Row],[Número
Personas]]*Tabla_query__2[[#This Row],[Costo
Mano Obra/semana]]</f>
        <v>6600</v>
      </c>
      <c r="AE379" s="261"/>
      <c r="AF379" s="261"/>
      <c r="AG379" s="261"/>
      <c r="AH379" s="267">
        <v>45355</v>
      </c>
      <c r="AI379" s="267">
        <v>45373</v>
      </c>
      <c r="AJ379" s="269" t="e">
        <f>#REF!</f>
        <v>#REF!</v>
      </c>
      <c r="AK379" s="267">
        <v>45376</v>
      </c>
      <c r="AL379" s="267">
        <v>45380</v>
      </c>
      <c r="AM379" s="269">
        <f t="shared" si="18"/>
        <v>363012</v>
      </c>
      <c r="AN379" s="267">
        <v>45383</v>
      </c>
      <c r="AO379" s="267">
        <v>45385</v>
      </c>
      <c r="AP379" s="384">
        <f>Tabla_query__2[[#This Row],[InicioDes]]</f>
        <v>45355</v>
      </c>
      <c r="AQ379" s="384">
        <f>Tabla_query__2[[#This Row],[FinDes2]]</f>
        <v>45385</v>
      </c>
      <c r="AR379" s="462">
        <f>Tabla_query__2[[#This Row],[Número
Semanas]]/4</f>
        <v>1</v>
      </c>
      <c r="AS379" s="269">
        <f>Tabla_query__2[[#This Row],[FinDes2]]-Tabla_query__2[[#This Row],[InicioDes2]]</f>
        <v>2</v>
      </c>
      <c r="AT379" s="261"/>
    </row>
    <row r="380" spans="1:46">
      <c r="A380" s="318" t="s">
        <v>130</v>
      </c>
      <c r="B380" s="262" t="s">
        <v>218</v>
      </c>
      <c r="C380" s="262"/>
      <c r="D380" s="575" t="s">
        <v>991</v>
      </c>
      <c r="E380" s="266"/>
      <c r="F380" s="259" t="s">
        <v>992</v>
      </c>
      <c r="G380" s="259"/>
      <c r="H380" s="259" t="s">
        <v>204</v>
      </c>
      <c r="I380" s="262" t="s">
        <v>137</v>
      </c>
      <c r="J380" s="262" t="s">
        <v>137</v>
      </c>
      <c r="K380" s="262"/>
      <c r="L380" s="262"/>
      <c r="M380" s="262" t="s">
        <v>330</v>
      </c>
      <c r="N380" s="262" t="s">
        <v>513</v>
      </c>
      <c r="O380" s="722" t="s">
        <v>514</v>
      </c>
      <c r="P380" s="262"/>
      <c r="Q380" s="262"/>
      <c r="R380" s="262" t="s">
        <v>179</v>
      </c>
      <c r="S380" s="261"/>
      <c r="T380" s="261"/>
      <c r="U380" s="261"/>
      <c r="V380" s="261"/>
      <c r="W380" s="261"/>
      <c r="X380" s="261"/>
      <c r="Y380" s="261">
        <f>Tabla_query__2[[#This Row],[Número
Semanas]]*5*8</f>
        <v>0</v>
      </c>
      <c r="Z380" s="268" t="e">
        <f>Tabla_query__2[[#This Row],[TOTAL]]/Tabla_query__2[[#This Row],[Número de Horas]]/2</f>
        <v>#DIV/0!</v>
      </c>
      <c r="AA380" s="261"/>
      <c r="AB380" s="261"/>
      <c r="AC380" s="261"/>
      <c r="AD380" s="268">
        <f>Tabla_query__2[[#This Row],[Número
Semanas]]*Tabla_query__2[[#This Row],[Número
Personas]]*Tabla_query__2[[#This Row],[Costo
Mano Obra/semana]] + 640</f>
        <v>640</v>
      </c>
      <c r="AE380" s="261"/>
      <c r="AF380" s="261"/>
      <c r="AG380" s="261"/>
      <c r="AH380" s="469">
        <v>45390</v>
      </c>
      <c r="AI380" s="469"/>
      <c r="AJ380" s="469" t="e">
        <f>#REF!</f>
        <v>#REF!</v>
      </c>
      <c r="AK380" s="469"/>
      <c r="AL380" s="469"/>
      <c r="AM380" s="469">
        <f t="shared" si="18"/>
        <v>0</v>
      </c>
      <c r="AN380" s="469"/>
      <c r="AO380" s="469">
        <v>45399</v>
      </c>
      <c r="AP380" s="384">
        <v>45405</v>
      </c>
      <c r="AQ380" s="384">
        <v>45412</v>
      </c>
      <c r="AR380" s="511">
        <f>Tabla_query__2[[#This Row],[Número
Semanas]]/4</f>
        <v>0</v>
      </c>
      <c r="AS380" s="269">
        <f>Tabla_query__2[[#This Row],[FinDes2]]-Tabla_query__2[[#This Row],[InicioDes2]]</f>
        <v>45399</v>
      </c>
      <c r="AT380" s="261"/>
    </row>
    <row r="381" spans="1:46">
      <c r="A381" s="318" t="s">
        <v>130</v>
      </c>
      <c r="B381" s="262" t="s">
        <v>218</v>
      </c>
      <c r="C381" s="262"/>
      <c r="D381" s="575" t="s">
        <v>993</v>
      </c>
      <c r="E381" s="266"/>
      <c r="F381" s="259" t="s">
        <v>994</v>
      </c>
      <c r="G381" s="259"/>
      <c r="H381" s="259" t="s">
        <v>204</v>
      </c>
      <c r="I381" s="262" t="s">
        <v>137</v>
      </c>
      <c r="J381" s="262" t="s">
        <v>137</v>
      </c>
      <c r="K381" s="262"/>
      <c r="L381" s="262"/>
      <c r="M381" s="262" t="s">
        <v>330</v>
      </c>
      <c r="N381" s="262" t="s">
        <v>513</v>
      </c>
      <c r="O381" s="722" t="s">
        <v>514</v>
      </c>
      <c r="P381" s="262"/>
      <c r="Q381" s="262"/>
      <c r="R381" s="262" t="s">
        <v>197</v>
      </c>
      <c r="S381" s="261"/>
      <c r="T381" s="261"/>
      <c r="U381" s="261"/>
      <c r="V381" s="261"/>
      <c r="W381" s="261"/>
      <c r="X381" s="261"/>
      <c r="Y381" s="261">
        <f>Tabla_query__2[[#This Row],[Número
Semanas]]*5*8</f>
        <v>0</v>
      </c>
      <c r="Z381" s="268" t="e">
        <f>Tabla_query__2[[#This Row],[TOTAL]]/Tabla_query__2[[#This Row],[Número de Horas]]/2</f>
        <v>#DIV/0!</v>
      </c>
      <c r="AA381" s="261"/>
      <c r="AB381" s="261"/>
      <c r="AC381" s="261"/>
      <c r="AD381" s="268">
        <f>Tabla_query__2[[#This Row],[Número
Semanas]]*Tabla_query__2[[#This Row],[Número
Personas]]*Tabla_query__2[[#This Row],[Costo
Mano Obra/semana]] + 640</f>
        <v>640</v>
      </c>
      <c r="AE381" s="261"/>
      <c r="AF381" s="261"/>
      <c r="AG381" s="261"/>
      <c r="AH381" s="469" t="s">
        <v>995</v>
      </c>
      <c r="AI381" s="469"/>
      <c r="AJ381" s="469" t="e">
        <f>#REF!</f>
        <v>#REF!</v>
      </c>
      <c r="AK381" s="469"/>
      <c r="AL381" s="469"/>
      <c r="AM381" s="469">
        <f t="shared" si="18"/>
        <v>0</v>
      </c>
      <c r="AN381" s="469"/>
      <c r="AO381" s="469" t="s">
        <v>995</v>
      </c>
      <c r="AP381" s="384" t="s">
        <v>995</v>
      </c>
      <c r="AQ381" s="384" t="s">
        <v>995</v>
      </c>
      <c r="AR381" s="511">
        <f>Tabla_query__2[[#This Row],[Número
Semanas]]/4</f>
        <v>0</v>
      </c>
      <c r="AS381" s="269" t="e">
        <f>Tabla_query__2[[#This Row],[FinDes2]]-Tabla_query__2[[#This Row],[InicioDes2]]</f>
        <v>#VALUE!</v>
      </c>
      <c r="AT381" s="261"/>
    </row>
    <row r="382" spans="1:46">
      <c r="A382" s="318" t="s">
        <v>130</v>
      </c>
      <c r="B382" s="262" t="s">
        <v>218</v>
      </c>
      <c r="C382" s="262"/>
      <c r="D382" s="262" t="s">
        <v>996</v>
      </c>
      <c r="E382" s="266"/>
      <c r="F382" s="262" t="s">
        <v>997</v>
      </c>
      <c r="G382" s="262"/>
      <c r="H382" s="262" t="s">
        <v>204</v>
      </c>
      <c r="I382" s="262" t="s">
        <v>220</v>
      </c>
      <c r="J382" s="262" t="s">
        <v>137</v>
      </c>
      <c r="K382" s="262"/>
      <c r="L382" s="262"/>
      <c r="M382" s="262" t="s">
        <v>330</v>
      </c>
      <c r="N382" s="262" t="s">
        <v>513</v>
      </c>
      <c r="O382" s="722" t="s">
        <v>514</v>
      </c>
      <c r="P382" s="262" t="s">
        <v>835</v>
      </c>
      <c r="Q382" s="262" t="s">
        <v>143</v>
      </c>
      <c r="R382" s="262" t="s">
        <v>144</v>
      </c>
      <c r="S382" s="262"/>
      <c r="T382" s="261" t="s">
        <v>145</v>
      </c>
      <c r="U382" s="261"/>
      <c r="V382" s="261" t="s">
        <v>210</v>
      </c>
      <c r="W382" s="261"/>
      <c r="X382" s="261">
        <v>2</v>
      </c>
      <c r="Y382" s="261">
        <f>Tabla_query__2[[#This Row],[Número
Semanas]]*5*8</f>
        <v>80</v>
      </c>
      <c r="Z382" s="268">
        <f>Tabla_query__2[[#This Row],[TOTAL]]/Tabla_query__2[[#This Row],[Número de Horas]]/2</f>
        <v>0</v>
      </c>
      <c r="AA382" s="261">
        <v>1</v>
      </c>
      <c r="AB382" s="261"/>
      <c r="AC382" s="261"/>
      <c r="AD382" s="268"/>
      <c r="AE382" s="261"/>
      <c r="AF382" s="261"/>
      <c r="AG382" s="261"/>
      <c r="AH382" s="267">
        <v>45427</v>
      </c>
      <c r="AI382" s="267">
        <v>45483</v>
      </c>
      <c r="AJ382" s="267">
        <v>45483</v>
      </c>
      <c r="AK382" s="267">
        <v>45483</v>
      </c>
      <c r="AL382" s="267">
        <v>45497</v>
      </c>
      <c r="AM382" s="282">
        <f t="shared" si="18"/>
        <v>363878</v>
      </c>
      <c r="AN382" s="267"/>
      <c r="AO382" s="267"/>
      <c r="AP382" s="384"/>
      <c r="AQ382" s="384"/>
      <c r="AR382" s="462">
        <f>Tabla_query__2[[#This Row],[Número
Semanas]]/4</f>
        <v>0.5</v>
      </c>
      <c r="AS382" s="269">
        <f>Tabla_query__2[[#This Row],[FinDes2]]-Tabla_query__2[[#This Row],[InicioDes2]]</f>
        <v>0</v>
      </c>
      <c r="AT382" s="261"/>
    </row>
    <row r="383" spans="1:46" ht="23.25">
      <c r="A383" s="318" t="s">
        <v>130</v>
      </c>
      <c r="B383" s="262" t="s">
        <v>134</v>
      </c>
      <c r="C383" s="262"/>
      <c r="D383" s="266" t="s">
        <v>998</v>
      </c>
      <c r="E383" s="266"/>
      <c r="F383" s="259" t="s">
        <v>999</v>
      </c>
      <c r="G383" s="259"/>
      <c r="H383" s="259" t="s">
        <v>204</v>
      </c>
      <c r="I383" s="262" t="s">
        <v>266</v>
      </c>
      <c r="J383" s="262" t="s">
        <v>137</v>
      </c>
      <c r="K383" s="262"/>
      <c r="L383" s="262"/>
      <c r="M383" s="262" t="s">
        <v>330</v>
      </c>
      <c r="N383" s="262" t="s">
        <v>513</v>
      </c>
      <c r="O383" s="722" t="s">
        <v>514</v>
      </c>
      <c r="P383" s="262" t="s">
        <v>835</v>
      </c>
      <c r="Q383" s="262" t="s">
        <v>143</v>
      </c>
      <c r="R383" s="262" t="s">
        <v>144</v>
      </c>
      <c r="S383" s="261"/>
      <c r="T383" s="261" t="s">
        <v>145</v>
      </c>
      <c r="U383" s="261" t="s">
        <v>1000</v>
      </c>
      <c r="V383" s="261" t="s">
        <v>146</v>
      </c>
      <c r="W383" s="261">
        <v>1</v>
      </c>
      <c r="X383" s="261">
        <v>4</v>
      </c>
      <c r="Y383" s="261">
        <f>Tabla_query__2[[#This Row],[Número
Semanas]]*5*8</f>
        <v>160</v>
      </c>
      <c r="Z383" s="268">
        <f>Tabla_query__2[[#This Row],[TOTAL]]/Tabla_query__2[[#This Row],[Número de Horas]]/2</f>
        <v>13.75</v>
      </c>
      <c r="AA383" s="261">
        <v>2</v>
      </c>
      <c r="AB383" s="261">
        <v>550</v>
      </c>
      <c r="AC383" s="261"/>
      <c r="AD383" s="388">
        <f>Tabla_query__2[[#This Row],[Número
Semanas]]*Tabla_query__2[[#This Row],[Número
Personas]]*Tabla_query__2[[#This Row],[Costo
Mano Obra/semana]]</f>
        <v>4400</v>
      </c>
      <c r="AE383" s="261"/>
      <c r="AF383" s="261"/>
      <c r="AG383" s="261"/>
      <c r="AH383" s="267"/>
      <c r="AI383" s="267"/>
      <c r="AJ383" s="269" t="e">
        <f>#REF!</f>
        <v>#REF!</v>
      </c>
      <c r="AK383" s="267">
        <v>45418</v>
      </c>
      <c r="AL383" s="267">
        <v>45436</v>
      </c>
      <c r="AM383" s="269">
        <f t="shared" si="18"/>
        <v>363362</v>
      </c>
      <c r="AN383" s="267">
        <v>45439</v>
      </c>
      <c r="AO383" s="267">
        <v>45441</v>
      </c>
      <c r="AP383" s="384">
        <f>Tabla_query__2[[#This Row],[InicioDes]]</f>
        <v>0</v>
      </c>
      <c r="AQ383" s="384">
        <f>Tabla_query__2[[#This Row],[FinDes2]]</f>
        <v>45441</v>
      </c>
      <c r="AR383" s="267">
        <f>Tabla_query__2[[#This Row],[Número
Semanas]]/4</f>
        <v>1</v>
      </c>
      <c r="AS383" s="269">
        <f>Tabla_query__2[[#This Row],[FinDes2]]-Tabla_query__2[[#This Row],[InicioDes2]]</f>
        <v>2</v>
      </c>
      <c r="AT383" s="261"/>
    </row>
    <row r="384" spans="1:46" ht="23.25">
      <c r="A384" s="318" t="s">
        <v>251</v>
      </c>
      <c r="B384" s="262" t="s">
        <v>134</v>
      </c>
      <c r="C384" s="262"/>
      <c r="D384" s="277" t="s">
        <v>890</v>
      </c>
      <c r="E384" s="262"/>
      <c r="F384" s="259" t="s">
        <v>1001</v>
      </c>
      <c r="G384" s="259"/>
      <c r="H384" s="259"/>
      <c r="I384" s="262" t="s">
        <v>1002</v>
      </c>
      <c r="J384" s="262" t="s">
        <v>139</v>
      </c>
      <c r="K384" s="262"/>
      <c r="L384" s="262"/>
      <c r="M384" s="266" t="s">
        <v>206</v>
      </c>
      <c r="N384" s="262" t="s">
        <v>1003</v>
      </c>
      <c r="O384" s="722" t="s">
        <v>531</v>
      </c>
      <c r="P384" s="262" t="s">
        <v>139</v>
      </c>
      <c r="Q384" s="262" t="s">
        <v>143</v>
      </c>
      <c r="R384" s="262" t="s">
        <v>197</v>
      </c>
      <c r="S384" s="261"/>
      <c r="T384" s="261" t="str">
        <f>IF(MONTH(AH384)&lt;4, "Q1",IF(AND(MONTH(AH384)&gt;3,MONTH(AH384)&lt;=6),"Q2",IF(AND(MONTH(AH384)&gt;6,MONTH(AH384)&lt;=9),"Q3","Q4")))</f>
        <v>Q1</v>
      </c>
      <c r="U384" s="261"/>
      <c r="V384" s="261" t="s">
        <v>210</v>
      </c>
      <c r="W384" s="261"/>
      <c r="X384" s="261"/>
      <c r="Y384" s="261">
        <f>Tabla_query__2[[#This Row],[Número
Semanas]]*5*8</f>
        <v>0</v>
      </c>
      <c r="Z384" s="268" t="e">
        <f>Tabla_query__2[[#This Row],[TOTAL]]/Tabla_query__2[[#This Row],[Número de Horas]]/2</f>
        <v>#DIV/0!</v>
      </c>
      <c r="AA384" s="261"/>
      <c r="AB384" s="261"/>
      <c r="AC384" s="261"/>
      <c r="AD384" s="388">
        <f>Tabla_query__2[[#This Row],[Número
Semanas]]*Tabla_query__2[[#This Row],[Número
Personas]]*Tabla_query__2[[#This Row],[Costo
Mano Obra/semana]]+580</f>
        <v>580</v>
      </c>
      <c r="AE384" s="261"/>
      <c r="AF384" s="261"/>
      <c r="AG384" s="261"/>
      <c r="AH384" s="281"/>
      <c r="AI384" s="281"/>
      <c r="AJ384" s="281"/>
      <c r="AK384" s="281"/>
      <c r="AL384" s="281"/>
      <c r="AM384" s="281">
        <f t="shared" si="18"/>
        <v>0</v>
      </c>
      <c r="AN384" s="281"/>
      <c r="AO384" s="281"/>
      <c r="AP384" s="281">
        <f>Tabla_query__2[[#This Row],[InicioDes]]</f>
        <v>0</v>
      </c>
      <c r="AQ384" s="281">
        <f>Tabla_query__2[[#This Row],[FinDes2]]</f>
        <v>0</v>
      </c>
      <c r="AR384" s="462">
        <f>Tabla_query__2[[#This Row],[Número
Semanas]]/4</f>
        <v>0</v>
      </c>
      <c r="AS384" s="269">
        <f>Tabla_query__2[[#This Row],[FinDes2]]-Tabla_query__2[[#This Row],[InicioDes2]]</f>
        <v>0</v>
      </c>
      <c r="AT384" s="261" t="s">
        <v>155</v>
      </c>
    </row>
    <row r="385" spans="1:51" ht="23.25">
      <c r="A385" s="318" t="s">
        <v>251</v>
      </c>
      <c r="B385" s="262" t="s">
        <v>134</v>
      </c>
      <c r="C385" s="262"/>
      <c r="D385" s="266" t="s">
        <v>890</v>
      </c>
      <c r="E385" s="262"/>
      <c r="F385" s="259" t="s">
        <v>1001</v>
      </c>
      <c r="G385" s="259"/>
      <c r="H385" s="259" t="s">
        <v>137</v>
      </c>
      <c r="I385" s="262" t="s">
        <v>138</v>
      </c>
      <c r="J385" s="262" t="s">
        <v>137</v>
      </c>
      <c r="K385" s="262"/>
      <c r="L385" s="262"/>
      <c r="M385" s="266" t="s">
        <v>328</v>
      </c>
      <c r="N385" s="262" t="s">
        <v>1003</v>
      </c>
      <c r="O385" s="722" t="s">
        <v>531</v>
      </c>
      <c r="P385" s="262" t="s">
        <v>763</v>
      </c>
      <c r="Q385" s="262" t="s">
        <v>143</v>
      </c>
      <c r="R385" s="262" t="s">
        <v>179</v>
      </c>
      <c r="S385" s="261"/>
      <c r="T385" s="261" t="s">
        <v>152</v>
      </c>
      <c r="U385" s="261"/>
      <c r="V385" s="261" t="s">
        <v>136</v>
      </c>
      <c r="W385" s="261"/>
      <c r="X385" s="261">
        <v>8</v>
      </c>
      <c r="Y385" s="261">
        <f>Tabla_query__2[[#This Row],[Número
Semanas]]*5*8</f>
        <v>320</v>
      </c>
      <c r="Z385" s="268">
        <f>Tabla_query__2[[#This Row],[TOTAL]]/Tabla_query__2[[#This Row],[Número de Horas]]/2</f>
        <v>7.8125</v>
      </c>
      <c r="AA385" s="261">
        <v>1</v>
      </c>
      <c r="AB385" s="261">
        <v>625</v>
      </c>
      <c r="AC385" s="261"/>
      <c r="AD385" s="268">
        <f>Tabla_query__2[[#This Row],[Número
Semanas]]*Tabla_query__2[[#This Row],[Número
Personas]]*Tabla_query__2[[#This Row],[Costo
Mano Obra/semana]]</f>
        <v>5000</v>
      </c>
      <c r="AE385" s="261"/>
      <c r="AF385" s="261"/>
      <c r="AG385" s="261"/>
      <c r="AH385" s="267">
        <v>45355</v>
      </c>
      <c r="AI385" s="267">
        <v>45393</v>
      </c>
      <c r="AJ385" s="282" t="e">
        <f>#REF!</f>
        <v>#REF!</v>
      </c>
      <c r="AK385" s="267">
        <v>45397</v>
      </c>
      <c r="AL385" s="267">
        <v>45401</v>
      </c>
      <c r="AM385" s="282">
        <f t="shared" si="18"/>
        <v>363180</v>
      </c>
      <c r="AN385" s="267">
        <v>45404</v>
      </c>
      <c r="AO385" s="267">
        <v>45408</v>
      </c>
      <c r="AP385" s="384">
        <f>Tabla_query__2[[#This Row],[InicioDes]]</f>
        <v>45355</v>
      </c>
      <c r="AQ385" s="384">
        <f>Tabla_query__2[[#This Row],[FinDes2]]</f>
        <v>45408</v>
      </c>
      <c r="AR385" s="462">
        <f>Tabla_query__2[[#This Row],[Número
Semanas]]/4</f>
        <v>2</v>
      </c>
      <c r="AS385" s="269">
        <f>Tabla_query__2[[#This Row],[FinDes2]]-Tabla_query__2[[#This Row],[InicioDes2]]</f>
        <v>4</v>
      </c>
      <c r="AT385" s="261" t="s">
        <v>155</v>
      </c>
    </row>
    <row r="386" spans="1:51" ht="23.25">
      <c r="A386" s="318" t="s">
        <v>251</v>
      </c>
      <c r="B386" s="262" t="s">
        <v>134</v>
      </c>
      <c r="C386" s="262"/>
      <c r="D386" s="266" t="s">
        <v>890</v>
      </c>
      <c r="E386" s="262"/>
      <c r="F386" s="259" t="s">
        <v>1001</v>
      </c>
      <c r="G386" s="259"/>
      <c r="H386" s="259" t="s">
        <v>137</v>
      </c>
      <c r="I386" s="262" t="s">
        <v>138</v>
      </c>
      <c r="J386" s="262" t="s">
        <v>137</v>
      </c>
      <c r="K386" s="262"/>
      <c r="L386" s="262"/>
      <c r="M386" s="266" t="s">
        <v>140</v>
      </c>
      <c r="N386" s="262" t="s">
        <v>1003</v>
      </c>
      <c r="O386" s="722" t="s">
        <v>531</v>
      </c>
      <c r="P386" s="262" t="s">
        <v>762</v>
      </c>
      <c r="Q386" s="262" t="s">
        <v>143</v>
      </c>
      <c r="R386" s="262" t="s">
        <v>144</v>
      </c>
      <c r="S386" s="261"/>
      <c r="T386" s="261" t="s">
        <v>145</v>
      </c>
      <c r="U386" s="261"/>
      <c r="V386" s="261" t="s">
        <v>136</v>
      </c>
      <c r="W386" s="261">
        <v>1</v>
      </c>
      <c r="X386" s="261">
        <v>12</v>
      </c>
      <c r="Y386" s="261">
        <f>Tabla_query__2[[#This Row],[Número
Semanas]]*5*8</f>
        <v>480</v>
      </c>
      <c r="Z386" s="268">
        <f>Tabla_query__2[[#This Row],[TOTAL]]/Tabla_query__2[[#This Row],[Número de Horas]]/2</f>
        <v>6.875</v>
      </c>
      <c r="AA386" s="261">
        <v>1</v>
      </c>
      <c r="AB386" s="261">
        <v>550</v>
      </c>
      <c r="AC386" s="261"/>
      <c r="AD386" s="268">
        <f>Tabla_query__2[[#This Row],[Número
Semanas]]*Tabla_query__2[[#This Row],[Número
Personas]]*Tabla_query__2[[#This Row],[Costo
Mano Obra/semana]]</f>
        <v>6600</v>
      </c>
      <c r="AE386" s="261"/>
      <c r="AF386" s="261"/>
      <c r="AG386" s="261"/>
      <c r="AH386" s="282">
        <v>45355</v>
      </c>
      <c r="AI386" s="282">
        <v>45422</v>
      </c>
      <c r="AJ386" s="282" t="e">
        <f>#REF!</f>
        <v>#REF!</v>
      </c>
      <c r="AK386" s="282">
        <v>45425</v>
      </c>
      <c r="AL386" s="282">
        <v>45429</v>
      </c>
      <c r="AM386" s="282">
        <f t="shared" si="18"/>
        <v>363404</v>
      </c>
      <c r="AN386" s="282">
        <v>45432</v>
      </c>
      <c r="AO386" s="282">
        <v>45436</v>
      </c>
      <c r="AP386" s="384">
        <f>Tabla_query__2[[#This Row],[InicioDes]]</f>
        <v>45355</v>
      </c>
      <c r="AQ386" s="384">
        <f>Tabla_query__2[[#This Row],[FinDes2]]</f>
        <v>45436</v>
      </c>
      <c r="AR386" s="462">
        <f>Tabla_query__2[[#This Row],[Número
Semanas]]/4</f>
        <v>3</v>
      </c>
      <c r="AS386" s="269">
        <f>Tabla_query__2[[#This Row],[FinDes2]]-Tabla_query__2[[#This Row],[InicioDes2]]</f>
        <v>4</v>
      </c>
      <c r="AT386" s="261" t="s">
        <v>155</v>
      </c>
    </row>
    <row r="387" spans="1:51">
      <c r="A387" s="318" t="s">
        <v>130</v>
      </c>
      <c r="B387" s="277" t="s">
        <v>212</v>
      </c>
      <c r="C387" s="277"/>
      <c r="D387" s="262" t="s">
        <v>1004</v>
      </c>
      <c r="E387" s="262"/>
      <c r="F387" s="259" t="s">
        <v>1005</v>
      </c>
      <c r="G387" s="259"/>
      <c r="H387" s="259"/>
      <c r="I387" s="259" t="s">
        <v>1005</v>
      </c>
      <c r="J387" s="262" t="s">
        <v>139</v>
      </c>
      <c r="K387" s="262"/>
      <c r="L387" s="262"/>
      <c r="M387" s="277" t="s">
        <v>206</v>
      </c>
      <c r="N387" s="277" t="s">
        <v>1006</v>
      </c>
      <c r="O387" s="723" t="s">
        <v>544</v>
      </c>
      <c r="P387" s="277" t="s">
        <v>139</v>
      </c>
      <c r="Q387" s="262" t="s">
        <v>208</v>
      </c>
      <c r="R387" s="277" t="s">
        <v>144</v>
      </c>
      <c r="S387" s="259" t="s">
        <v>221</v>
      </c>
      <c r="T387" s="259" t="s">
        <v>221</v>
      </c>
      <c r="U387" s="259"/>
      <c r="V387" s="261" t="s">
        <v>136</v>
      </c>
      <c r="W387" s="259">
        <v>1</v>
      </c>
      <c r="X387" s="259">
        <v>24</v>
      </c>
      <c r="Y387" s="259">
        <f>Tabla_query__2[[#This Row],[Número
Semanas]]*5*8</f>
        <v>960</v>
      </c>
      <c r="Z387" s="387">
        <f>Tabla_query__2[[#This Row],[TOTAL]]/Tabla_query__2[[#This Row],[Número de Horas]]/2</f>
        <v>12.5</v>
      </c>
      <c r="AA387" s="259">
        <v>2</v>
      </c>
      <c r="AB387" s="259">
        <v>500</v>
      </c>
      <c r="AC387" s="259"/>
      <c r="AD387" s="387">
        <f>((X387*AA387*AB387)+AC387)*W387</f>
        <v>24000</v>
      </c>
      <c r="AE387" s="259"/>
      <c r="AF387" s="259"/>
      <c r="AG387" s="259"/>
      <c r="AH387" s="281">
        <v>45350</v>
      </c>
      <c r="AI387" s="281">
        <v>45532</v>
      </c>
      <c r="AJ387" s="281">
        <f>Tabla_query__2[[#This Row],[FinDes]]-Tabla_query__2[[#This Row],[InicioDes]]</f>
        <v>182</v>
      </c>
      <c r="AK387" s="281"/>
      <c r="AL387" s="281"/>
      <c r="AM387" s="281">
        <f>Tabla_query__2[[#This Row],[FinPil]]-Tabla_query__2[[#This Row],[InicioPil]]</f>
        <v>0</v>
      </c>
      <c r="AN387" s="281"/>
      <c r="AO387" s="281"/>
      <c r="AP387" s="281">
        <f>Tabla_query__2[[#This Row],[InicioDes]]</f>
        <v>45350</v>
      </c>
      <c r="AQ387" s="281">
        <f>Tabla_query__2[[#This Row],[FinDes2]]</f>
        <v>0</v>
      </c>
      <c r="AR387" s="462">
        <f>Tabla_query__2[[#This Row],[Número
Semanas]]/4</f>
        <v>6</v>
      </c>
      <c r="AS387" s="405">
        <f>Tabla_query__2[[#This Row],[FinDes2]]-Tabla_query__2[[#This Row],[InicioDes2]]</f>
        <v>0</v>
      </c>
      <c r="AT387" s="259" t="s">
        <v>155</v>
      </c>
      <c r="AU387" s="329"/>
      <c r="AV387" s="329"/>
    </row>
    <row r="388" spans="1:51">
      <c r="A388" s="318" t="s">
        <v>130</v>
      </c>
      <c r="B388" s="277" t="s">
        <v>212</v>
      </c>
      <c r="C388" s="277"/>
      <c r="D388" s="262" t="s">
        <v>1007</v>
      </c>
      <c r="E388" s="262"/>
      <c r="F388" s="259" t="s">
        <v>1008</v>
      </c>
      <c r="G388" s="259"/>
      <c r="H388" s="259"/>
      <c r="I388" s="266" t="s">
        <v>1007</v>
      </c>
      <c r="J388" s="262" t="s">
        <v>139</v>
      </c>
      <c r="K388" s="262"/>
      <c r="L388" s="262"/>
      <c r="M388" s="277" t="s">
        <v>206</v>
      </c>
      <c r="N388" s="277" t="s">
        <v>1006</v>
      </c>
      <c r="O388" s="723" t="s">
        <v>544</v>
      </c>
      <c r="P388" s="277" t="s">
        <v>139</v>
      </c>
      <c r="Q388" s="262" t="s">
        <v>143</v>
      </c>
      <c r="R388" s="277" t="s">
        <v>144</v>
      </c>
      <c r="S388" s="259" t="s">
        <v>221</v>
      </c>
      <c r="T388" s="259" t="s">
        <v>221</v>
      </c>
      <c r="U388" s="259"/>
      <c r="V388" s="261" t="s">
        <v>136</v>
      </c>
      <c r="W388" s="259">
        <v>0.8</v>
      </c>
      <c r="X388" s="259">
        <v>3</v>
      </c>
      <c r="Y388" s="259">
        <f>Tabla_query__2[[#This Row],[Número
Semanas]]*5*8</f>
        <v>120</v>
      </c>
      <c r="Z388" s="387">
        <f>Tabla_query__2[[#This Row],[TOTAL]]/Tabla_query__2[[#This Row],[Número de Horas]]/2</f>
        <v>1204.6666666666667</v>
      </c>
      <c r="AA388" s="259">
        <v>24</v>
      </c>
      <c r="AB388" s="259">
        <v>500</v>
      </c>
      <c r="AC388" s="259"/>
      <c r="AD388" s="387">
        <f>272427+16693</f>
        <v>289120</v>
      </c>
      <c r="AE388" s="259"/>
      <c r="AF388" s="259"/>
      <c r="AG388" s="259"/>
      <c r="AH388" s="404">
        <v>45350</v>
      </c>
      <c r="AI388" s="404">
        <v>45532</v>
      </c>
      <c r="AJ388" s="451">
        <f>Tabla_query__2[[#This Row],[FinDes]]-Tabla_query__2[[#This Row],[InicioDes]]</f>
        <v>182</v>
      </c>
      <c r="AK388" s="404"/>
      <c r="AL388" s="404"/>
      <c r="AM388" s="405">
        <f>Tabla_query__2[[#This Row],[FinPil]]-Tabla_query__2[[#This Row],[InicioPil]]</f>
        <v>0</v>
      </c>
      <c r="AN388" s="404"/>
      <c r="AO388" s="404"/>
      <c r="AP388" s="384">
        <f>Tabla_query__2[[#This Row],[InicioDes]]</f>
        <v>45350</v>
      </c>
      <c r="AQ388" s="384">
        <f>Tabla_query__2[[#This Row],[FinDes2]]</f>
        <v>0</v>
      </c>
      <c r="AR388" s="462">
        <f>Tabla_query__2[[#This Row],[Número
Semanas]]/4</f>
        <v>0.75</v>
      </c>
      <c r="AS388" s="405">
        <f>Tabla_query__2[[#This Row],[FinDes2]]-Tabla_query__2[[#This Row],[InicioDes2]]</f>
        <v>0</v>
      </c>
      <c r="AT388" s="259" t="s">
        <v>155</v>
      </c>
      <c r="AU388" s="329"/>
      <c r="AV388" s="329"/>
    </row>
    <row r="389" spans="1:51">
      <c r="A389" s="318" t="s">
        <v>130</v>
      </c>
      <c r="B389" s="277" t="s">
        <v>212</v>
      </c>
      <c r="C389" s="277"/>
      <c r="D389" s="262" t="s">
        <v>1007</v>
      </c>
      <c r="E389" s="262"/>
      <c r="F389" s="259" t="s">
        <v>1008</v>
      </c>
      <c r="G389" s="259"/>
      <c r="H389" s="259" t="s">
        <v>137</v>
      </c>
      <c r="I389" s="266" t="s">
        <v>1007</v>
      </c>
      <c r="J389" s="262" t="s">
        <v>139</v>
      </c>
      <c r="K389" s="262"/>
      <c r="L389" s="262"/>
      <c r="M389" s="277" t="s">
        <v>328</v>
      </c>
      <c r="N389" s="277" t="s">
        <v>1006</v>
      </c>
      <c r="O389" s="723" t="s">
        <v>544</v>
      </c>
      <c r="P389" s="262" t="s">
        <v>763</v>
      </c>
      <c r="Q389" s="262" t="s">
        <v>143</v>
      </c>
      <c r="R389" s="277" t="s">
        <v>144</v>
      </c>
      <c r="S389" s="259" t="s">
        <v>221</v>
      </c>
      <c r="T389" s="259" t="s">
        <v>221</v>
      </c>
      <c r="U389" s="259"/>
      <c r="V389" s="261" t="s">
        <v>136</v>
      </c>
      <c r="W389" s="259">
        <v>0.15</v>
      </c>
      <c r="X389" s="259">
        <v>3</v>
      </c>
      <c r="Y389" s="259">
        <f>Tabla_query__2[[#This Row],[Número
Semanas]]*5*8</f>
        <v>120</v>
      </c>
      <c r="Z389" s="387">
        <f>Tabla_query__2[[#This Row],[TOTAL]]/Tabla_query__2[[#This Row],[Número de Horas]]/2</f>
        <v>94.55</v>
      </c>
      <c r="AA389" s="259">
        <v>24</v>
      </c>
      <c r="AB389" s="259">
        <v>500</v>
      </c>
      <c r="AC389" s="259"/>
      <c r="AD389" s="387">
        <v>22692</v>
      </c>
      <c r="AE389" s="259"/>
      <c r="AF389" s="259"/>
      <c r="AG389" s="259"/>
      <c r="AH389" s="404">
        <v>45350</v>
      </c>
      <c r="AI389" s="404">
        <v>45532</v>
      </c>
      <c r="AJ389" s="451">
        <f>Tabla_query__2[[#This Row],[FinDes]]-Tabla_query__2[[#This Row],[InicioDes]]</f>
        <v>182</v>
      </c>
      <c r="AK389" s="404"/>
      <c r="AL389" s="404"/>
      <c r="AM389" s="405">
        <f>Tabla_query__2[[#This Row],[FinPil]]-Tabla_query__2[[#This Row],[InicioPil]]</f>
        <v>0</v>
      </c>
      <c r="AN389" s="404"/>
      <c r="AO389" s="404"/>
      <c r="AP389" s="384">
        <f>Tabla_query__2[[#This Row],[InicioDes]]</f>
        <v>45350</v>
      </c>
      <c r="AQ389" s="384">
        <f>Tabla_query__2[[#This Row],[FinDes2]]</f>
        <v>0</v>
      </c>
      <c r="AR389" s="462">
        <f>Tabla_query__2[[#This Row],[Número
Semanas]]/4</f>
        <v>0.75</v>
      </c>
      <c r="AS389" s="405">
        <f>Tabla_query__2[[#This Row],[FinDes2]]-Tabla_query__2[[#This Row],[InicioDes2]]</f>
        <v>0</v>
      </c>
      <c r="AT389" s="259" t="s">
        <v>155</v>
      </c>
      <c r="AU389" s="329"/>
      <c r="AV389" s="329"/>
    </row>
    <row r="390" spans="1:51">
      <c r="A390" s="318" t="s">
        <v>130</v>
      </c>
      <c r="B390" s="277" t="s">
        <v>212</v>
      </c>
      <c r="C390" s="277"/>
      <c r="D390" s="277" t="s">
        <v>1007</v>
      </c>
      <c r="E390" s="262"/>
      <c r="F390" s="259" t="s">
        <v>1008</v>
      </c>
      <c r="G390" s="259"/>
      <c r="H390" s="259" t="s">
        <v>137</v>
      </c>
      <c r="I390" s="266" t="s">
        <v>1007</v>
      </c>
      <c r="J390" s="262" t="s">
        <v>139</v>
      </c>
      <c r="K390" s="262"/>
      <c r="L390" s="262"/>
      <c r="M390" s="277" t="s">
        <v>329</v>
      </c>
      <c r="N390" s="277" t="s">
        <v>1006</v>
      </c>
      <c r="O390" s="723" t="s">
        <v>544</v>
      </c>
      <c r="P390" s="262" t="s">
        <v>665</v>
      </c>
      <c r="Q390" s="262" t="s">
        <v>143</v>
      </c>
      <c r="R390" s="277" t="s">
        <v>144</v>
      </c>
      <c r="S390" s="259" t="s">
        <v>145</v>
      </c>
      <c r="T390" s="259" t="s">
        <v>221</v>
      </c>
      <c r="U390" s="259"/>
      <c r="V390" s="261" t="s">
        <v>136</v>
      </c>
      <c r="W390" s="259">
        <v>0.05</v>
      </c>
      <c r="X390" s="259">
        <v>3</v>
      </c>
      <c r="Y390" s="259">
        <f>Tabla_query__2[[#This Row],[Número
Semanas]]*5*8</f>
        <v>120</v>
      </c>
      <c r="Z390" s="387">
        <f>Tabla_query__2[[#This Row],[TOTAL]]/Tabla_query__2[[#This Row],[Número de Horas]]/2</f>
        <v>105.07916666666667</v>
      </c>
      <c r="AA390" s="259">
        <v>24</v>
      </c>
      <c r="AB390" s="259">
        <v>500</v>
      </c>
      <c r="AC390" s="259"/>
      <c r="AD390" s="387">
        <v>25219</v>
      </c>
      <c r="AE390" s="259"/>
      <c r="AF390" s="259"/>
      <c r="AG390" s="259"/>
      <c r="AH390" s="404">
        <v>45350</v>
      </c>
      <c r="AI390" s="404">
        <v>45532</v>
      </c>
      <c r="AJ390" s="451">
        <f>Tabla_query__2[[#This Row],[FinDes]]-Tabla_query__2[[#This Row],[InicioDes]]</f>
        <v>182</v>
      </c>
      <c r="AK390" s="404"/>
      <c r="AL390" s="404"/>
      <c r="AM390" s="405">
        <f>Tabla_query__2[[#This Row],[FinPil]]-Tabla_query__2[[#This Row],[InicioPil]]</f>
        <v>0</v>
      </c>
      <c r="AN390" s="404"/>
      <c r="AO390" s="404"/>
      <c r="AP390" s="384">
        <f>Tabla_query__2[[#This Row],[InicioDes]]</f>
        <v>45350</v>
      </c>
      <c r="AQ390" s="384">
        <f>Tabla_query__2[[#This Row],[FinDes2]]</f>
        <v>0</v>
      </c>
      <c r="AR390" s="462">
        <f>Tabla_query__2[[#This Row],[Número
Semanas]]/4</f>
        <v>0.75</v>
      </c>
      <c r="AS390" s="405">
        <f>Tabla_query__2[[#This Row],[FinDes2]]-Tabla_query__2[[#This Row],[InicioDes2]]</f>
        <v>0</v>
      </c>
      <c r="AT390" s="259" t="s">
        <v>155</v>
      </c>
      <c r="AU390" s="329"/>
      <c r="AV390" s="329"/>
    </row>
    <row r="391" spans="1:51" ht="23.25">
      <c r="A391" s="318" t="s">
        <v>130</v>
      </c>
      <c r="B391" s="277" t="s">
        <v>217</v>
      </c>
      <c r="C391" s="277"/>
      <c r="D391" s="262" t="s">
        <v>1009</v>
      </c>
      <c r="E391" s="262"/>
      <c r="F391" s="259" t="s">
        <v>1010</v>
      </c>
      <c r="G391" s="259"/>
      <c r="H391" s="259" t="s">
        <v>204</v>
      </c>
      <c r="I391" s="277" t="s">
        <v>1011</v>
      </c>
      <c r="J391" s="277" t="s">
        <v>4</v>
      </c>
      <c r="K391" s="277"/>
      <c r="L391" s="277"/>
      <c r="M391" s="271" t="s">
        <v>206</v>
      </c>
      <c r="N391" s="277" t="s">
        <v>10</v>
      </c>
      <c r="O391" s="723" t="s">
        <v>1012</v>
      </c>
      <c r="P391" s="277" t="s">
        <v>9</v>
      </c>
      <c r="Q391" s="262" t="s">
        <v>208</v>
      </c>
      <c r="R391" s="277" t="s">
        <v>144</v>
      </c>
      <c r="S391" s="259" t="s">
        <v>145</v>
      </c>
      <c r="T391" s="259"/>
      <c r="U391" s="259"/>
      <c r="V391" s="259" t="s">
        <v>136</v>
      </c>
      <c r="W391" s="259">
        <v>1</v>
      </c>
      <c r="X391" s="259"/>
      <c r="Y391" s="259">
        <f>Tabla_query__2[[#This Row],[Número
Semanas]]*5*8</f>
        <v>0</v>
      </c>
      <c r="Z391" s="387" t="e">
        <f>Tabla_query__2[[#This Row],[TOTAL]]/Tabla_query__2[[#This Row],[Número de Horas]]/2</f>
        <v>#DIV/0!</v>
      </c>
      <c r="AA391" s="259"/>
      <c r="AB391" s="259"/>
      <c r="AC391" s="259"/>
      <c r="AD391" s="403"/>
      <c r="AE391" s="259"/>
      <c r="AF391" s="259"/>
      <c r="AG391" s="259"/>
      <c r="AH391" s="404"/>
      <c r="AI391" s="404"/>
      <c r="AJ391" s="451">
        <f>Tabla_query__2[[#This Row],[FinDes]]-Tabla_query__2[[#This Row],[InicioDes]]</f>
        <v>0</v>
      </c>
      <c r="AK391" s="404"/>
      <c r="AL391" s="404"/>
      <c r="AM391" s="405">
        <f>Tabla_query__2[[#This Row],[FinPil]]-Tabla_query__2[[#This Row],[InicioPil]]</f>
        <v>0</v>
      </c>
      <c r="AN391" s="404"/>
      <c r="AO391" s="404"/>
      <c r="AP391" s="384">
        <f>Tabla_query__2[[#This Row],[InicioDes]]</f>
        <v>0</v>
      </c>
      <c r="AQ391" s="384">
        <f>Tabla_query__2[[#This Row],[FinDes2]]</f>
        <v>0</v>
      </c>
      <c r="AR391" s="462">
        <f>Tabla_query__2[[#This Row],[Número
Semanas]]/4</f>
        <v>0</v>
      </c>
      <c r="AS391" s="405">
        <f>Tabla_query__2[[#This Row],[FinDes2]]-Tabla_query__2[[#This Row],[InicioDes2]]</f>
        <v>0</v>
      </c>
      <c r="AT391" s="259"/>
      <c r="AU391" s="329"/>
      <c r="AV391" s="329"/>
    </row>
    <row r="392" spans="1:51" ht="46.5">
      <c r="A392" s="318" t="s">
        <v>130</v>
      </c>
      <c r="B392" s="277" t="s">
        <v>212</v>
      </c>
      <c r="C392" s="277"/>
      <c r="D392" s="262" t="s">
        <v>1013</v>
      </c>
      <c r="E392" s="262"/>
      <c r="F392" s="259" t="s">
        <v>1014</v>
      </c>
      <c r="G392" s="259"/>
      <c r="H392" s="259" t="s">
        <v>204</v>
      </c>
      <c r="I392" s="277" t="s">
        <v>1015</v>
      </c>
      <c r="J392" s="277" t="s">
        <v>4</v>
      </c>
      <c r="K392" s="277"/>
      <c r="L392" s="277"/>
      <c r="M392" s="277" t="s">
        <v>206</v>
      </c>
      <c r="N392" s="277" t="s">
        <v>10</v>
      </c>
      <c r="O392" s="723" t="s">
        <v>1012</v>
      </c>
      <c r="P392" s="277" t="s">
        <v>9</v>
      </c>
      <c r="Q392" s="262" t="s">
        <v>298</v>
      </c>
      <c r="R392" s="277" t="s">
        <v>144</v>
      </c>
      <c r="S392" s="259" t="s">
        <v>145</v>
      </c>
      <c r="T392" s="259" t="s">
        <v>145</v>
      </c>
      <c r="U392" s="259"/>
      <c r="V392" s="261" t="s">
        <v>136</v>
      </c>
      <c r="W392" s="259">
        <v>1</v>
      </c>
      <c r="X392" s="259">
        <v>2</v>
      </c>
      <c r="Y392" s="259">
        <f>Tabla_query__2[[#This Row],[Número
Semanas]]*5*8</f>
        <v>80</v>
      </c>
      <c r="Z392" s="387">
        <f>Tabla_query__2[[#This Row],[TOTAL]]/Tabla_query__2[[#This Row],[Número de Horas]]/2</f>
        <v>16</v>
      </c>
      <c r="AA392" s="259">
        <v>1</v>
      </c>
      <c r="AB392" s="259">
        <f>40*32</f>
        <v>1280</v>
      </c>
      <c r="AC392" s="259"/>
      <c r="AD392" s="403">
        <f>Tabla_query__2[[#This Row],[Número
Semanas]]*Tabla_query__2[[#This Row],[Número
Personas]]*Tabla_query__2[[#This Row],[Costo
Mano Obra/semana]]</f>
        <v>2560</v>
      </c>
      <c r="AE392" s="259"/>
      <c r="AF392" s="259"/>
      <c r="AG392" s="259"/>
      <c r="AH392" s="404">
        <v>45389</v>
      </c>
      <c r="AI392" s="404">
        <v>45426</v>
      </c>
      <c r="AJ392" s="451">
        <f>Tabla_query__2[[#This Row],[FinDes]]-Tabla_query__2[[#This Row],[InicioDes]]</f>
        <v>37</v>
      </c>
      <c r="AK392" s="404">
        <v>45426</v>
      </c>
      <c r="AL392" s="404">
        <v>45433</v>
      </c>
      <c r="AM392" s="405">
        <f>Tabla_query__2[[#This Row],[FinPil]]-Tabla_query__2[[#This Row],[InicioPil]]</f>
        <v>7</v>
      </c>
      <c r="AN392" s="404">
        <v>45433</v>
      </c>
      <c r="AO392" s="404">
        <v>45440</v>
      </c>
      <c r="AP392" s="384">
        <f>Tabla_query__2[[#This Row],[InicioDes]]</f>
        <v>45389</v>
      </c>
      <c r="AQ392" s="384">
        <f>Tabla_query__2[[#This Row],[FinDes2]]</f>
        <v>45440</v>
      </c>
      <c r="AR392" s="462">
        <f>Tabla_query__2[[#This Row],[Número
Semanas]]/4</f>
        <v>0.5</v>
      </c>
      <c r="AS392" s="405">
        <f>Tabla_query__2[[#This Row],[FinDes2]]-Tabla_query__2[[#This Row],[InicioDes2]]</f>
        <v>7</v>
      </c>
      <c r="AT392" s="259"/>
      <c r="AU392" s="329"/>
      <c r="AV392" s="329"/>
    </row>
    <row r="393" spans="1:51">
      <c r="A393" s="318" t="s">
        <v>130</v>
      </c>
      <c r="B393" s="262" t="s">
        <v>671</v>
      </c>
      <c r="C393" s="262"/>
      <c r="D393" s="277" t="s">
        <v>1016</v>
      </c>
      <c r="E393" s="262"/>
      <c r="F393" s="277" t="s">
        <v>1016</v>
      </c>
      <c r="G393" s="277"/>
      <c r="H393" s="259" t="s">
        <v>204</v>
      </c>
      <c r="I393" s="262"/>
      <c r="J393" s="262" t="s">
        <v>53</v>
      </c>
      <c r="K393" s="262"/>
      <c r="L393" s="262"/>
      <c r="M393" s="262" t="s">
        <v>206</v>
      </c>
      <c r="N393" s="262" t="s">
        <v>64</v>
      </c>
      <c r="O393" s="722" t="s">
        <v>547</v>
      </c>
      <c r="P393" s="262" t="s">
        <v>61</v>
      </c>
      <c r="Q393" s="262" t="s">
        <v>298</v>
      </c>
      <c r="R393" s="262" t="s">
        <v>179</v>
      </c>
      <c r="S393" s="261"/>
      <c r="T393" s="261"/>
      <c r="U393" s="261"/>
      <c r="V393" s="261"/>
      <c r="W393" s="261"/>
      <c r="X393" s="261"/>
      <c r="Y393" s="261">
        <f>Tabla_query__2[[#This Row],[Número
Semanas]]*5*8</f>
        <v>0</v>
      </c>
      <c r="Z393" s="268" t="e">
        <f>Tabla_query__2[[#This Row],[TOTAL]]/Tabla_query__2[[#This Row],[Número de Horas]]/2</f>
        <v>#DIV/0!</v>
      </c>
      <c r="AA393" s="261"/>
      <c r="AB393" s="261"/>
      <c r="AC393" s="261"/>
      <c r="AD393" s="268">
        <f>Tabla_query__2[[#This Row],[Número
Semanas]]*Tabla_query__2[[#This Row],[Número
Personas]]*Tabla_query__2[[#This Row],[Costo
Mano Obra/semana]] + 640</f>
        <v>640</v>
      </c>
      <c r="AE393" s="261"/>
      <c r="AF393" s="261"/>
      <c r="AG393" s="261"/>
      <c r="AH393" s="261"/>
      <c r="AI393" s="261"/>
      <c r="AJ393" s="282" t="e">
        <f>#REF!</f>
        <v>#REF!</v>
      </c>
      <c r="AK393" s="261"/>
      <c r="AL393" s="261"/>
      <c r="AM393" s="282">
        <f>AL393+ ((AK393*7))</f>
        <v>0</v>
      </c>
      <c r="AN393" s="261"/>
      <c r="AO393" s="261"/>
      <c r="AP393" s="384">
        <f>Tabla_query__2[[#This Row],[InicioDes]]</f>
        <v>0</v>
      </c>
      <c r="AQ393" s="384">
        <f>Tabla_query__2[[#This Row],[FinDes2]]</f>
        <v>0</v>
      </c>
      <c r="AR393" s="462">
        <f>Tabla_query__2[[#This Row],[Número
Semanas]]/4</f>
        <v>0</v>
      </c>
      <c r="AS393" s="269">
        <f>Tabla_query__2[[#This Row],[FinDes2]]-Tabla_query__2[[#This Row],[InicioDes2]]</f>
        <v>0</v>
      </c>
      <c r="AT393" s="261"/>
      <c r="AY393" t="s">
        <v>1017</v>
      </c>
    </row>
    <row r="394" spans="1:51" ht="34.9">
      <c r="A394" s="318" t="s">
        <v>130</v>
      </c>
      <c r="B394" s="262" t="s">
        <v>134</v>
      </c>
      <c r="C394" s="262"/>
      <c r="D394" s="266" t="s">
        <v>1018</v>
      </c>
      <c r="E394" s="262"/>
      <c r="F394" s="259" t="s">
        <v>1019</v>
      </c>
      <c r="G394" s="259"/>
      <c r="H394" s="259" t="s">
        <v>204</v>
      </c>
      <c r="I394" s="262" t="s">
        <v>266</v>
      </c>
      <c r="J394" s="262" t="s">
        <v>137</v>
      </c>
      <c r="K394" s="262"/>
      <c r="L394" s="262"/>
      <c r="M394" s="262" t="s">
        <v>330</v>
      </c>
      <c r="N394" s="262" t="s">
        <v>1020</v>
      </c>
      <c r="O394" s="722" t="s">
        <v>514</v>
      </c>
      <c r="P394" s="262" t="s">
        <v>835</v>
      </c>
      <c r="Q394" s="262" t="s">
        <v>143</v>
      </c>
      <c r="R394" s="262" t="s">
        <v>144</v>
      </c>
      <c r="S394" s="261"/>
      <c r="T394" s="261" t="s">
        <v>221</v>
      </c>
      <c r="U394" s="261" t="s">
        <v>1021</v>
      </c>
      <c r="V394" s="261" t="s">
        <v>136</v>
      </c>
      <c r="W394" s="261">
        <v>1</v>
      </c>
      <c r="X394" s="261">
        <v>8</v>
      </c>
      <c r="Y394" s="261">
        <f>Tabla_query__2[[#This Row],[Número
Semanas]]*5*8</f>
        <v>320</v>
      </c>
      <c r="Z394" s="268">
        <f>Tabla_query__2[[#This Row],[TOTAL]]/Tabla_query__2[[#This Row],[Número de Horas]]/2</f>
        <v>20.625</v>
      </c>
      <c r="AA394" s="261">
        <v>3</v>
      </c>
      <c r="AB394" s="261">
        <v>550</v>
      </c>
      <c r="AC394" s="261"/>
      <c r="AD394" s="388">
        <f>(Tabla_query__2[[#This Row],[Número
Semanas]]*Tabla_query__2[[#This Row],[Número
Personas]]*Tabla_query__2[[#This Row],[Costo
Mano Obra/semana]])+Tabla_query__2[[#This Row],[Otros 
Costos]]*Tabla_query__2[[#This Row],[Factor País]]</f>
        <v>13200</v>
      </c>
      <c r="AE394" s="261"/>
      <c r="AF394" s="261"/>
      <c r="AG394" s="261"/>
      <c r="AH394" s="267">
        <v>45474</v>
      </c>
      <c r="AI394" s="267">
        <v>45527</v>
      </c>
      <c r="AJ394" s="269" t="e">
        <f>#REF!</f>
        <v>#REF!</v>
      </c>
      <c r="AK394" s="267">
        <v>45530</v>
      </c>
      <c r="AL394" s="267">
        <v>45534</v>
      </c>
      <c r="AM394" s="269">
        <f>AL394+ ((AK394*7))</f>
        <v>364244</v>
      </c>
      <c r="AN394" s="267">
        <v>45537</v>
      </c>
      <c r="AO394" s="267">
        <v>45539</v>
      </c>
      <c r="AP394" s="384">
        <f>Tabla_query__2[[#This Row],[InicioDes]]</f>
        <v>45474</v>
      </c>
      <c r="AQ394" s="384">
        <f>Tabla_query__2[[#This Row],[FinDes2]]</f>
        <v>45539</v>
      </c>
      <c r="AR394" s="462">
        <f>Tabla_query__2[[#This Row],[Número
Semanas]]/4</f>
        <v>2</v>
      </c>
      <c r="AS394" s="269">
        <f>Tabla_query__2[[#This Row],[FinDes2]]-Tabla_query__2[[#This Row],[InicioDes2]]</f>
        <v>2</v>
      </c>
      <c r="AT394" s="261"/>
    </row>
    <row r="395" spans="1:51">
      <c r="A395" s="318" t="s">
        <v>130</v>
      </c>
      <c r="B395" s="277" t="s">
        <v>212</v>
      </c>
      <c r="C395" s="277"/>
      <c r="D395" s="262" t="s">
        <v>1022</v>
      </c>
      <c r="E395" s="262"/>
      <c r="F395" s="259" t="s">
        <v>867</v>
      </c>
      <c r="G395" s="259"/>
      <c r="H395" s="259" t="s">
        <v>204</v>
      </c>
      <c r="I395" s="277" t="s">
        <v>233</v>
      </c>
      <c r="J395" s="262" t="s">
        <v>139</v>
      </c>
      <c r="K395" s="262"/>
      <c r="L395" s="262"/>
      <c r="M395" s="277" t="s">
        <v>329</v>
      </c>
      <c r="N395" s="277" t="s">
        <v>1023</v>
      </c>
      <c r="O395" s="723" t="s">
        <v>1024</v>
      </c>
      <c r="P395" s="262" t="s">
        <v>665</v>
      </c>
      <c r="Q395" s="262" t="s">
        <v>143</v>
      </c>
      <c r="R395" s="277" t="s">
        <v>144</v>
      </c>
      <c r="S395" s="259" t="s">
        <v>152</v>
      </c>
      <c r="T395" s="259" t="s">
        <v>145</v>
      </c>
      <c r="U395" s="259"/>
      <c r="V395" s="259" t="s">
        <v>146</v>
      </c>
      <c r="W395" s="259">
        <v>1</v>
      </c>
      <c r="X395" s="259">
        <v>4</v>
      </c>
      <c r="Y395" s="259">
        <f>Tabla_query__2[[#This Row],[Número
Semanas]]*5*8</f>
        <v>160</v>
      </c>
      <c r="Z395" s="387">
        <f>Tabla_query__2[[#This Row],[TOTAL]]/Tabla_query__2[[#This Row],[Número de Horas]]/2</f>
        <v>7.15625</v>
      </c>
      <c r="AA395" s="259">
        <v>1</v>
      </c>
      <c r="AB395" s="259">
        <f>2290/4</f>
        <v>572.5</v>
      </c>
      <c r="AC395" s="259"/>
      <c r="AD395" s="403">
        <f>Tabla_query__2[[#This Row],[Número
Semanas]]*Tabla_query__2[[#This Row],[Número
Personas]]*Tabla_query__2[[#This Row],[Costo
Mano Obra/semana]]</f>
        <v>2290</v>
      </c>
      <c r="AE395" s="259"/>
      <c r="AF395" s="259"/>
      <c r="AG395" s="259"/>
      <c r="AH395" s="281">
        <v>45343</v>
      </c>
      <c r="AI395" s="281">
        <v>45358</v>
      </c>
      <c r="AJ395" s="281">
        <f>Tabla_query__2[[#This Row],[FinDes]]-Tabla_query__2[[#This Row],[InicioDes]]</f>
        <v>15</v>
      </c>
      <c r="AK395" s="281">
        <v>45358</v>
      </c>
      <c r="AL395" s="281">
        <v>45365</v>
      </c>
      <c r="AM395" s="281">
        <f>Tabla_query__2[[#This Row],[FinPil]]-Tabla_query__2[[#This Row],[InicioPil]]</f>
        <v>7</v>
      </c>
      <c r="AN395" s="281">
        <v>45365</v>
      </c>
      <c r="AO395" s="281">
        <v>45372</v>
      </c>
      <c r="AP395" s="281">
        <f>Tabla_query__2[[#This Row],[InicioDes]]</f>
        <v>45343</v>
      </c>
      <c r="AQ395" s="281">
        <f>Tabla_query__2[[#This Row],[FinDes2]]</f>
        <v>45372</v>
      </c>
      <c r="AR395" s="462">
        <f>Tabla_query__2[[#This Row],[Número
Semanas]]/4</f>
        <v>1</v>
      </c>
      <c r="AS395" s="405">
        <f>Tabla_query__2[[#This Row],[FinDes2]]-Tabla_query__2[[#This Row],[InicioDes2]]</f>
        <v>7</v>
      </c>
      <c r="AT395" s="259"/>
      <c r="AU395" s="329"/>
      <c r="AV395" s="407"/>
    </row>
    <row r="396" spans="1:51" s="325" customFormat="1">
      <c r="A396" s="318" t="s">
        <v>130</v>
      </c>
      <c r="B396" s="277" t="s">
        <v>212</v>
      </c>
      <c r="C396" s="277"/>
      <c r="D396" s="271" t="s">
        <v>1025</v>
      </c>
      <c r="E396" s="277"/>
      <c r="F396" s="259" t="s">
        <v>1026</v>
      </c>
      <c r="G396" s="259"/>
      <c r="H396" s="259" t="s">
        <v>204</v>
      </c>
      <c r="I396" s="277" t="s">
        <v>266</v>
      </c>
      <c r="J396" s="262" t="s">
        <v>137</v>
      </c>
      <c r="K396" s="262"/>
      <c r="L396" s="262"/>
      <c r="M396" s="277" t="s">
        <v>329</v>
      </c>
      <c r="N396" s="277" t="s">
        <v>1027</v>
      </c>
      <c r="O396" s="723" t="s">
        <v>1028</v>
      </c>
      <c r="P396" s="262" t="s">
        <v>665</v>
      </c>
      <c r="Q396" s="262" t="s">
        <v>208</v>
      </c>
      <c r="R396" s="277" t="s">
        <v>144</v>
      </c>
      <c r="S396" s="259" t="s">
        <v>320</v>
      </c>
      <c r="T396" s="259" t="s">
        <v>320</v>
      </c>
      <c r="U396" s="259"/>
      <c r="V396" s="261" t="s">
        <v>136</v>
      </c>
      <c r="W396" s="259">
        <v>1</v>
      </c>
      <c r="X396" s="259"/>
      <c r="Y396" s="259">
        <f>Tabla_query__2[[#This Row],[Número
Semanas]]*5*8</f>
        <v>0</v>
      </c>
      <c r="Z396" s="387" t="e">
        <f>Tabla_query__2[[#This Row],[TOTAL]]/Tabla_query__2[[#This Row],[Número de Horas]]/2</f>
        <v>#DIV/0!</v>
      </c>
      <c r="AA396" s="259"/>
      <c r="AB396" s="259"/>
      <c r="AC396" s="259"/>
      <c r="AD396" s="403">
        <f>Tabla_query__2[[#This Row],[Número
Semanas]]*Tabla_query__2[[#This Row],[Número
Personas]]*Tabla_query__2[[#This Row],[Costo
Mano Obra/semana]]</f>
        <v>0</v>
      </c>
      <c r="AE396" s="259"/>
      <c r="AF396" s="259"/>
      <c r="AG396" s="259"/>
      <c r="AH396" s="404">
        <v>45542</v>
      </c>
      <c r="AI396" s="404">
        <v>45716</v>
      </c>
      <c r="AJ396" s="451">
        <f>Tabla_query__2[[#This Row],[FinDes]]-Tabla_query__2[[#This Row],[InicioDes]]</f>
        <v>174</v>
      </c>
      <c r="AK396" s="404">
        <v>45717</v>
      </c>
      <c r="AL396" s="404">
        <v>45747</v>
      </c>
      <c r="AM396" s="405">
        <f>Tabla_query__2[[#This Row],[FinPil]]-Tabla_query__2[[#This Row],[InicioPil]]</f>
        <v>30</v>
      </c>
      <c r="AN396" s="404">
        <v>45717</v>
      </c>
      <c r="AO396" s="404">
        <v>45747</v>
      </c>
      <c r="AP396" s="384">
        <f>Tabla_query__2[[#This Row],[InicioDes]]</f>
        <v>45542</v>
      </c>
      <c r="AQ396" s="384">
        <f>Tabla_query__2[[#This Row],[FinDes2]]</f>
        <v>45747</v>
      </c>
      <c r="AR396" s="462">
        <f>Tabla_query__2[[#This Row],[Número
Semanas]]/4</f>
        <v>0</v>
      </c>
      <c r="AS396" s="405">
        <f>Tabla_query__2[[#This Row],[FinDes2]]-Tabla_query__2[[#This Row],[InicioDes2]]</f>
        <v>30</v>
      </c>
      <c r="AT396" s="259"/>
      <c r="AU396" s="329"/>
      <c r="AV396" s="329"/>
    </row>
    <row r="397" spans="1:51" ht="58.15">
      <c r="A397" s="318" t="s">
        <v>130</v>
      </c>
      <c r="B397" s="262" t="s">
        <v>212</v>
      </c>
      <c r="C397" s="262"/>
      <c r="D397" s="262" t="s">
        <v>1029</v>
      </c>
      <c r="E397" s="262"/>
      <c r="F397" s="259" t="s">
        <v>1030</v>
      </c>
      <c r="G397" s="259"/>
      <c r="H397" s="259"/>
      <c r="I397" s="262"/>
      <c r="J397" s="262"/>
      <c r="K397" s="262"/>
      <c r="L397" s="262"/>
      <c r="M397" s="262" t="s">
        <v>206</v>
      </c>
      <c r="N397" s="262" t="s">
        <v>554</v>
      </c>
      <c r="O397" s="722" t="s">
        <v>555</v>
      </c>
      <c r="P397" s="262" t="s">
        <v>32</v>
      </c>
      <c r="Q397" s="262" t="s">
        <v>298</v>
      </c>
      <c r="R397" s="262" t="s">
        <v>144</v>
      </c>
      <c r="S397" s="261"/>
      <c r="T397" s="261"/>
      <c r="U397" s="261"/>
      <c r="V397" s="261"/>
      <c r="W397" s="261"/>
      <c r="X397" s="261"/>
      <c r="Y397" s="261">
        <f>Tabla_query__2[[#This Row],[Número
Semanas]]*5*8</f>
        <v>0</v>
      </c>
      <c r="Z397" s="268" t="e">
        <f>Tabla_query__2[[#This Row],[TOTAL]]/Tabla_query__2[[#This Row],[Número de Horas]]/2</f>
        <v>#DIV/0!</v>
      </c>
      <c r="AA397" s="261"/>
      <c r="AB397" s="261"/>
      <c r="AC397" s="261"/>
      <c r="AD397" s="268">
        <f>Tabla_query__2[[#This Row],[Número
Semanas]]*Tabla_query__2[[#This Row],[Número
Personas]]*Tabla_query__2[[#This Row],[Costo
Mano Obra/semana]] + 640</f>
        <v>640</v>
      </c>
      <c r="AE397" s="261"/>
      <c r="AF397" s="267"/>
      <c r="AG397" s="267"/>
      <c r="AH397" s="467"/>
      <c r="AI397" s="468"/>
      <c r="AJ397" s="469" t="e">
        <f>#REF!</f>
        <v>#REF!</v>
      </c>
      <c r="AK397" s="467"/>
      <c r="AL397" s="468"/>
      <c r="AM397" s="469">
        <f>AL397+ ((AK397*7))</f>
        <v>0</v>
      </c>
      <c r="AN397" s="467"/>
      <c r="AO397" s="468"/>
      <c r="AP397" s="384">
        <f>Tabla_query__2[[#This Row],[InicioDes]]</f>
        <v>0</v>
      </c>
      <c r="AQ397" s="384">
        <f>Tabla_query__2[[#This Row],[FinDes2]]</f>
        <v>0</v>
      </c>
      <c r="AR397" s="511">
        <f>Tabla_query__2[[#This Row],[Número
Semanas]]/4</f>
        <v>0</v>
      </c>
      <c r="AS397" s="269">
        <f>Tabla_query__2[[#This Row],[FinDes2]]-Tabla_query__2[[#This Row],[InicioDes2]]</f>
        <v>0</v>
      </c>
      <c r="AT397" s="261" t="s">
        <v>1031</v>
      </c>
    </row>
    <row r="398" spans="1:51" ht="23.25">
      <c r="A398" s="318" t="s">
        <v>251</v>
      </c>
      <c r="B398" s="262" t="s">
        <v>134</v>
      </c>
      <c r="C398" s="262"/>
      <c r="D398" s="262" t="s">
        <v>1032</v>
      </c>
      <c r="E398" s="262"/>
      <c r="F398" s="259" t="s">
        <v>1033</v>
      </c>
      <c r="G398" s="259"/>
      <c r="H398" s="259" t="s">
        <v>204</v>
      </c>
      <c r="I398" s="262" t="s">
        <v>1034</v>
      </c>
      <c r="J398" s="262" t="s">
        <v>53</v>
      </c>
      <c r="K398" s="262"/>
      <c r="L398" s="262"/>
      <c r="M398" s="262" t="s">
        <v>206</v>
      </c>
      <c r="N398" s="262" t="s">
        <v>58</v>
      </c>
      <c r="O398" s="722" t="s">
        <v>540</v>
      </c>
      <c r="P398" s="262" t="s">
        <v>56</v>
      </c>
      <c r="Q398" s="262" t="s">
        <v>298</v>
      </c>
      <c r="R398" s="526" t="s">
        <v>179</v>
      </c>
      <c r="S398" s="261">
        <v>4</v>
      </c>
      <c r="T398" s="261" t="str">
        <f>IF(MONTH(AH398)&lt;4, "Q1",IF(AND(MONTH(AH398)&gt;3,MONTH(AH398)&lt;=6),"Q2",IF(AND(MONTH(AH398)&gt;6,MONTH(AH398)&lt;=9),"Q3","Q4")))</f>
        <v>Q1</v>
      </c>
      <c r="U398" s="261" t="s">
        <v>1035</v>
      </c>
      <c r="V398" s="261" t="s">
        <v>210</v>
      </c>
      <c r="W398" s="261">
        <v>1</v>
      </c>
      <c r="X398" s="261">
        <v>0</v>
      </c>
      <c r="Y398" s="261">
        <f>Tabla_query__2[[#This Row],[Número
Semanas]]*5*8</f>
        <v>0</v>
      </c>
      <c r="Z398" s="268" t="e">
        <f>Tabla_query__2[[#This Row],[TOTAL]]/Tabla_query__2[[#This Row],[Número de Horas]]/2</f>
        <v>#DIV/0!</v>
      </c>
      <c r="AA398" s="261">
        <v>0</v>
      </c>
      <c r="AB398" s="261">
        <v>550</v>
      </c>
      <c r="AC398" s="261"/>
      <c r="AD398" s="388">
        <f>Tabla_query__2[[#This Row],[Número
Semanas]]*Tabla_query__2[[#This Row],[Número
Personas]]*Tabla_query__2[[#This Row],[Costo
Mano Obra/semana]]+580</f>
        <v>580</v>
      </c>
      <c r="AE398" s="261"/>
      <c r="AF398" s="261"/>
      <c r="AG398" s="261"/>
      <c r="AH398" s="380">
        <v>45348</v>
      </c>
      <c r="AI398" s="380">
        <v>45352</v>
      </c>
      <c r="AJ398" s="282">
        <f>Tabla_query__2[[#This Row],[FinDes]]-Tabla_query__2[[#This Row],[InicioDes]]</f>
        <v>4</v>
      </c>
      <c r="AK398" s="386">
        <v>45362</v>
      </c>
      <c r="AL398" s="386">
        <v>45373</v>
      </c>
      <c r="AM398" s="282">
        <f>AL398+ ((AK398*7))</f>
        <v>362907</v>
      </c>
      <c r="AN398" s="380">
        <v>45376</v>
      </c>
      <c r="AO398" s="380">
        <v>45387</v>
      </c>
      <c r="AP398" s="384">
        <f>Tabla_query__2[[#This Row],[InicioDes]]</f>
        <v>45348</v>
      </c>
      <c r="AQ398" s="384">
        <f>Tabla_query__2[[#This Row],[FinDes2]]</f>
        <v>45387</v>
      </c>
      <c r="AR398" s="462">
        <f>Tabla_query__2[[#This Row],[Número
Semanas]]/4</f>
        <v>0</v>
      </c>
      <c r="AS398" s="269">
        <f>Tabla_query__2[[#This Row],[FinDes2]]-Tabla_query__2[[#This Row],[InicioDes2]]</f>
        <v>11</v>
      </c>
      <c r="AT398" s="261" t="s">
        <v>1036</v>
      </c>
    </row>
    <row r="399" spans="1:51" ht="34.9">
      <c r="A399" s="318" t="s">
        <v>130</v>
      </c>
      <c r="B399" s="277" t="s">
        <v>217</v>
      </c>
      <c r="C399" s="277"/>
      <c r="D399" s="277" t="s">
        <v>1037</v>
      </c>
      <c r="E399" s="262"/>
      <c r="F399" s="259" t="s">
        <v>1038</v>
      </c>
      <c r="G399" s="259"/>
      <c r="H399" s="259" t="s">
        <v>204</v>
      </c>
      <c r="I399" s="277" t="s">
        <v>1039</v>
      </c>
      <c r="J399" s="277" t="s">
        <v>4</v>
      </c>
      <c r="K399" s="277"/>
      <c r="L399" s="277"/>
      <c r="M399" s="271" t="s">
        <v>206</v>
      </c>
      <c r="N399" s="277" t="s">
        <v>42</v>
      </c>
      <c r="O399" s="723" t="s">
        <v>1040</v>
      </c>
      <c r="P399" s="277" t="s">
        <v>41</v>
      </c>
      <c r="Q399" s="262" t="s">
        <v>208</v>
      </c>
      <c r="R399" s="277" t="s">
        <v>144</v>
      </c>
      <c r="S399" s="259" t="s">
        <v>145</v>
      </c>
      <c r="T399" s="259" t="s">
        <v>221</v>
      </c>
      <c r="U399" s="259"/>
      <c r="V399" s="261" t="s">
        <v>146</v>
      </c>
      <c r="W399" s="259">
        <v>1</v>
      </c>
      <c r="X399" s="259"/>
      <c r="Y399" s="259">
        <f>Tabla_query__2[[#This Row],[Número
Semanas]]*5*8</f>
        <v>0</v>
      </c>
      <c r="Z399" s="387" t="e">
        <f>Tabla_query__2[[#This Row],[TOTAL]]/Tabla_query__2[[#This Row],[Número de Horas]]/2</f>
        <v>#DIV/0!</v>
      </c>
      <c r="AA399" s="259"/>
      <c r="AB399" s="259"/>
      <c r="AC399" s="259"/>
      <c r="AD399" s="403">
        <f>Tabla_query__2[[#This Row],[Número
Semanas]]*Tabla_query__2[[#This Row],[Número
Personas]]*Tabla_query__2[[#This Row],[Costo
Mano Obra/semana]]</f>
        <v>0</v>
      </c>
      <c r="AE399" s="259"/>
      <c r="AF399" s="259"/>
      <c r="AG399" s="259"/>
      <c r="AH399" s="404"/>
      <c r="AI399" s="404"/>
      <c r="AJ399" s="451"/>
      <c r="AK399" s="404"/>
      <c r="AL399" s="404"/>
      <c r="AM399" s="405"/>
      <c r="AN399" s="404"/>
      <c r="AO399" s="404"/>
      <c r="AP399" s="384">
        <f>Tabla_query__2[[#This Row],[InicioDes]]</f>
        <v>0</v>
      </c>
      <c r="AQ399" s="384">
        <f>Tabla_query__2[[#This Row],[FinDes2]]</f>
        <v>0</v>
      </c>
      <c r="AR399" s="462">
        <f>Tabla_query__2[[#This Row],[Número
Semanas]]/4</f>
        <v>0</v>
      </c>
      <c r="AS399" s="405"/>
      <c r="AT399" s="259"/>
      <c r="AU399" s="329"/>
      <c r="AV399" s="329"/>
    </row>
    <row r="400" spans="1:51" ht="23.25">
      <c r="A400" s="318" t="s">
        <v>130</v>
      </c>
      <c r="B400" s="262" t="s">
        <v>217</v>
      </c>
      <c r="C400" s="262"/>
      <c r="D400" s="262" t="s">
        <v>1041</v>
      </c>
      <c r="E400" s="262"/>
      <c r="F400" s="259" t="s">
        <v>1042</v>
      </c>
      <c r="G400" s="259"/>
      <c r="H400" s="259" t="s">
        <v>204</v>
      </c>
      <c r="I400" s="262"/>
      <c r="J400" s="262" t="s">
        <v>4</v>
      </c>
      <c r="K400" s="262"/>
      <c r="L400" s="262"/>
      <c r="M400" s="262" t="s">
        <v>206</v>
      </c>
      <c r="N400" s="262" t="s">
        <v>42</v>
      </c>
      <c r="O400" s="723" t="s">
        <v>1040</v>
      </c>
      <c r="P400" s="262" t="s">
        <v>41</v>
      </c>
      <c r="Q400" s="262" t="s">
        <v>208</v>
      </c>
      <c r="R400" s="262" t="s">
        <v>144</v>
      </c>
      <c r="S400" s="261"/>
      <c r="T400" s="261"/>
      <c r="U400" s="261"/>
      <c r="V400" s="261" t="s">
        <v>146</v>
      </c>
      <c r="W400" s="261"/>
      <c r="X400" s="261">
        <v>10</v>
      </c>
      <c r="Y400" s="261">
        <f>Tabla_query__2[[#This Row],[Número
Semanas]]*5*8</f>
        <v>400</v>
      </c>
      <c r="Z400" s="268">
        <f>Tabla_query__2[[#This Row],[TOTAL]]/Tabla_query__2[[#This Row],[Número de Horas]]/2</f>
        <v>7.6749999999999998</v>
      </c>
      <c r="AA400" s="261">
        <v>1</v>
      </c>
      <c r="AB400" s="261">
        <v>550</v>
      </c>
      <c r="AC400" s="261"/>
      <c r="AD400" s="268">
        <f>Tabla_query__2[[#This Row],[Número
Semanas]]*Tabla_query__2[[#This Row],[Número
Personas]]*Tabla_query__2[[#This Row],[Costo
Mano Obra/semana]] + 640</f>
        <v>6140</v>
      </c>
      <c r="AE400" s="261"/>
      <c r="AF400" s="261"/>
      <c r="AG400" s="261"/>
      <c r="AH400" s="261"/>
      <c r="AI400" s="261"/>
      <c r="AJ400" s="282" t="e">
        <f>#REF!</f>
        <v>#REF!</v>
      </c>
      <c r="AK400" s="261"/>
      <c r="AL400" s="261"/>
      <c r="AM400" s="282">
        <f t="shared" ref="AM400:AM416" si="19">AL400+ ((AK400*7))</f>
        <v>0</v>
      </c>
      <c r="AN400" s="261"/>
      <c r="AO400" s="261"/>
      <c r="AP400" s="384">
        <f>Tabla_query__2[[#This Row],[InicioDes]]</f>
        <v>0</v>
      </c>
      <c r="AQ400" s="384">
        <f>Tabla_query__2[[#This Row],[FinDes2]]</f>
        <v>0</v>
      </c>
      <c r="AR400" s="462">
        <f>Tabla_query__2[[#This Row],[Número
Semanas]]/4</f>
        <v>2.5</v>
      </c>
      <c r="AS400" s="269">
        <f>Tabla_query__2[[#This Row],[FinDes2]]-Tabla_query__2[[#This Row],[InicioDes2]]</f>
        <v>0</v>
      </c>
      <c r="AT400" s="261"/>
    </row>
    <row r="401" spans="1:48">
      <c r="A401" s="318" t="s">
        <v>251</v>
      </c>
      <c r="B401" s="262" t="s">
        <v>218</v>
      </c>
      <c r="C401" s="262"/>
      <c r="D401" s="262" t="s">
        <v>1043</v>
      </c>
      <c r="E401" s="262" t="s">
        <v>1044</v>
      </c>
      <c r="F401" s="259" t="s">
        <v>581</v>
      </c>
      <c r="G401" s="259"/>
      <c r="H401" s="259" t="s">
        <v>204</v>
      </c>
      <c r="I401" s="262" t="s">
        <v>1045</v>
      </c>
      <c r="J401" s="262" t="s">
        <v>53</v>
      </c>
      <c r="K401" s="262"/>
      <c r="L401" s="262"/>
      <c r="M401" s="262" t="s">
        <v>206</v>
      </c>
      <c r="N401" s="262" t="s">
        <v>66</v>
      </c>
      <c r="O401" s="722" t="s">
        <v>582</v>
      </c>
      <c r="P401" s="262" t="s">
        <v>61</v>
      </c>
      <c r="Q401" s="262" t="s">
        <v>143</v>
      </c>
      <c r="R401" s="262" t="s">
        <v>197</v>
      </c>
      <c r="S401" s="261">
        <v>1</v>
      </c>
      <c r="T401" s="261" t="s">
        <v>152</v>
      </c>
      <c r="U401" s="261"/>
      <c r="V401" s="261" t="s">
        <v>146</v>
      </c>
      <c r="W401" s="261"/>
      <c r="X401" s="261">
        <v>4</v>
      </c>
      <c r="Y401" s="261">
        <f>Tabla_query__2[[#This Row],[Número
Semanas]]*5*8</f>
        <v>160</v>
      </c>
      <c r="Z401" s="268">
        <f>Tabla_query__2[[#This Row],[TOTAL]]/Tabla_query__2[[#This Row],[Número de Horas]]/2</f>
        <v>7</v>
      </c>
      <c r="AA401" s="261">
        <v>1</v>
      </c>
      <c r="AB401" s="261">
        <v>400</v>
      </c>
      <c r="AC401" s="261"/>
      <c r="AD401" s="268">
        <f>Tabla_query__2[[#This Row],[Número
Semanas]]*Tabla_query__2[[#This Row],[Número
Personas]]*Tabla_query__2[[#This Row],[Costo
Mano Obra/semana]] + 640</f>
        <v>2240</v>
      </c>
      <c r="AE401" s="261"/>
      <c r="AF401" s="261"/>
      <c r="AG401" s="547" t="s">
        <v>211</v>
      </c>
      <c r="AH401" s="267">
        <v>45341</v>
      </c>
      <c r="AI401" s="267">
        <v>45366</v>
      </c>
      <c r="AJ401" s="282" t="e">
        <f>#REF!</f>
        <v>#REF!</v>
      </c>
      <c r="AK401" s="267">
        <v>45370</v>
      </c>
      <c r="AL401" s="267">
        <v>45377</v>
      </c>
      <c r="AM401" s="282">
        <f t="shared" si="19"/>
        <v>362967</v>
      </c>
      <c r="AN401" s="261"/>
      <c r="AO401" s="261"/>
      <c r="AP401" s="384">
        <f>Tabla_query__2[[#This Row],[InicioDes]]</f>
        <v>45341</v>
      </c>
      <c r="AQ401" s="384">
        <f>Tabla_query__2[[#This Row],[FinDes2]]</f>
        <v>0</v>
      </c>
      <c r="AR401" s="462">
        <f>Tabla_query__2[[#This Row],[Número
Semanas]]/4</f>
        <v>1</v>
      </c>
      <c r="AS401" s="269">
        <f>Tabla_query__2[[#This Row],[FinDes2]]-Tabla_query__2[[#This Row],[InicioDes2]]</f>
        <v>0</v>
      </c>
      <c r="AT401" s="261" t="s">
        <v>583</v>
      </c>
    </row>
    <row r="402" spans="1:48">
      <c r="A402" s="318" t="s">
        <v>251</v>
      </c>
      <c r="B402" s="262" t="s">
        <v>218</v>
      </c>
      <c r="C402" s="262"/>
      <c r="D402" s="262" t="s">
        <v>1046</v>
      </c>
      <c r="E402" s="262" t="s">
        <v>455</v>
      </c>
      <c r="F402" s="259" t="s">
        <v>581</v>
      </c>
      <c r="G402" s="259"/>
      <c r="H402" s="259" t="s">
        <v>204</v>
      </c>
      <c r="I402" s="262" t="s">
        <v>1045</v>
      </c>
      <c r="J402" s="262" t="s">
        <v>53</v>
      </c>
      <c r="K402" s="262"/>
      <c r="L402" s="262"/>
      <c r="M402" s="262" t="s">
        <v>206</v>
      </c>
      <c r="N402" s="262" t="s">
        <v>66</v>
      </c>
      <c r="O402" s="722" t="s">
        <v>582</v>
      </c>
      <c r="P402" s="262" t="s">
        <v>61</v>
      </c>
      <c r="Q402" s="262" t="s">
        <v>143</v>
      </c>
      <c r="R402" s="262" t="s">
        <v>179</v>
      </c>
      <c r="S402" s="261">
        <v>2</v>
      </c>
      <c r="T402" s="261" t="s">
        <v>145</v>
      </c>
      <c r="U402" s="261"/>
      <c r="V402" s="261" t="s">
        <v>136</v>
      </c>
      <c r="W402" s="261"/>
      <c r="X402" s="261">
        <v>5</v>
      </c>
      <c r="Y402" s="261">
        <f>Tabla_query__2[[#This Row],[Número
Semanas]]*5*8</f>
        <v>200</v>
      </c>
      <c r="Z402" s="268">
        <f>Tabla_query__2[[#This Row],[TOTAL]]/Tabla_query__2[[#This Row],[Número de Horas]]/2</f>
        <v>12.85</v>
      </c>
      <c r="AA402" s="261">
        <v>2</v>
      </c>
      <c r="AB402" s="261">
        <v>450</v>
      </c>
      <c r="AC402" s="261"/>
      <c r="AD402" s="268">
        <f>Tabla_query__2[[#This Row],[Número
Semanas]]*Tabla_query__2[[#This Row],[Número
Personas]]*Tabla_query__2[[#This Row],[Costo
Mano Obra/semana]] + 640</f>
        <v>5140</v>
      </c>
      <c r="AE402" s="261"/>
      <c r="AF402" s="261"/>
      <c r="AG402" s="547" t="s">
        <v>191</v>
      </c>
      <c r="AH402" s="267"/>
      <c r="AI402" s="267"/>
      <c r="AJ402" s="282" t="e">
        <f>#REF!</f>
        <v>#REF!</v>
      </c>
      <c r="AK402" s="267">
        <v>45406</v>
      </c>
      <c r="AL402" s="267">
        <v>45420</v>
      </c>
      <c r="AM402" s="282">
        <f t="shared" si="19"/>
        <v>363262</v>
      </c>
      <c r="AN402" s="267">
        <v>45426</v>
      </c>
      <c r="AO402" s="261"/>
      <c r="AP402" s="384">
        <f>Tabla_query__2[[#This Row],[InicioDes]]</f>
        <v>0</v>
      </c>
      <c r="AQ402" s="384">
        <f>Tabla_query__2[[#This Row],[FinDes2]]</f>
        <v>0</v>
      </c>
      <c r="AR402" s="462">
        <f>Tabla_query__2[[#This Row],[Número
Semanas]]/4</f>
        <v>1.25</v>
      </c>
      <c r="AS402" s="269">
        <f>Tabla_query__2[[#This Row],[FinDes2]]-Tabla_query__2[[#This Row],[InicioDes2]]</f>
        <v>-45426</v>
      </c>
      <c r="AT402" s="261" t="s">
        <v>583</v>
      </c>
    </row>
    <row r="403" spans="1:48" ht="23.25">
      <c r="A403" s="318" t="s">
        <v>251</v>
      </c>
      <c r="B403" s="262" t="s">
        <v>218</v>
      </c>
      <c r="C403" s="262"/>
      <c r="D403" s="277" t="s">
        <v>1047</v>
      </c>
      <c r="E403" s="262" t="s">
        <v>678</v>
      </c>
      <c r="F403" s="259" t="s">
        <v>581</v>
      </c>
      <c r="G403" s="259"/>
      <c r="H403" s="259" t="s">
        <v>204</v>
      </c>
      <c r="I403" s="262" t="s">
        <v>456</v>
      </c>
      <c r="J403" s="262" t="s">
        <v>53</v>
      </c>
      <c r="K403" s="262"/>
      <c r="L403" s="262"/>
      <c r="M403" s="262" t="s">
        <v>206</v>
      </c>
      <c r="N403" s="262" t="s">
        <v>66</v>
      </c>
      <c r="O403" s="722" t="s">
        <v>582</v>
      </c>
      <c r="P403" s="262" t="s">
        <v>61</v>
      </c>
      <c r="Q403" s="262" t="s">
        <v>143</v>
      </c>
      <c r="R403" s="262" t="s">
        <v>197</v>
      </c>
      <c r="S403" s="261">
        <v>12</v>
      </c>
      <c r="T403" s="261" t="s">
        <v>152</v>
      </c>
      <c r="U403" s="261"/>
      <c r="V403" s="261" t="s">
        <v>210</v>
      </c>
      <c r="W403" s="261"/>
      <c r="X403" s="261">
        <v>2</v>
      </c>
      <c r="Y403" s="261">
        <f>Tabla_query__2[[#This Row],[Número
Semanas]]*5*8</f>
        <v>80</v>
      </c>
      <c r="Z403" s="268">
        <f>Tabla_query__2[[#This Row],[TOTAL]]/Tabla_query__2[[#This Row],[Número de Horas]]/2</f>
        <v>14</v>
      </c>
      <c r="AA403" s="261">
        <v>2</v>
      </c>
      <c r="AB403" s="261">
        <v>400</v>
      </c>
      <c r="AC403" s="261"/>
      <c r="AD403" s="268">
        <f>Tabla_query__2[[#This Row],[Número
Semanas]]*Tabla_query__2[[#This Row],[Número
Personas]]*Tabla_query__2[[#This Row],[Costo
Mano Obra/semana]] + 640</f>
        <v>2240</v>
      </c>
      <c r="AE403" s="261"/>
      <c r="AF403" s="261"/>
      <c r="AG403" s="547">
        <v>0</v>
      </c>
      <c r="AH403" s="267">
        <v>45306</v>
      </c>
      <c r="AI403" s="267">
        <v>45317</v>
      </c>
      <c r="AJ403" s="282" t="e">
        <f>#REF!</f>
        <v>#REF!</v>
      </c>
      <c r="AK403" s="267">
        <v>45356</v>
      </c>
      <c r="AL403" s="267">
        <v>45363</v>
      </c>
      <c r="AM403" s="282">
        <f t="shared" si="19"/>
        <v>362855</v>
      </c>
      <c r="AN403" s="261"/>
      <c r="AO403" s="261"/>
      <c r="AP403" s="384">
        <f>Tabla_query__2[[#This Row],[InicioDes]]</f>
        <v>45306</v>
      </c>
      <c r="AQ403" s="384">
        <f>Tabla_query__2[[#This Row],[FinDes2]]</f>
        <v>0</v>
      </c>
      <c r="AR403" s="462">
        <f>Tabla_query__2[[#This Row],[Número
Semanas]]/4</f>
        <v>0.5</v>
      </c>
      <c r="AS403" s="269">
        <f>Tabla_query__2[[#This Row],[FinDes2]]-Tabla_query__2[[#This Row],[InicioDes2]]</f>
        <v>0</v>
      </c>
      <c r="AT403" s="261" t="s">
        <v>1048</v>
      </c>
    </row>
    <row r="404" spans="1:48">
      <c r="A404" s="564" t="s">
        <v>251</v>
      </c>
      <c r="B404" s="565" t="s">
        <v>218</v>
      </c>
      <c r="C404" s="565"/>
      <c r="D404" s="565" t="s">
        <v>1049</v>
      </c>
      <c r="E404" s="565"/>
      <c r="F404" s="566" t="s">
        <v>1050</v>
      </c>
      <c r="G404" s="566"/>
      <c r="H404" s="566" t="s">
        <v>204</v>
      </c>
      <c r="I404" s="565" t="s">
        <v>1045</v>
      </c>
      <c r="J404" s="565" t="s">
        <v>53</v>
      </c>
      <c r="K404" s="565"/>
      <c r="L404" s="565"/>
      <c r="M404" s="565" t="s">
        <v>206</v>
      </c>
      <c r="N404" s="565" t="s">
        <v>66</v>
      </c>
      <c r="O404" s="722" t="s">
        <v>582</v>
      </c>
      <c r="P404" s="565" t="s">
        <v>61</v>
      </c>
      <c r="Q404" s="565" t="s">
        <v>143</v>
      </c>
      <c r="R404" s="262" t="s">
        <v>197</v>
      </c>
      <c r="S404" s="279">
        <v>4</v>
      </c>
      <c r="T404" s="279" t="s">
        <v>145</v>
      </c>
      <c r="U404" s="279"/>
      <c r="V404" s="279" t="s">
        <v>136</v>
      </c>
      <c r="W404" s="279"/>
      <c r="X404" s="279">
        <v>2</v>
      </c>
      <c r="Y404" s="279">
        <f>Tabla_query__2[[#This Row],[Número
Semanas]]*5*8</f>
        <v>80</v>
      </c>
      <c r="Z404" s="567">
        <f>Tabla_query__2[[#This Row],[TOTAL]]/Tabla_query__2[[#This Row],[Número de Horas]]/2</f>
        <v>19</v>
      </c>
      <c r="AA404" s="279">
        <v>3</v>
      </c>
      <c r="AB404" s="279">
        <v>400</v>
      </c>
      <c r="AC404" s="279"/>
      <c r="AD404" s="567">
        <f>Tabla_query__2[[#This Row],[Número
Semanas]]*Tabla_query__2[[#This Row],[Número
Personas]]*Tabla_query__2[[#This Row],[Costo
Mano Obra/semana]] + 640</f>
        <v>3040</v>
      </c>
      <c r="AE404" s="279"/>
      <c r="AF404" s="279"/>
      <c r="AG404" s="548">
        <v>0</v>
      </c>
      <c r="AH404" s="279"/>
      <c r="AI404" s="279"/>
      <c r="AJ404" s="568" t="e">
        <f>#REF!</f>
        <v>#REF!</v>
      </c>
      <c r="AK404" s="279"/>
      <c r="AL404" s="279"/>
      <c r="AM404" s="568">
        <f t="shared" si="19"/>
        <v>0</v>
      </c>
      <c r="AN404" s="279"/>
      <c r="AO404" s="279"/>
      <c r="AP404" s="651">
        <f>Tabla_query__2[[#This Row],[InicioDes]]</f>
        <v>0</v>
      </c>
      <c r="AQ404" s="651">
        <f>Tabla_query__2[[#This Row],[FinDes2]]</f>
        <v>0</v>
      </c>
      <c r="AR404" s="569">
        <f>Tabla_query__2[[#This Row],[Número
Semanas]]/4</f>
        <v>0.5</v>
      </c>
      <c r="AS404" s="570">
        <f>Tabla_query__2[[#This Row],[FinDes2]]-Tabla_query__2[[#This Row],[InicioDes2]]</f>
        <v>0</v>
      </c>
      <c r="AT404" s="279" t="s">
        <v>583</v>
      </c>
      <c r="AU404" s="571"/>
      <c r="AV404" s="571"/>
    </row>
    <row r="405" spans="1:48">
      <c r="A405" s="318" t="s">
        <v>251</v>
      </c>
      <c r="B405" s="262" t="s">
        <v>218</v>
      </c>
      <c r="C405" s="262"/>
      <c r="D405" s="277" t="s">
        <v>1051</v>
      </c>
      <c r="E405" s="262"/>
      <c r="F405" s="259" t="s">
        <v>581</v>
      </c>
      <c r="G405" s="259"/>
      <c r="H405" s="259" t="s">
        <v>204</v>
      </c>
      <c r="I405" s="262" t="s">
        <v>1045</v>
      </c>
      <c r="J405" s="262" t="s">
        <v>53</v>
      </c>
      <c r="K405" s="262"/>
      <c r="L405" s="262"/>
      <c r="M405" s="262" t="s">
        <v>206</v>
      </c>
      <c r="N405" s="262" t="s">
        <v>66</v>
      </c>
      <c r="O405" s="722" t="s">
        <v>582</v>
      </c>
      <c r="P405" s="262" t="s">
        <v>61</v>
      </c>
      <c r="Q405" s="262" t="s">
        <v>143</v>
      </c>
      <c r="R405" s="262" t="s">
        <v>144</v>
      </c>
      <c r="S405" s="261">
        <v>5</v>
      </c>
      <c r="T405" s="261" t="s">
        <v>145</v>
      </c>
      <c r="U405" s="261"/>
      <c r="V405" s="261" t="s">
        <v>146</v>
      </c>
      <c r="W405" s="261"/>
      <c r="X405" s="261">
        <v>2</v>
      </c>
      <c r="Y405" s="261">
        <f>Tabla_query__2[[#This Row],[Número
Semanas]]*5*8</f>
        <v>80</v>
      </c>
      <c r="Z405" s="268">
        <f>Tabla_query__2[[#This Row],[TOTAL]]/Tabla_query__2[[#This Row],[Número de Horas]]/2</f>
        <v>24</v>
      </c>
      <c r="AA405" s="261">
        <v>4</v>
      </c>
      <c r="AB405" s="261">
        <v>400</v>
      </c>
      <c r="AC405" s="261"/>
      <c r="AD405" s="268">
        <f>Tabla_query__2[[#This Row],[Número
Semanas]]*Tabla_query__2[[#This Row],[Número
Personas]]*Tabla_query__2[[#This Row],[Costo
Mano Obra/semana]] + 640</f>
        <v>3840</v>
      </c>
      <c r="AE405" s="261"/>
      <c r="AF405" s="261"/>
      <c r="AG405" s="547" t="s">
        <v>191</v>
      </c>
      <c r="AH405" s="267">
        <v>45411</v>
      </c>
      <c r="AI405" s="267">
        <v>45436</v>
      </c>
      <c r="AJ405" s="282" t="e">
        <f>#REF!</f>
        <v>#REF!</v>
      </c>
      <c r="AK405" s="261"/>
      <c r="AL405" s="261"/>
      <c r="AM405" s="282">
        <f t="shared" si="19"/>
        <v>0</v>
      </c>
      <c r="AN405" s="267">
        <v>45442</v>
      </c>
      <c r="AO405" s="261"/>
      <c r="AP405" s="384">
        <f>Tabla_query__2[[#This Row],[InicioDes]]</f>
        <v>45411</v>
      </c>
      <c r="AQ405" s="384">
        <f>Tabla_query__2[[#This Row],[FinDes2]]</f>
        <v>0</v>
      </c>
      <c r="AR405" s="462">
        <f>Tabla_query__2[[#This Row],[Número
Semanas]]/4</f>
        <v>0.5</v>
      </c>
      <c r="AS405" s="269">
        <f>Tabla_query__2[[#This Row],[FinDes2]]-Tabla_query__2[[#This Row],[InicioDes2]]</f>
        <v>-45442</v>
      </c>
      <c r="AT405" s="261" t="s">
        <v>583</v>
      </c>
      <c r="AV405" s="293"/>
    </row>
    <row r="406" spans="1:48" ht="69.75">
      <c r="A406" s="318" t="s">
        <v>130</v>
      </c>
      <c r="B406" s="262" t="s">
        <v>671</v>
      </c>
      <c r="C406" s="262"/>
      <c r="D406" s="262" t="s">
        <v>1052</v>
      </c>
      <c r="E406" s="262"/>
      <c r="F406" s="286" t="s">
        <v>581</v>
      </c>
      <c r="G406" s="286"/>
      <c r="H406" s="259" t="s">
        <v>204</v>
      </c>
      <c r="I406" s="266" t="s">
        <v>672</v>
      </c>
      <c r="J406" s="285" t="s">
        <v>53</v>
      </c>
      <c r="K406" s="285"/>
      <c r="L406" s="285"/>
      <c r="M406" s="285" t="s">
        <v>206</v>
      </c>
      <c r="N406" s="285" t="s">
        <v>66</v>
      </c>
      <c r="O406" s="722" t="s">
        <v>582</v>
      </c>
      <c r="P406" s="285" t="s">
        <v>61</v>
      </c>
      <c r="Q406" s="262" t="s">
        <v>208</v>
      </c>
      <c r="R406" s="285" t="s">
        <v>144</v>
      </c>
      <c r="S406" s="287">
        <v>22</v>
      </c>
      <c r="T406" s="287"/>
      <c r="U406" s="287"/>
      <c r="V406" s="287"/>
      <c r="W406" s="287"/>
      <c r="X406" s="287"/>
      <c r="Y406" s="287">
        <f>Tabla_query__2[[#This Row],[Número
Semanas]]*5*8</f>
        <v>0</v>
      </c>
      <c r="Z406" s="288" t="e">
        <f>Tabla_query__2[[#This Row],[TOTAL]]/Tabla_query__2[[#This Row],[Número de Horas]]/2</f>
        <v>#DIV/0!</v>
      </c>
      <c r="AA406" s="287"/>
      <c r="AB406" s="287">
        <v>550</v>
      </c>
      <c r="AC406" s="287"/>
      <c r="AD406" s="288"/>
      <c r="AE406" s="287"/>
      <c r="AF406" s="261"/>
      <c r="AG406" s="261"/>
      <c r="AH406" s="287"/>
      <c r="AI406" s="287"/>
      <c r="AJ406" s="282" t="e">
        <f>#REF!</f>
        <v>#REF!</v>
      </c>
      <c r="AK406" s="287"/>
      <c r="AL406" s="287"/>
      <c r="AM406" s="282">
        <f t="shared" si="19"/>
        <v>0</v>
      </c>
      <c r="AN406" s="287"/>
      <c r="AO406" s="287"/>
      <c r="AP406" s="384">
        <f>Tabla_query__2[[#This Row],[InicioDes]]</f>
        <v>0</v>
      </c>
      <c r="AQ406" s="384">
        <f>Tabla_query__2[[#This Row],[FinDes2]]</f>
        <v>0</v>
      </c>
      <c r="AR406" s="462">
        <f>Tabla_query__2[[#This Row],[Número
Semanas]]/4</f>
        <v>0</v>
      </c>
      <c r="AS406" s="269">
        <f>Tabla_query__2[[#This Row],[FinDes2]]-Tabla_query__2[[#This Row],[InicioDes2]]</f>
        <v>0</v>
      </c>
      <c r="AT406" s="486" t="s">
        <v>1053</v>
      </c>
    </row>
    <row r="407" spans="1:48">
      <c r="A407" s="318" t="s">
        <v>251</v>
      </c>
      <c r="B407" s="262" t="s">
        <v>218</v>
      </c>
      <c r="C407" s="262"/>
      <c r="D407" s="262" t="s">
        <v>1054</v>
      </c>
      <c r="E407" s="262" t="s">
        <v>217</v>
      </c>
      <c r="F407" s="259" t="s">
        <v>581</v>
      </c>
      <c r="G407" s="259"/>
      <c r="H407" s="259" t="s">
        <v>204</v>
      </c>
      <c r="I407" s="262" t="s">
        <v>1045</v>
      </c>
      <c r="J407" s="262" t="s">
        <v>53</v>
      </c>
      <c r="K407" s="262"/>
      <c r="L407" s="262"/>
      <c r="M407" s="262" t="s">
        <v>206</v>
      </c>
      <c r="N407" s="262" t="s">
        <v>66</v>
      </c>
      <c r="O407" s="722" t="s">
        <v>582</v>
      </c>
      <c r="P407" s="262" t="s">
        <v>61</v>
      </c>
      <c r="Q407" s="262" t="s">
        <v>143</v>
      </c>
      <c r="R407" s="262" t="s">
        <v>179</v>
      </c>
      <c r="S407" s="261">
        <v>8</v>
      </c>
      <c r="T407" s="261" t="s">
        <v>145</v>
      </c>
      <c r="U407" s="261"/>
      <c r="V407" s="261" t="s">
        <v>136</v>
      </c>
      <c r="W407" s="261"/>
      <c r="X407" s="261">
        <v>3</v>
      </c>
      <c r="Y407" s="261">
        <f>Tabla_query__2[[#This Row],[Número
Semanas]]*5*8</f>
        <v>120</v>
      </c>
      <c r="Z407" s="268">
        <f>Tabla_query__2[[#This Row],[TOTAL]]/Tabla_query__2[[#This Row],[Número de Horas]]/2</f>
        <v>27.666666666666668</v>
      </c>
      <c r="AA407" s="261">
        <v>5</v>
      </c>
      <c r="AB407" s="261">
        <v>400</v>
      </c>
      <c r="AC407" s="261"/>
      <c r="AD407" s="268">
        <f>Tabla_query__2[[#This Row],[Número
Semanas]]*Tabla_query__2[[#This Row],[Número
Personas]]*Tabla_query__2[[#This Row],[Costo
Mano Obra/semana]] + 640</f>
        <v>6640</v>
      </c>
      <c r="AE407" s="261"/>
      <c r="AF407" s="261"/>
      <c r="AG407" s="547" t="s">
        <v>211</v>
      </c>
      <c r="AH407" s="267">
        <v>45383</v>
      </c>
      <c r="AI407" s="267">
        <v>45420</v>
      </c>
      <c r="AJ407" s="282" t="e">
        <f>#REF!</f>
        <v>#REF!</v>
      </c>
      <c r="AK407" s="267">
        <v>45427</v>
      </c>
      <c r="AL407" s="261"/>
      <c r="AM407" s="282">
        <f t="shared" si="19"/>
        <v>317989</v>
      </c>
      <c r="AN407" s="267">
        <v>45434</v>
      </c>
      <c r="AO407" s="261"/>
      <c r="AP407" s="384">
        <f>Tabla_query__2[[#This Row],[InicioDes]]</f>
        <v>45383</v>
      </c>
      <c r="AQ407" s="384">
        <f>Tabla_query__2[[#This Row],[FinDes2]]</f>
        <v>0</v>
      </c>
      <c r="AR407" s="462">
        <f>Tabla_query__2[[#This Row],[Número
Semanas]]/4</f>
        <v>0.75</v>
      </c>
      <c r="AS407" s="269">
        <f>Tabla_query__2[[#This Row],[FinDes2]]-Tabla_query__2[[#This Row],[InicioDes2]]</f>
        <v>-45434</v>
      </c>
      <c r="AT407" s="261" t="s">
        <v>583</v>
      </c>
    </row>
    <row r="408" spans="1:48">
      <c r="A408" s="318" t="s">
        <v>251</v>
      </c>
      <c r="B408" s="262" t="s">
        <v>218</v>
      </c>
      <c r="C408" s="262"/>
      <c r="D408" s="266" t="s">
        <v>1055</v>
      </c>
      <c r="E408" s="262"/>
      <c r="F408" s="259" t="s">
        <v>581</v>
      </c>
      <c r="G408" s="259"/>
      <c r="H408" s="259" t="s">
        <v>204</v>
      </c>
      <c r="I408" s="262" t="s">
        <v>1045</v>
      </c>
      <c r="J408" s="262" t="s">
        <v>53</v>
      </c>
      <c r="K408" s="262"/>
      <c r="L408" s="262"/>
      <c r="M408" s="262" t="s">
        <v>206</v>
      </c>
      <c r="N408" s="262" t="s">
        <v>66</v>
      </c>
      <c r="O408" s="722" t="s">
        <v>582</v>
      </c>
      <c r="P408" s="262" t="s">
        <v>61</v>
      </c>
      <c r="Q408" s="262" t="s">
        <v>143</v>
      </c>
      <c r="R408" s="262" t="s">
        <v>197</v>
      </c>
      <c r="S408" s="261">
        <v>7</v>
      </c>
      <c r="T408" s="261" t="s">
        <v>152</v>
      </c>
      <c r="U408" s="261"/>
      <c r="V408" s="261" t="s">
        <v>210</v>
      </c>
      <c r="W408" s="261"/>
      <c r="X408" s="261">
        <v>2</v>
      </c>
      <c r="Y408" s="261">
        <f>Tabla_query__2[[#This Row],[Número
Semanas]]*5*8</f>
        <v>80</v>
      </c>
      <c r="Z408" s="268">
        <f>Tabla_query__2[[#This Row],[TOTAL]]/Tabla_query__2[[#This Row],[Número de Horas]]/2</f>
        <v>14</v>
      </c>
      <c r="AA408" s="261">
        <v>2</v>
      </c>
      <c r="AB408" s="261">
        <v>400</v>
      </c>
      <c r="AC408" s="261"/>
      <c r="AD408" s="268">
        <f>Tabla_query__2[[#This Row],[Número
Semanas]]*Tabla_query__2[[#This Row],[Número
Personas]]*Tabla_query__2[[#This Row],[Costo
Mano Obra/semana]] + 640</f>
        <v>2240</v>
      </c>
      <c r="AE408" s="261"/>
      <c r="AF408" s="261"/>
      <c r="AG408" s="547">
        <v>0</v>
      </c>
      <c r="AH408" s="267">
        <v>45320</v>
      </c>
      <c r="AI408" s="267">
        <v>45331</v>
      </c>
      <c r="AJ408" s="282" t="e">
        <f>#REF!</f>
        <v>#REF!</v>
      </c>
      <c r="AK408" s="267">
        <v>45356</v>
      </c>
      <c r="AL408" s="267">
        <v>45363</v>
      </c>
      <c r="AM408" s="282">
        <f t="shared" si="19"/>
        <v>362855</v>
      </c>
      <c r="AN408" s="261"/>
      <c r="AO408" s="261"/>
      <c r="AP408" s="384">
        <f>Tabla_query__2[[#This Row],[InicioDes]]</f>
        <v>45320</v>
      </c>
      <c r="AQ408" s="384">
        <f>Tabla_query__2[[#This Row],[FinDes2]]</f>
        <v>0</v>
      </c>
      <c r="AR408" s="462">
        <f>Tabla_query__2[[#This Row],[Número
Semanas]]/4</f>
        <v>0.5</v>
      </c>
      <c r="AS408" s="269">
        <f>Tabla_query__2[[#This Row],[FinDes2]]-Tabla_query__2[[#This Row],[InicioDes2]]</f>
        <v>0</v>
      </c>
      <c r="AT408" s="261" t="s">
        <v>583</v>
      </c>
    </row>
    <row r="409" spans="1:48">
      <c r="A409" s="318" t="s">
        <v>251</v>
      </c>
      <c r="B409" s="262" t="s">
        <v>218</v>
      </c>
      <c r="C409" s="262"/>
      <c r="D409" s="487" t="s">
        <v>1056</v>
      </c>
      <c r="E409" s="498" t="s">
        <v>217</v>
      </c>
      <c r="F409" s="259" t="s">
        <v>581</v>
      </c>
      <c r="G409" s="259"/>
      <c r="H409" s="259" t="s">
        <v>204</v>
      </c>
      <c r="I409" s="262" t="s">
        <v>1045</v>
      </c>
      <c r="J409" s="262" t="s">
        <v>53</v>
      </c>
      <c r="K409" s="262"/>
      <c r="L409" s="262"/>
      <c r="M409" s="262" t="s">
        <v>206</v>
      </c>
      <c r="N409" s="262" t="s">
        <v>66</v>
      </c>
      <c r="O409" s="722" t="s">
        <v>582</v>
      </c>
      <c r="P409" s="262" t="s">
        <v>61</v>
      </c>
      <c r="Q409" s="262" t="s">
        <v>143</v>
      </c>
      <c r="R409" s="262" t="s">
        <v>144</v>
      </c>
      <c r="S409" s="261">
        <v>3</v>
      </c>
      <c r="T409" s="261" t="s">
        <v>145</v>
      </c>
      <c r="U409" s="261"/>
      <c r="V409" s="261" t="s">
        <v>146</v>
      </c>
      <c r="W409" s="261"/>
      <c r="X409" s="261">
        <v>2</v>
      </c>
      <c r="Y409" s="261">
        <f>Tabla_query__2[[#This Row],[Número
Semanas]]*5*8</f>
        <v>80</v>
      </c>
      <c r="Z409" s="268">
        <f>Tabla_query__2[[#This Row],[TOTAL]]/Tabla_query__2[[#This Row],[Número de Horas]]/2</f>
        <v>24</v>
      </c>
      <c r="AA409" s="261">
        <v>4</v>
      </c>
      <c r="AB409" s="261">
        <v>400</v>
      </c>
      <c r="AC409" s="261"/>
      <c r="AD409" s="268">
        <f>Tabla_query__2[[#This Row],[Número
Semanas]]*Tabla_query__2[[#This Row],[Número
Personas]]*Tabla_query__2[[#This Row],[Costo
Mano Obra/semana]] + 640</f>
        <v>3840</v>
      </c>
      <c r="AE409" s="261"/>
      <c r="AF409" s="261"/>
      <c r="AG409" s="547" t="s">
        <v>191</v>
      </c>
      <c r="AH409" s="267">
        <v>45425</v>
      </c>
      <c r="AI409" s="267">
        <v>45450</v>
      </c>
      <c r="AJ409" s="282" t="e">
        <f>#REF!</f>
        <v>#REF!</v>
      </c>
      <c r="AK409" s="261"/>
      <c r="AL409" s="261"/>
      <c r="AM409" s="282">
        <f t="shared" si="19"/>
        <v>0</v>
      </c>
      <c r="AN409" s="267">
        <v>45456</v>
      </c>
      <c r="AO409" s="261"/>
      <c r="AP409" s="384">
        <f>Tabla_query__2[[#This Row],[InicioDes]]</f>
        <v>45425</v>
      </c>
      <c r="AQ409" s="384">
        <f>Tabla_query__2[[#This Row],[FinDes2]]</f>
        <v>0</v>
      </c>
      <c r="AR409" s="462">
        <f>Tabla_query__2[[#This Row],[Número
Semanas]]/4</f>
        <v>0.5</v>
      </c>
      <c r="AS409" s="269">
        <f>Tabla_query__2[[#This Row],[FinDes2]]-Tabla_query__2[[#This Row],[InicioDes2]]</f>
        <v>-45456</v>
      </c>
      <c r="AT409" s="261" t="s">
        <v>583</v>
      </c>
    </row>
    <row r="410" spans="1:48" ht="23.25">
      <c r="A410" s="318" t="s">
        <v>251</v>
      </c>
      <c r="B410" s="262" t="s">
        <v>218</v>
      </c>
      <c r="C410" s="262"/>
      <c r="D410" s="271" t="s">
        <v>1057</v>
      </c>
      <c r="E410" s="262" t="s">
        <v>678</v>
      </c>
      <c r="F410" s="259" t="s">
        <v>581</v>
      </c>
      <c r="G410" s="259"/>
      <c r="H410" s="259" t="s">
        <v>204</v>
      </c>
      <c r="I410" s="262" t="s">
        <v>1045</v>
      </c>
      <c r="J410" s="262" t="s">
        <v>53</v>
      </c>
      <c r="K410" s="262"/>
      <c r="L410" s="262"/>
      <c r="M410" s="262" t="s">
        <v>206</v>
      </c>
      <c r="N410" s="262" t="s">
        <v>66</v>
      </c>
      <c r="O410" s="722" t="s">
        <v>582</v>
      </c>
      <c r="P410" s="262" t="s">
        <v>61</v>
      </c>
      <c r="Q410" s="262" t="s">
        <v>143</v>
      </c>
      <c r="R410" s="262" t="s">
        <v>197</v>
      </c>
      <c r="S410" s="261">
        <v>6</v>
      </c>
      <c r="T410" s="261" t="s">
        <v>152</v>
      </c>
      <c r="U410" s="261"/>
      <c r="V410" s="261" t="s">
        <v>210</v>
      </c>
      <c r="W410" s="261"/>
      <c r="X410" s="261">
        <v>2</v>
      </c>
      <c r="Y410" s="261">
        <f>Tabla_query__2[[#This Row],[Número
Semanas]]*5*8</f>
        <v>80</v>
      </c>
      <c r="Z410" s="268">
        <f>Tabla_query__2[[#This Row],[TOTAL]]/Tabla_query__2[[#This Row],[Número de Horas]]/2</f>
        <v>14</v>
      </c>
      <c r="AA410" s="261">
        <v>2</v>
      </c>
      <c r="AB410" s="261">
        <v>400</v>
      </c>
      <c r="AC410" s="261"/>
      <c r="AD410" s="268">
        <f>Tabla_query__2[[#This Row],[Número
Semanas]]*Tabla_query__2[[#This Row],[Número
Personas]]*Tabla_query__2[[#This Row],[Costo
Mano Obra/semana]] + 640</f>
        <v>2240</v>
      </c>
      <c r="AE410" s="261"/>
      <c r="AF410" s="261"/>
      <c r="AG410" s="547">
        <v>0</v>
      </c>
      <c r="AH410" s="267">
        <v>45263</v>
      </c>
      <c r="AI410" s="267">
        <v>45275</v>
      </c>
      <c r="AJ410" s="282" t="e">
        <f>#REF!</f>
        <v>#REF!</v>
      </c>
      <c r="AK410" s="261" t="s">
        <v>1058</v>
      </c>
      <c r="AL410" s="261" t="s">
        <v>1058</v>
      </c>
      <c r="AM410" s="282" t="e">
        <f t="shared" si="19"/>
        <v>#VALUE!</v>
      </c>
      <c r="AN410" s="261"/>
      <c r="AO410" s="261"/>
      <c r="AP410" s="384">
        <f>Tabla_query__2[[#This Row],[InicioDes]]</f>
        <v>45263</v>
      </c>
      <c r="AQ410" s="384">
        <f>Tabla_query__2[[#This Row],[FinDes2]]</f>
        <v>0</v>
      </c>
      <c r="AR410" s="462">
        <f>Tabla_query__2[[#This Row],[Número
Semanas]]/4</f>
        <v>0.5</v>
      </c>
      <c r="AS410" s="269">
        <f>Tabla_query__2[[#This Row],[FinDes2]]-Tabla_query__2[[#This Row],[InicioDes2]]</f>
        <v>0</v>
      </c>
      <c r="AT410" s="261" t="s">
        <v>583</v>
      </c>
    </row>
    <row r="411" spans="1:48" ht="28.5" customHeight="1">
      <c r="A411" s="318" t="s">
        <v>130</v>
      </c>
      <c r="B411" s="262" t="s">
        <v>218</v>
      </c>
      <c r="C411" s="262"/>
      <c r="D411" s="262" t="s">
        <v>1059</v>
      </c>
      <c r="E411" s="262"/>
      <c r="F411" s="259" t="s">
        <v>581</v>
      </c>
      <c r="G411" s="259"/>
      <c r="H411" s="259" t="s">
        <v>204</v>
      </c>
      <c r="I411" s="262" t="s">
        <v>539</v>
      </c>
      <c r="J411" s="262" t="s">
        <v>53</v>
      </c>
      <c r="K411" s="262"/>
      <c r="L411" s="262"/>
      <c r="M411" s="262" t="s">
        <v>206</v>
      </c>
      <c r="N411" s="262" t="s">
        <v>67</v>
      </c>
      <c r="O411" s="722" t="s">
        <v>582</v>
      </c>
      <c r="P411" s="262" t="s">
        <v>61</v>
      </c>
      <c r="Q411" s="262" t="s">
        <v>208</v>
      </c>
      <c r="R411" s="262" t="s">
        <v>144</v>
      </c>
      <c r="S411" s="261">
        <v>24</v>
      </c>
      <c r="T411" s="261" t="s">
        <v>320</v>
      </c>
      <c r="U411" s="261"/>
      <c r="V411" s="261" t="s">
        <v>136</v>
      </c>
      <c r="W411" s="261"/>
      <c r="X411" s="261">
        <v>5</v>
      </c>
      <c r="Y411" s="261">
        <f>Tabla_query__2[[#This Row],[Número
Semanas]]*5*8</f>
        <v>200</v>
      </c>
      <c r="Z411" s="268">
        <f>Tabla_query__2[[#This Row],[TOTAL]]/Tabla_query__2[[#This Row],[Número de Horas]]/2</f>
        <v>11.25</v>
      </c>
      <c r="AA411" s="261">
        <v>2</v>
      </c>
      <c r="AB411" s="261">
        <v>450</v>
      </c>
      <c r="AC411" s="261"/>
      <c r="AD411" s="268">
        <f>Tabla_query__2[[#This Row],[Número
Semanas]]*Tabla_query__2[[#This Row],[Número
Personas]]*Tabla_query__2[[#This Row],[Costo
Mano Obra/semana]]</f>
        <v>4500</v>
      </c>
      <c r="AE411" s="261"/>
      <c r="AF411" s="261"/>
      <c r="AG411" s="261"/>
      <c r="AH411" s="267">
        <v>45579</v>
      </c>
      <c r="AI411" s="267">
        <v>45619</v>
      </c>
      <c r="AJ411" s="282" t="e">
        <f>#REF!</f>
        <v>#REF!</v>
      </c>
      <c r="AK411" s="267">
        <v>45622</v>
      </c>
      <c r="AL411" s="282">
        <v>45625</v>
      </c>
      <c r="AM411" s="282">
        <f t="shared" si="19"/>
        <v>364979</v>
      </c>
      <c r="AN411" s="261"/>
      <c r="AO411" s="261"/>
      <c r="AP411" s="384">
        <f>Tabla_query__2[[#This Row],[InicioDes]]</f>
        <v>45579</v>
      </c>
      <c r="AQ411" s="384">
        <f>Tabla_query__2[[#This Row],[FinDes2]]</f>
        <v>0</v>
      </c>
      <c r="AR411" s="462">
        <f>Tabla_query__2[[#This Row],[Número
Semanas]]/4</f>
        <v>1.25</v>
      </c>
      <c r="AS411" s="269">
        <f>Tabla_query__2[[#This Row],[FinDes2]]-Tabla_query__2[[#This Row],[InicioDes2]]</f>
        <v>0</v>
      </c>
      <c r="AT411" s="261"/>
      <c r="AV411" s="293"/>
    </row>
    <row r="412" spans="1:48" ht="34.9">
      <c r="A412" s="318" t="s">
        <v>130</v>
      </c>
      <c r="B412" s="262" t="s">
        <v>671</v>
      </c>
      <c r="C412" s="262"/>
      <c r="D412" s="277" t="s">
        <v>1060</v>
      </c>
      <c r="E412" s="262"/>
      <c r="F412" s="259" t="s">
        <v>1061</v>
      </c>
      <c r="G412" s="259"/>
      <c r="H412" s="259" t="s">
        <v>204</v>
      </c>
      <c r="I412" s="262" t="s">
        <v>500</v>
      </c>
      <c r="J412" s="262" t="s">
        <v>53</v>
      </c>
      <c r="K412" s="262"/>
      <c r="L412" s="262"/>
      <c r="M412" s="262" t="s">
        <v>206</v>
      </c>
      <c r="N412" s="262" t="s">
        <v>68</v>
      </c>
      <c r="O412" s="722" t="s">
        <v>582</v>
      </c>
      <c r="P412" s="262" t="s">
        <v>61</v>
      </c>
      <c r="Q412" s="262" t="s">
        <v>298</v>
      </c>
      <c r="R412" s="262" t="s">
        <v>144</v>
      </c>
      <c r="S412" s="261">
        <v>1</v>
      </c>
      <c r="T412" s="261" t="str">
        <f t="shared" ref="T412:T422" si="20">IF(MONTH(AH412)&lt;4, "Q1",IF(AND(MONTH(AH412)&gt;3,MONTH(AH412)&lt;=6),"Q2",IF(AND(MONTH(AH412)&gt;6,MONTH(AH412)&lt;=9),"Q3","Q4")))</f>
        <v>Q1</v>
      </c>
      <c r="U412" s="261" t="s">
        <v>602</v>
      </c>
      <c r="V412" s="261" t="s">
        <v>146</v>
      </c>
      <c r="W412" s="261">
        <v>1</v>
      </c>
      <c r="X412" s="261">
        <v>1</v>
      </c>
      <c r="Y412" s="261">
        <f>Tabla_query__2[[#This Row],[Número
Semanas]]*5*8</f>
        <v>40</v>
      </c>
      <c r="Z412" s="268">
        <f>Tabla_query__2[[#This Row],[TOTAL]]/Tabla_query__2[[#This Row],[Número de Horas]]/2</f>
        <v>27.5</v>
      </c>
      <c r="AA412" s="261">
        <v>4</v>
      </c>
      <c r="AB412" s="261">
        <v>550</v>
      </c>
      <c r="AC412" s="261"/>
      <c r="AD412" s="388">
        <f>Tabla_query__2[[#This Row],[Número
Semanas]]*Tabla_query__2[[#This Row],[Número
Personas]]*Tabla_query__2[[#This Row],[Costo
Mano Obra/semana]]</f>
        <v>2200</v>
      </c>
      <c r="AE412" s="261"/>
      <c r="AF412" s="261"/>
      <c r="AG412" s="261"/>
      <c r="AH412" s="384">
        <v>45348</v>
      </c>
      <c r="AI412" s="384">
        <v>45376</v>
      </c>
      <c r="AJ412" s="282" t="e">
        <f>#REF!</f>
        <v>#REF!</v>
      </c>
      <c r="AK412" s="384">
        <v>45377</v>
      </c>
      <c r="AL412" s="384">
        <v>45391</v>
      </c>
      <c r="AM412" s="282">
        <f t="shared" si="19"/>
        <v>363030</v>
      </c>
      <c r="AN412" s="384">
        <v>45392</v>
      </c>
      <c r="AO412" s="384">
        <v>45406</v>
      </c>
      <c r="AP412" s="384">
        <f>Tabla_query__2[[#This Row],[InicioDes]]</f>
        <v>45348</v>
      </c>
      <c r="AQ412" s="384">
        <f>Tabla_query__2[[#This Row],[FinDes2]]</f>
        <v>45406</v>
      </c>
      <c r="AR412" s="462">
        <f>Tabla_query__2[[#This Row],[Número
Semanas]]/4</f>
        <v>0.25</v>
      </c>
      <c r="AS412" s="269">
        <f>Tabla_query__2[[#This Row],[FinDes2]]-Tabla_query__2[[#This Row],[InicioDes2]]</f>
        <v>14</v>
      </c>
      <c r="AT412" s="261" t="s">
        <v>583</v>
      </c>
    </row>
    <row r="413" spans="1:48">
      <c r="A413" s="318" t="s">
        <v>130</v>
      </c>
      <c r="B413" s="262" t="s">
        <v>671</v>
      </c>
      <c r="C413" s="262"/>
      <c r="D413" s="262" t="s">
        <v>1062</v>
      </c>
      <c r="E413" s="262"/>
      <c r="F413" s="259" t="s">
        <v>601</v>
      </c>
      <c r="G413" s="259"/>
      <c r="H413" s="259" t="s">
        <v>204</v>
      </c>
      <c r="I413" s="262" t="s">
        <v>500</v>
      </c>
      <c r="J413" s="262" t="s">
        <v>53</v>
      </c>
      <c r="K413" s="262"/>
      <c r="L413" s="262"/>
      <c r="M413" s="262" t="s">
        <v>206</v>
      </c>
      <c r="N413" s="262" t="s">
        <v>68</v>
      </c>
      <c r="O413" s="722" t="s">
        <v>582</v>
      </c>
      <c r="P413" s="262" t="s">
        <v>61</v>
      </c>
      <c r="Q413" s="262" t="s">
        <v>298</v>
      </c>
      <c r="R413" s="262" t="s">
        <v>144</v>
      </c>
      <c r="S413" s="261">
        <v>1</v>
      </c>
      <c r="T413" s="261" t="str">
        <f t="shared" si="20"/>
        <v>Q1</v>
      </c>
      <c r="U413" s="261"/>
      <c r="V413" s="261" t="s">
        <v>210</v>
      </c>
      <c r="W413" s="261">
        <v>1</v>
      </c>
      <c r="X413" s="261">
        <v>1</v>
      </c>
      <c r="Y413" s="261">
        <f>Tabla_query__2[[#This Row],[Número
Semanas]]*5*8</f>
        <v>40</v>
      </c>
      <c r="Z413" s="268">
        <f>Tabla_query__2[[#This Row],[TOTAL]]/Tabla_query__2[[#This Row],[Número de Horas]]/2</f>
        <v>20.625</v>
      </c>
      <c r="AA413" s="261">
        <v>3</v>
      </c>
      <c r="AB413" s="261">
        <v>550</v>
      </c>
      <c r="AC413" s="261"/>
      <c r="AD413" s="388">
        <f>Tabla_query__2[[#This Row],[Número
Semanas]]*Tabla_query__2[[#This Row],[Número
Personas]]*Tabla_query__2[[#This Row],[Costo
Mano Obra/semana]]</f>
        <v>1650</v>
      </c>
      <c r="AE413" s="261"/>
      <c r="AF413" s="261"/>
      <c r="AG413" s="261"/>
      <c r="AH413" s="416">
        <v>45369</v>
      </c>
      <c r="AI413" s="416">
        <v>45390</v>
      </c>
      <c r="AJ413" s="282" t="e">
        <f>#REF!</f>
        <v>#REF!</v>
      </c>
      <c r="AK413" s="416">
        <v>45391</v>
      </c>
      <c r="AL413" s="416">
        <v>45405</v>
      </c>
      <c r="AM413" s="282">
        <f t="shared" si="19"/>
        <v>363142</v>
      </c>
      <c r="AN413" s="416">
        <v>45406</v>
      </c>
      <c r="AO413" s="416">
        <v>45420</v>
      </c>
      <c r="AP413" s="384">
        <f>Tabla_query__2[[#This Row],[InicioDes]]</f>
        <v>45369</v>
      </c>
      <c r="AQ413" s="384">
        <f>Tabla_query__2[[#This Row],[FinDes2]]</f>
        <v>45420</v>
      </c>
      <c r="AR413" s="462">
        <f>Tabla_query__2[[#This Row],[Número
Semanas]]/4</f>
        <v>0.25</v>
      </c>
      <c r="AS413" s="269">
        <f>Tabla_query__2[[#This Row],[FinDes2]]-Tabla_query__2[[#This Row],[InicioDes2]]</f>
        <v>14</v>
      </c>
      <c r="AT413" s="261" t="s">
        <v>583</v>
      </c>
    </row>
    <row r="414" spans="1:48">
      <c r="A414" s="318" t="s">
        <v>130</v>
      </c>
      <c r="B414" s="262" t="s">
        <v>671</v>
      </c>
      <c r="C414" s="262"/>
      <c r="D414" s="262" t="s">
        <v>1063</v>
      </c>
      <c r="E414" s="262"/>
      <c r="F414" s="259" t="s">
        <v>601</v>
      </c>
      <c r="G414" s="259"/>
      <c r="H414" s="259" t="s">
        <v>204</v>
      </c>
      <c r="I414" s="262" t="s">
        <v>500</v>
      </c>
      <c r="J414" s="262" t="s">
        <v>53</v>
      </c>
      <c r="K414" s="262"/>
      <c r="L414" s="262"/>
      <c r="M414" s="262" t="s">
        <v>206</v>
      </c>
      <c r="N414" s="262" t="s">
        <v>68</v>
      </c>
      <c r="O414" s="722" t="s">
        <v>582</v>
      </c>
      <c r="P414" s="262" t="s">
        <v>61</v>
      </c>
      <c r="Q414" s="262" t="s">
        <v>298</v>
      </c>
      <c r="R414" s="262" t="s">
        <v>144</v>
      </c>
      <c r="S414" s="261">
        <v>1</v>
      </c>
      <c r="T414" s="261" t="str">
        <f t="shared" si="20"/>
        <v>Q1</v>
      </c>
      <c r="U414" s="261"/>
      <c r="V414" s="261" t="s">
        <v>136</v>
      </c>
      <c r="W414" s="261">
        <v>1</v>
      </c>
      <c r="X414" s="261">
        <v>1</v>
      </c>
      <c r="Y414" s="261">
        <f>Tabla_query__2[[#This Row],[Número
Semanas]]*5*8</f>
        <v>40</v>
      </c>
      <c r="Z414" s="268">
        <f>Tabla_query__2[[#This Row],[TOTAL]]/Tabla_query__2[[#This Row],[Número de Horas]]/2</f>
        <v>34.375</v>
      </c>
      <c r="AA414" s="261">
        <v>5</v>
      </c>
      <c r="AB414" s="261">
        <v>550</v>
      </c>
      <c r="AC414" s="261"/>
      <c r="AD414" s="388">
        <f>Tabla_query__2[[#This Row],[Número
Semanas]]*Tabla_query__2[[#This Row],[Número
Personas]]*Tabla_query__2[[#This Row],[Costo
Mano Obra/semana]]</f>
        <v>2750</v>
      </c>
      <c r="AE414" s="261"/>
      <c r="AF414" s="261"/>
      <c r="AG414" s="261"/>
      <c r="AH414" s="715">
        <v>45376</v>
      </c>
      <c r="AI414" s="715">
        <v>45411</v>
      </c>
      <c r="AJ414" s="282" t="e">
        <f>#REF!</f>
        <v>#REF!</v>
      </c>
      <c r="AK414" s="715">
        <v>45412</v>
      </c>
      <c r="AL414" s="715">
        <v>45426</v>
      </c>
      <c r="AM414" s="282">
        <f t="shared" si="19"/>
        <v>363310</v>
      </c>
      <c r="AN414" s="715">
        <v>45427</v>
      </c>
      <c r="AO414" s="715">
        <v>45441</v>
      </c>
      <c r="AP414" s="384">
        <f>Tabla_query__2[[#This Row],[InicioDes]]</f>
        <v>45376</v>
      </c>
      <c r="AQ414" s="384">
        <f>Tabla_query__2[[#This Row],[FinDes2]]</f>
        <v>45441</v>
      </c>
      <c r="AR414" s="462">
        <f>Tabla_query__2[[#This Row],[Número
Semanas]]/4</f>
        <v>0.25</v>
      </c>
      <c r="AS414" s="269">
        <f>Tabla_query__2[[#This Row],[FinDes2]]-Tabla_query__2[[#This Row],[InicioDes2]]</f>
        <v>14</v>
      </c>
      <c r="AT414" s="261" t="s">
        <v>583</v>
      </c>
    </row>
    <row r="415" spans="1:48">
      <c r="A415" s="318" t="s">
        <v>130</v>
      </c>
      <c r="B415" s="262" t="s">
        <v>671</v>
      </c>
      <c r="C415" s="262"/>
      <c r="D415" s="262" t="s">
        <v>1064</v>
      </c>
      <c r="E415" s="262"/>
      <c r="F415" s="259" t="s">
        <v>601</v>
      </c>
      <c r="G415" s="259"/>
      <c r="H415" s="259" t="s">
        <v>204</v>
      </c>
      <c r="I415" s="262" t="s">
        <v>500</v>
      </c>
      <c r="J415" s="262" t="s">
        <v>53</v>
      </c>
      <c r="K415" s="262"/>
      <c r="L415" s="262"/>
      <c r="M415" s="262" t="s">
        <v>206</v>
      </c>
      <c r="N415" s="262" t="s">
        <v>68</v>
      </c>
      <c r="O415" s="722" t="s">
        <v>582</v>
      </c>
      <c r="P415" s="262" t="s">
        <v>61</v>
      </c>
      <c r="Q415" s="262" t="s">
        <v>298</v>
      </c>
      <c r="R415" s="262" t="s">
        <v>144</v>
      </c>
      <c r="S415" s="261">
        <v>1</v>
      </c>
      <c r="T415" s="261" t="str">
        <f t="shared" si="20"/>
        <v>Q2</v>
      </c>
      <c r="U415" s="261"/>
      <c r="V415" s="261" t="s">
        <v>146</v>
      </c>
      <c r="W415" s="261">
        <v>1</v>
      </c>
      <c r="X415" s="261">
        <v>1</v>
      </c>
      <c r="Y415" s="261">
        <f>Tabla_query__2[[#This Row],[Número
Semanas]]*5*8</f>
        <v>40</v>
      </c>
      <c r="Z415" s="268">
        <f>Tabla_query__2[[#This Row],[TOTAL]]/Tabla_query__2[[#This Row],[Número de Horas]]/2</f>
        <v>27.5</v>
      </c>
      <c r="AA415" s="261">
        <v>4</v>
      </c>
      <c r="AB415" s="261">
        <v>550</v>
      </c>
      <c r="AC415" s="261"/>
      <c r="AD415" s="388">
        <f>Tabla_query__2[[#This Row],[Número
Semanas]]*Tabla_query__2[[#This Row],[Número
Personas]]*Tabla_query__2[[#This Row],[Costo
Mano Obra/semana]]</f>
        <v>2200</v>
      </c>
      <c r="AE415" s="261"/>
      <c r="AF415" s="261"/>
      <c r="AG415" s="261"/>
      <c r="AH415" s="416">
        <v>45383</v>
      </c>
      <c r="AI415" s="416">
        <v>45411</v>
      </c>
      <c r="AJ415" s="282" t="e">
        <f>#REF!</f>
        <v>#REF!</v>
      </c>
      <c r="AK415" s="416">
        <v>45412</v>
      </c>
      <c r="AL415" s="416">
        <v>45426</v>
      </c>
      <c r="AM415" s="282">
        <f t="shared" si="19"/>
        <v>363310</v>
      </c>
      <c r="AN415" s="416">
        <v>45427</v>
      </c>
      <c r="AO415" s="416">
        <v>45441</v>
      </c>
      <c r="AP415" s="384">
        <f>Tabla_query__2[[#This Row],[InicioDes]]</f>
        <v>45383</v>
      </c>
      <c r="AQ415" s="384">
        <f>Tabla_query__2[[#This Row],[FinDes2]]</f>
        <v>45441</v>
      </c>
      <c r="AR415" s="462">
        <f>Tabla_query__2[[#This Row],[Número
Semanas]]/4</f>
        <v>0.25</v>
      </c>
      <c r="AS415" s="269">
        <f>Tabla_query__2[[#This Row],[FinDes2]]-Tabla_query__2[[#This Row],[InicioDes2]]</f>
        <v>14</v>
      </c>
      <c r="AT415" s="261" t="s">
        <v>583</v>
      </c>
    </row>
    <row r="416" spans="1:48" ht="23.25">
      <c r="A416" s="318" t="s">
        <v>130</v>
      </c>
      <c r="B416" s="262" t="s">
        <v>671</v>
      </c>
      <c r="C416" s="262"/>
      <c r="D416" s="277" t="s">
        <v>1065</v>
      </c>
      <c r="E416" s="262"/>
      <c r="F416" s="259" t="s">
        <v>601</v>
      </c>
      <c r="G416" s="259"/>
      <c r="H416" s="259" t="s">
        <v>204</v>
      </c>
      <c r="I416" s="262" t="s">
        <v>500</v>
      </c>
      <c r="J416" s="262" t="s">
        <v>53</v>
      </c>
      <c r="K416" s="262"/>
      <c r="L416" s="262"/>
      <c r="M416" s="262" t="s">
        <v>206</v>
      </c>
      <c r="N416" s="262" t="s">
        <v>68</v>
      </c>
      <c r="O416" s="722" t="s">
        <v>582</v>
      </c>
      <c r="P416" s="262" t="s">
        <v>61</v>
      </c>
      <c r="Q416" s="262" t="s">
        <v>298</v>
      </c>
      <c r="R416" s="262" t="s">
        <v>144</v>
      </c>
      <c r="S416" s="261">
        <v>2</v>
      </c>
      <c r="T416" s="261" t="str">
        <f t="shared" si="20"/>
        <v>Q2</v>
      </c>
      <c r="U416" s="261"/>
      <c r="V416" s="261" t="s">
        <v>146</v>
      </c>
      <c r="W416" s="261">
        <v>1</v>
      </c>
      <c r="X416" s="261">
        <v>1</v>
      </c>
      <c r="Y416" s="261">
        <f>Tabla_query__2[[#This Row],[Número
Semanas]]*5*8</f>
        <v>40</v>
      </c>
      <c r="Z416" s="268">
        <f>Tabla_query__2[[#This Row],[TOTAL]]/Tabla_query__2[[#This Row],[Número de Horas]]/2</f>
        <v>27.5</v>
      </c>
      <c r="AA416" s="261">
        <v>4</v>
      </c>
      <c r="AB416" s="261">
        <v>550</v>
      </c>
      <c r="AC416" s="261"/>
      <c r="AD416" s="388">
        <f>Tabla_query__2[[#This Row],[Número
Semanas]]*Tabla_query__2[[#This Row],[Número
Personas]]*Tabla_query__2[[#This Row],[Costo
Mano Obra/semana]]</f>
        <v>2200</v>
      </c>
      <c r="AE416" s="261"/>
      <c r="AF416" s="261"/>
      <c r="AG416" s="261"/>
      <c r="AH416" s="384">
        <v>45397</v>
      </c>
      <c r="AI416" s="384">
        <v>45425</v>
      </c>
      <c r="AJ416" s="282" t="e">
        <f>#REF!</f>
        <v>#REF!</v>
      </c>
      <c r="AK416" s="384">
        <v>45426</v>
      </c>
      <c r="AL416" s="384">
        <v>45440</v>
      </c>
      <c r="AM416" s="282">
        <f t="shared" si="19"/>
        <v>363422</v>
      </c>
      <c r="AN416" s="384">
        <v>45441</v>
      </c>
      <c r="AO416" s="384">
        <v>45455</v>
      </c>
      <c r="AP416" s="384">
        <f>Tabla_query__2[[#This Row],[InicioDes]]</f>
        <v>45397</v>
      </c>
      <c r="AQ416" s="384">
        <f>Tabla_query__2[[#This Row],[FinDes2]]</f>
        <v>45455</v>
      </c>
      <c r="AR416" s="462">
        <f>Tabla_query__2[[#This Row],[Número
Semanas]]/4</f>
        <v>0.25</v>
      </c>
      <c r="AS416" s="269">
        <f>Tabla_query__2[[#This Row],[FinDes2]]-Tabla_query__2[[#This Row],[InicioDes2]]</f>
        <v>14</v>
      </c>
      <c r="AT416" s="261" t="s">
        <v>583</v>
      </c>
    </row>
    <row r="417" spans="1:49">
      <c r="A417" s="318" t="s">
        <v>130</v>
      </c>
      <c r="B417" s="262" t="s">
        <v>671</v>
      </c>
      <c r="C417" s="262"/>
      <c r="D417" s="262" t="s">
        <v>1066</v>
      </c>
      <c r="E417" s="262"/>
      <c r="F417" s="259" t="s">
        <v>601</v>
      </c>
      <c r="G417" s="259"/>
      <c r="H417" s="259" t="s">
        <v>204</v>
      </c>
      <c r="I417" s="262" t="s">
        <v>500</v>
      </c>
      <c r="J417" s="262" t="s">
        <v>53</v>
      </c>
      <c r="K417" s="262"/>
      <c r="L417" s="262"/>
      <c r="M417" s="262" t="s">
        <v>206</v>
      </c>
      <c r="N417" s="262" t="s">
        <v>68</v>
      </c>
      <c r="O417" s="722" t="s">
        <v>582</v>
      </c>
      <c r="P417" s="262" t="s">
        <v>61</v>
      </c>
      <c r="Q417" s="262" t="s">
        <v>298</v>
      </c>
      <c r="R417" s="262" t="s">
        <v>144</v>
      </c>
      <c r="S417" s="261">
        <v>2</v>
      </c>
      <c r="T417" s="261" t="str">
        <f t="shared" si="20"/>
        <v>Q2</v>
      </c>
      <c r="U417" s="261"/>
      <c r="V417" s="261" t="s">
        <v>146</v>
      </c>
      <c r="W417" s="261">
        <v>1</v>
      </c>
      <c r="X417" s="261">
        <v>2</v>
      </c>
      <c r="Y417" s="261">
        <f>Tabla_query__2[[#This Row],[Número
Semanas]]*5*8</f>
        <v>80</v>
      </c>
      <c r="Z417" s="268">
        <f>Tabla_query__2[[#This Row],[TOTAL]]/Tabla_query__2[[#This Row],[Número de Horas]]/2</f>
        <v>27.5</v>
      </c>
      <c r="AA417" s="261">
        <v>4</v>
      </c>
      <c r="AB417" s="261">
        <v>550</v>
      </c>
      <c r="AC417" s="261"/>
      <c r="AD417" s="388">
        <f>Tabla_query__2[[#This Row],[Número
Semanas]]*Tabla_query__2[[#This Row],[Número
Personas]]*Tabla_query__2[[#This Row],[Costo
Mano Obra/semana]]</f>
        <v>4400</v>
      </c>
      <c r="AE417" s="261"/>
      <c r="AF417" s="261"/>
      <c r="AG417" s="261"/>
      <c r="AH417" s="515">
        <v>45383</v>
      </c>
      <c r="AI417" s="515">
        <v>45411</v>
      </c>
      <c r="AJ417" s="515">
        <v>45412</v>
      </c>
      <c r="AK417" s="515">
        <v>45426</v>
      </c>
      <c r="AL417" s="515">
        <v>45427</v>
      </c>
      <c r="AM417" s="515">
        <v>45441</v>
      </c>
      <c r="AN417" s="416">
        <v>45462</v>
      </c>
      <c r="AO417" s="416">
        <v>45476</v>
      </c>
      <c r="AP417" s="384">
        <f>Tabla_query__2[[#This Row],[InicioDes]]</f>
        <v>45383</v>
      </c>
      <c r="AQ417" s="384">
        <f>Tabla_query__2[[#This Row],[FinDes2]]</f>
        <v>45476</v>
      </c>
      <c r="AR417" s="462">
        <f>Tabla_query__2[[#This Row],[Número
Semanas]]/4</f>
        <v>0.5</v>
      </c>
      <c r="AS417" s="269">
        <f>Tabla_query__2[[#This Row],[FinDes2]]-Tabla_query__2[[#This Row],[InicioDes2]]</f>
        <v>14</v>
      </c>
      <c r="AT417" s="261" t="s">
        <v>583</v>
      </c>
    </row>
    <row r="418" spans="1:49">
      <c r="A418" s="318" t="s">
        <v>130</v>
      </c>
      <c r="B418" s="262" t="s">
        <v>671</v>
      </c>
      <c r="C418" s="262"/>
      <c r="D418" s="262" t="s">
        <v>1067</v>
      </c>
      <c r="E418" s="262"/>
      <c r="F418" s="259" t="s">
        <v>601</v>
      </c>
      <c r="G418" s="259"/>
      <c r="H418" s="259" t="s">
        <v>204</v>
      </c>
      <c r="I418" s="262" t="s">
        <v>500</v>
      </c>
      <c r="J418" s="262" t="s">
        <v>53</v>
      </c>
      <c r="K418" s="262"/>
      <c r="L418" s="262"/>
      <c r="M418" s="262" t="s">
        <v>206</v>
      </c>
      <c r="N418" s="262" t="s">
        <v>68</v>
      </c>
      <c r="O418" s="722" t="s">
        <v>582</v>
      </c>
      <c r="P418" s="262" t="s">
        <v>61</v>
      </c>
      <c r="Q418" s="262" t="s">
        <v>298</v>
      </c>
      <c r="R418" s="262" t="s">
        <v>144</v>
      </c>
      <c r="S418" s="261">
        <v>3</v>
      </c>
      <c r="T418" s="261" t="str">
        <f t="shared" si="20"/>
        <v>Q2</v>
      </c>
      <c r="U418" s="261"/>
      <c r="V418" s="261" t="s">
        <v>146</v>
      </c>
      <c r="W418" s="261">
        <v>1</v>
      </c>
      <c r="X418" s="261">
        <v>2</v>
      </c>
      <c r="Y418" s="261">
        <f>Tabla_query__2[[#This Row],[Número
Semanas]]*5*8</f>
        <v>80</v>
      </c>
      <c r="Z418" s="268">
        <f>Tabla_query__2[[#This Row],[TOTAL]]/Tabla_query__2[[#This Row],[Número de Horas]]/2</f>
        <v>27.5</v>
      </c>
      <c r="AA418" s="261">
        <v>4</v>
      </c>
      <c r="AB418" s="261">
        <v>550</v>
      </c>
      <c r="AC418" s="261"/>
      <c r="AD418" s="388">
        <f>Tabla_query__2[[#This Row],[Número
Semanas]]*Tabla_query__2[[#This Row],[Número
Personas]]*Tabla_query__2[[#This Row],[Costo
Mano Obra/semana]]</f>
        <v>4400</v>
      </c>
      <c r="AE418" s="261"/>
      <c r="AF418" s="261"/>
      <c r="AG418" s="261"/>
      <c r="AH418" s="517">
        <v>45414</v>
      </c>
      <c r="AI418" s="517">
        <v>45428</v>
      </c>
      <c r="AJ418" s="517">
        <v>45429</v>
      </c>
      <c r="AK418" s="517">
        <v>45443</v>
      </c>
      <c r="AL418" s="517">
        <v>45444</v>
      </c>
      <c r="AM418" s="517">
        <v>45458</v>
      </c>
      <c r="AN418" s="416">
        <v>45462</v>
      </c>
      <c r="AO418" s="416">
        <v>45476</v>
      </c>
      <c r="AP418" s="384">
        <f>Tabla_query__2[[#This Row],[InicioDes]]</f>
        <v>45414</v>
      </c>
      <c r="AQ418" s="384">
        <f>Tabla_query__2[[#This Row],[FinDes2]]</f>
        <v>45476</v>
      </c>
      <c r="AR418" s="462">
        <f>Tabla_query__2[[#This Row],[Número
Semanas]]/4</f>
        <v>0.5</v>
      </c>
      <c r="AS418" s="269">
        <f>Tabla_query__2[[#This Row],[FinDes2]]-Tabla_query__2[[#This Row],[InicioDes2]]</f>
        <v>14</v>
      </c>
      <c r="AT418" s="261" t="s">
        <v>583</v>
      </c>
    </row>
    <row r="419" spans="1:49">
      <c r="A419" s="318" t="s">
        <v>130</v>
      </c>
      <c r="B419" s="262" t="s">
        <v>671</v>
      </c>
      <c r="C419" s="262"/>
      <c r="D419" s="262" t="s">
        <v>1068</v>
      </c>
      <c r="E419" s="262"/>
      <c r="F419" s="259" t="s">
        <v>601</v>
      </c>
      <c r="G419" s="259"/>
      <c r="H419" s="259" t="s">
        <v>204</v>
      </c>
      <c r="I419" s="262" t="s">
        <v>500</v>
      </c>
      <c r="J419" s="262" t="s">
        <v>53</v>
      </c>
      <c r="K419" s="262"/>
      <c r="L419" s="262"/>
      <c r="M419" s="262" t="s">
        <v>206</v>
      </c>
      <c r="N419" s="262" t="s">
        <v>68</v>
      </c>
      <c r="O419" s="722" t="s">
        <v>582</v>
      </c>
      <c r="P419" s="262" t="s">
        <v>61</v>
      </c>
      <c r="Q419" s="262" t="s">
        <v>298</v>
      </c>
      <c r="R419" s="262" t="s">
        <v>144</v>
      </c>
      <c r="S419" s="261">
        <v>3</v>
      </c>
      <c r="T419" s="261" t="str">
        <f t="shared" si="20"/>
        <v>Q3</v>
      </c>
      <c r="U419" s="261"/>
      <c r="V419" s="261" t="s">
        <v>210</v>
      </c>
      <c r="W419" s="261">
        <v>1</v>
      </c>
      <c r="X419" s="261">
        <v>2</v>
      </c>
      <c r="Y419" s="261">
        <f>Tabla_query__2[[#This Row],[Número
Semanas]]*5*8</f>
        <v>80</v>
      </c>
      <c r="Z419" s="268">
        <f>Tabla_query__2[[#This Row],[TOTAL]]/Tabla_query__2[[#This Row],[Número de Horas]]/2</f>
        <v>20.625</v>
      </c>
      <c r="AA419" s="261">
        <v>3</v>
      </c>
      <c r="AB419" s="261">
        <v>550</v>
      </c>
      <c r="AC419" s="261"/>
      <c r="AD419" s="388">
        <f>Tabla_query__2[[#This Row],[Número
Semanas]]*Tabla_query__2[[#This Row],[Número
Personas]]*Tabla_query__2[[#This Row],[Costo
Mano Obra/semana]]</f>
        <v>3300</v>
      </c>
      <c r="AE419" s="261"/>
      <c r="AF419" s="261"/>
      <c r="AG419" s="261"/>
      <c r="AH419" s="714">
        <v>45516</v>
      </c>
      <c r="AI419" s="714">
        <v>45530</v>
      </c>
      <c r="AJ419" s="714">
        <v>45531</v>
      </c>
      <c r="AK419" s="714">
        <v>45545</v>
      </c>
      <c r="AL419" s="714">
        <v>45546</v>
      </c>
      <c r="AM419" s="714">
        <v>45560</v>
      </c>
      <c r="AN419" s="721">
        <v>45492</v>
      </c>
      <c r="AO419" s="721">
        <v>45506</v>
      </c>
      <c r="AP419" s="384">
        <f>Tabla_query__2[[#This Row],[InicioDes]]</f>
        <v>45516</v>
      </c>
      <c r="AQ419" s="384">
        <f>Tabla_query__2[[#This Row],[FinDes2]]</f>
        <v>45506</v>
      </c>
      <c r="AR419" s="462">
        <f>Tabla_query__2[[#This Row],[Número
Semanas]]/4</f>
        <v>0.5</v>
      </c>
      <c r="AS419" s="269">
        <f>Tabla_query__2[[#This Row],[FinDes2]]-Tabla_query__2[[#This Row],[InicioDes2]]</f>
        <v>14</v>
      </c>
      <c r="AT419" s="261" t="s">
        <v>583</v>
      </c>
    </row>
    <row r="420" spans="1:49" ht="23.25">
      <c r="A420" s="318" t="s">
        <v>130</v>
      </c>
      <c r="B420" s="262" t="s">
        <v>671</v>
      </c>
      <c r="C420" s="262"/>
      <c r="D420" s="277" t="s">
        <v>1069</v>
      </c>
      <c r="E420" s="262"/>
      <c r="F420" s="259" t="s">
        <v>601</v>
      </c>
      <c r="G420" s="259"/>
      <c r="H420" s="259" t="s">
        <v>204</v>
      </c>
      <c r="I420" s="262" t="s">
        <v>500</v>
      </c>
      <c r="J420" s="262" t="s">
        <v>53</v>
      </c>
      <c r="K420" s="262"/>
      <c r="L420" s="262"/>
      <c r="M420" s="262" t="s">
        <v>206</v>
      </c>
      <c r="N420" s="262" t="s">
        <v>68</v>
      </c>
      <c r="O420" s="722" t="s">
        <v>582</v>
      </c>
      <c r="P420" s="262" t="s">
        <v>61</v>
      </c>
      <c r="Q420" s="262" t="s">
        <v>298</v>
      </c>
      <c r="R420" s="262" t="s">
        <v>144</v>
      </c>
      <c r="S420" s="261">
        <v>4</v>
      </c>
      <c r="T420" s="261" t="str">
        <f t="shared" si="20"/>
        <v>Q3</v>
      </c>
      <c r="U420" s="261"/>
      <c r="V420" s="261" t="s">
        <v>210</v>
      </c>
      <c r="W420" s="261">
        <v>1</v>
      </c>
      <c r="X420" s="261">
        <v>2</v>
      </c>
      <c r="Y420" s="261">
        <f>Tabla_query__2[[#This Row],[Número
Semanas]]*5*8</f>
        <v>80</v>
      </c>
      <c r="Z420" s="268">
        <f>Tabla_query__2[[#This Row],[TOTAL]]/Tabla_query__2[[#This Row],[Número de Horas]]/2</f>
        <v>13.75</v>
      </c>
      <c r="AA420" s="261">
        <v>2</v>
      </c>
      <c r="AB420" s="261">
        <v>550</v>
      </c>
      <c r="AC420" s="261"/>
      <c r="AD420" s="388">
        <f>Tabla_query__2[[#This Row],[Número
Semanas]]*Tabla_query__2[[#This Row],[Número
Personas]]*Tabla_query__2[[#This Row],[Costo
Mano Obra/semana]]</f>
        <v>2200</v>
      </c>
      <c r="AE420" s="261"/>
      <c r="AF420" s="261"/>
      <c r="AG420" s="261"/>
      <c r="AH420" s="712">
        <v>45509</v>
      </c>
      <c r="AI420" s="712">
        <v>45544</v>
      </c>
      <c r="AJ420" s="712">
        <v>45545</v>
      </c>
      <c r="AK420" s="712">
        <v>45559</v>
      </c>
      <c r="AL420" s="712">
        <v>45560</v>
      </c>
      <c r="AM420" s="712">
        <v>45574</v>
      </c>
      <c r="AN420" s="715">
        <v>45499</v>
      </c>
      <c r="AO420" s="715">
        <v>45513</v>
      </c>
      <c r="AP420" s="384">
        <f>Tabla_query__2[[#This Row],[InicioDes]]</f>
        <v>45509</v>
      </c>
      <c r="AQ420" s="384">
        <f>Tabla_query__2[[#This Row],[FinDes2]]</f>
        <v>45513</v>
      </c>
      <c r="AR420" s="462">
        <f>Tabla_query__2[[#This Row],[Número
Semanas]]/4</f>
        <v>0.5</v>
      </c>
      <c r="AS420" s="269">
        <f>Tabla_query__2[[#This Row],[FinDes2]]-Tabla_query__2[[#This Row],[InicioDes2]]</f>
        <v>14</v>
      </c>
      <c r="AT420" s="261" t="s">
        <v>583</v>
      </c>
    </row>
    <row r="421" spans="1:49">
      <c r="A421" s="318" t="s">
        <v>130</v>
      </c>
      <c r="B421" s="262" t="s">
        <v>671</v>
      </c>
      <c r="C421" s="262"/>
      <c r="D421" s="262" t="s">
        <v>1070</v>
      </c>
      <c r="E421" s="262"/>
      <c r="F421" s="259" t="s">
        <v>601</v>
      </c>
      <c r="G421" s="259"/>
      <c r="H421" s="259" t="s">
        <v>204</v>
      </c>
      <c r="I421" s="262" t="s">
        <v>500</v>
      </c>
      <c r="J421" s="262" t="s">
        <v>53</v>
      </c>
      <c r="K421" s="262"/>
      <c r="L421" s="262"/>
      <c r="M421" s="262" t="s">
        <v>206</v>
      </c>
      <c r="N421" s="262" t="s">
        <v>68</v>
      </c>
      <c r="O421" s="722" t="s">
        <v>582</v>
      </c>
      <c r="P421" s="262" t="s">
        <v>61</v>
      </c>
      <c r="Q421" s="262" t="s">
        <v>298</v>
      </c>
      <c r="R421" s="262" t="s">
        <v>144</v>
      </c>
      <c r="S421" s="261">
        <v>4</v>
      </c>
      <c r="T421" s="261" t="str">
        <f t="shared" si="20"/>
        <v>Q2</v>
      </c>
      <c r="U421" s="261"/>
      <c r="V421" s="261" t="s">
        <v>136</v>
      </c>
      <c r="W421" s="261">
        <v>1</v>
      </c>
      <c r="X421" s="261">
        <v>2</v>
      </c>
      <c r="Y421" s="261">
        <f>Tabla_query__2[[#This Row],[Número
Semanas]]*5*8</f>
        <v>80</v>
      </c>
      <c r="Z421" s="268">
        <f>Tabla_query__2[[#This Row],[TOTAL]]/Tabla_query__2[[#This Row],[Número de Horas]]/2</f>
        <v>34.375</v>
      </c>
      <c r="AA421" s="261">
        <v>5</v>
      </c>
      <c r="AB421" s="261">
        <v>550</v>
      </c>
      <c r="AC421" s="261"/>
      <c r="AD421" s="388">
        <f>Tabla_query__2[[#This Row],[Número
Semanas]]*Tabla_query__2[[#This Row],[Número
Personas]]*Tabla_query__2[[#This Row],[Costo
Mano Obra/semana]]</f>
        <v>5500</v>
      </c>
      <c r="AE421" s="261"/>
      <c r="AF421" s="261"/>
      <c r="AG421" s="261"/>
      <c r="AH421" s="714">
        <v>45383</v>
      </c>
      <c r="AI421" s="714">
        <v>45418</v>
      </c>
      <c r="AJ421" s="515">
        <v>45419</v>
      </c>
      <c r="AK421" s="714">
        <v>45433</v>
      </c>
      <c r="AL421" s="714">
        <v>45434</v>
      </c>
      <c r="AM421" s="515">
        <v>45448</v>
      </c>
      <c r="AN421" s="721">
        <v>45527</v>
      </c>
      <c r="AO421" s="721">
        <v>45541</v>
      </c>
      <c r="AP421" s="384">
        <f>Tabla_query__2[[#This Row],[InicioDes]]</f>
        <v>45383</v>
      </c>
      <c r="AQ421" s="384">
        <f>Tabla_query__2[[#This Row],[FinDes2]]</f>
        <v>45541</v>
      </c>
      <c r="AR421" s="462">
        <f>Tabla_query__2[[#This Row],[Número
Semanas]]/4</f>
        <v>0.5</v>
      </c>
      <c r="AS421" s="269">
        <f>Tabla_query__2[[#This Row],[FinDes2]]-Tabla_query__2[[#This Row],[InicioDes2]]</f>
        <v>14</v>
      </c>
      <c r="AT421" s="261" t="s">
        <v>583</v>
      </c>
    </row>
    <row r="422" spans="1:49">
      <c r="A422" s="318" t="s">
        <v>130</v>
      </c>
      <c r="B422" s="262" t="s">
        <v>671</v>
      </c>
      <c r="C422" s="262"/>
      <c r="D422" s="262" t="s">
        <v>1071</v>
      </c>
      <c r="E422" s="262"/>
      <c r="F422" s="259" t="s">
        <v>601</v>
      </c>
      <c r="G422" s="259"/>
      <c r="H422" s="259" t="s">
        <v>204</v>
      </c>
      <c r="I422" s="262" t="s">
        <v>500</v>
      </c>
      <c r="J422" s="262" t="s">
        <v>53</v>
      </c>
      <c r="K422" s="262"/>
      <c r="L422" s="262"/>
      <c r="M422" s="262" t="s">
        <v>206</v>
      </c>
      <c r="N422" s="262" t="s">
        <v>68</v>
      </c>
      <c r="O422" s="722" t="s">
        <v>582</v>
      </c>
      <c r="P422" s="262" t="s">
        <v>61</v>
      </c>
      <c r="Q422" s="262" t="s">
        <v>298</v>
      </c>
      <c r="R422" s="262" t="s">
        <v>144</v>
      </c>
      <c r="S422" s="261" t="s">
        <v>1072</v>
      </c>
      <c r="T422" s="261" t="str">
        <f t="shared" si="20"/>
        <v>Q2</v>
      </c>
      <c r="U422" s="261"/>
      <c r="V422" s="261" t="s">
        <v>210</v>
      </c>
      <c r="W422" s="261">
        <v>1</v>
      </c>
      <c r="X422" s="261">
        <v>0</v>
      </c>
      <c r="Y422" s="261">
        <f>Tabla_query__2[[#This Row],[Número
Semanas]]*5*8</f>
        <v>0</v>
      </c>
      <c r="Z422" s="268" t="e">
        <f>Tabla_query__2[[#This Row],[TOTAL]]/Tabla_query__2[[#This Row],[Número de Horas]]/2</f>
        <v>#DIV/0!</v>
      </c>
      <c r="AA422" s="261">
        <v>0</v>
      </c>
      <c r="AB422" s="261">
        <v>550</v>
      </c>
      <c r="AC422" s="261"/>
      <c r="AD422" s="388">
        <f>Tabla_query__2[[#This Row],[Número
Semanas]]*Tabla_query__2[[#This Row],[Número
Personas]]*Tabla_query__2[[#This Row],[Costo
Mano Obra/semana]]</f>
        <v>0</v>
      </c>
      <c r="AE422" s="261"/>
      <c r="AF422" s="261"/>
      <c r="AG422" s="261"/>
      <c r="AH422" s="516">
        <v>45414</v>
      </c>
      <c r="AI422" s="516">
        <v>45435</v>
      </c>
      <c r="AJ422" s="516">
        <v>45436</v>
      </c>
      <c r="AK422" s="516">
        <v>45450</v>
      </c>
      <c r="AL422" s="516">
        <v>45451</v>
      </c>
      <c r="AM422" s="516">
        <v>45465</v>
      </c>
      <c r="AN422" s="416">
        <v>45550</v>
      </c>
      <c r="AO422" s="416">
        <v>45564</v>
      </c>
      <c r="AP422" s="384">
        <f>Tabla_query__2[[#This Row],[InicioDes]]</f>
        <v>45414</v>
      </c>
      <c r="AQ422" s="384">
        <f>Tabla_query__2[[#This Row],[FinDes2]]</f>
        <v>45564</v>
      </c>
      <c r="AR422" s="462">
        <f>Tabla_query__2[[#This Row],[Número
Semanas]]/4</f>
        <v>0</v>
      </c>
      <c r="AS422" s="269">
        <f>Tabla_query__2[[#This Row],[FinDes2]]-Tabla_query__2[[#This Row],[InicioDes2]]</f>
        <v>14</v>
      </c>
      <c r="AT422" s="261" t="s">
        <v>583</v>
      </c>
    </row>
    <row r="423" spans="1:49" ht="46.5">
      <c r="A423" s="318" t="s">
        <v>130</v>
      </c>
      <c r="B423" s="277" t="s">
        <v>217</v>
      </c>
      <c r="C423" s="277"/>
      <c r="D423" s="708" t="s">
        <v>1073</v>
      </c>
      <c r="E423" s="709"/>
      <c r="F423" s="259" t="s">
        <v>1074</v>
      </c>
      <c r="G423" s="259"/>
      <c r="H423" s="259" t="s">
        <v>204</v>
      </c>
      <c r="I423" s="277" t="s">
        <v>1075</v>
      </c>
      <c r="J423" s="277" t="s">
        <v>72</v>
      </c>
      <c r="K423" s="277"/>
      <c r="L423" s="277"/>
      <c r="M423" s="277" t="s">
        <v>206</v>
      </c>
      <c r="N423" s="277" t="s">
        <v>75</v>
      </c>
      <c r="O423" s="723" t="s">
        <v>1076</v>
      </c>
      <c r="P423" s="277" t="s">
        <v>40</v>
      </c>
      <c r="Q423" s="262" t="s">
        <v>208</v>
      </c>
      <c r="R423" s="277" t="s">
        <v>144</v>
      </c>
      <c r="S423" s="259"/>
      <c r="T423" s="259"/>
      <c r="U423" s="259"/>
      <c r="V423" s="259"/>
      <c r="W423" s="259">
        <v>1</v>
      </c>
      <c r="X423" s="259">
        <v>4</v>
      </c>
      <c r="Y423" s="259">
        <f>Tabla_query__2[[#This Row],[Número
Semanas]]*5*8</f>
        <v>160</v>
      </c>
      <c r="Z423" s="387">
        <f>Tabla_query__2[[#This Row],[TOTAL]]/Tabla_query__2[[#This Row],[Número de Horas]]/2</f>
        <v>13.75</v>
      </c>
      <c r="AA423" s="259">
        <v>1</v>
      </c>
      <c r="AB423" s="259">
        <f>40*27.5</f>
        <v>1100</v>
      </c>
      <c r="AC423" s="259"/>
      <c r="AD423" s="403">
        <f>Tabla_query__2[[#This Row],[Número
Semanas]]*Tabla_query__2[[#This Row],[Número
Personas]]*Tabla_query__2[[#This Row],[Costo
Mano Obra/semana]]</f>
        <v>4400</v>
      </c>
      <c r="AE423" s="259"/>
      <c r="AF423" s="259"/>
      <c r="AG423" s="259"/>
      <c r="AH423" s="404"/>
      <c r="AI423" s="404"/>
      <c r="AJ423" s="451">
        <f>Tabla_query__2[[#This Row],[FinDes]]-Tabla_query__2[[#This Row],[InicioDes]]</f>
        <v>0</v>
      </c>
      <c r="AK423" s="404"/>
      <c r="AL423" s="404"/>
      <c r="AM423" s="405">
        <f>Tabla_query__2[[#This Row],[FinPil]]-Tabla_query__2[[#This Row],[InicioPil]]</f>
        <v>0</v>
      </c>
      <c r="AN423" s="404"/>
      <c r="AO423" s="404"/>
      <c r="AP423" s="384">
        <f>Tabla_query__2[[#This Row],[InicioDes]]</f>
        <v>0</v>
      </c>
      <c r="AQ423" s="384">
        <f>Tabla_query__2[[#This Row],[FinDes2]]</f>
        <v>0</v>
      </c>
      <c r="AR423" s="462">
        <f>Tabla_query__2[[#This Row],[Número
Semanas]]/4</f>
        <v>1</v>
      </c>
      <c r="AS423" s="405">
        <f>Tabla_query__2[[#This Row],[FinDes2]]-Tabla_query__2[[#This Row],[InicioDes2]]</f>
        <v>0</v>
      </c>
      <c r="AT423" s="259"/>
      <c r="AU423" s="329"/>
      <c r="AV423" s="329"/>
    </row>
    <row r="424" spans="1:49" ht="46.5">
      <c r="A424" s="318" t="s">
        <v>130</v>
      </c>
      <c r="B424" s="262" t="s">
        <v>131</v>
      </c>
      <c r="C424" s="514" t="s">
        <v>132</v>
      </c>
      <c r="D424" s="262" t="s">
        <v>133</v>
      </c>
      <c r="E424" s="262" t="s">
        <v>134</v>
      </c>
      <c r="F424" s="264" t="s">
        <v>135</v>
      </c>
      <c r="G424" s="259" t="s">
        <v>136</v>
      </c>
      <c r="H424" s="259" t="s">
        <v>137</v>
      </c>
      <c r="I424" s="262" t="s">
        <v>138</v>
      </c>
      <c r="J424" s="262" t="s">
        <v>139</v>
      </c>
      <c r="K424" s="262"/>
      <c r="L424" s="262"/>
      <c r="M424" s="266" t="s">
        <v>328</v>
      </c>
      <c r="N424" s="262" t="s">
        <v>752</v>
      </c>
      <c r="O424" s="722" t="s">
        <v>753</v>
      </c>
      <c r="P424" s="262" t="s">
        <v>139</v>
      </c>
      <c r="Q424" s="262" t="s">
        <v>143</v>
      </c>
      <c r="R424" s="262" t="s">
        <v>144</v>
      </c>
      <c r="S424" s="261" t="s">
        <v>152</v>
      </c>
      <c r="T424" s="261" t="s">
        <v>152</v>
      </c>
      <c r="U424" s="261"/>
      <c r="V424" s="261" t="s">
        <v>146</v>
      </c>
      <c r="W424" s="261">
        <v>1</v>
      </c>
      <c r="X424" s="261">
        <v>12</v>
      </c>
      <c r="Y424" s="261">
        <f>Tabla_query__2[[#This Row],[Número
Semanas]]*5*8</f>
        <v>480</v>
      </c>
      <c r="Z424" s="268">
        <f>Tabla_query__2[[#This Row],[TOTAL]]/Tabla_query__2[[#This Row],[Número de Horas]]/2</f>
        <v>7.541666666666667</v>
      </c>
      <c r="AA424" s="261">
        <v>1</v>
      </c>
      <c r="AB424" s="261">
        <v>550</v>
      </c>
      <c r="AC424" s="261"/>
      <c r="AD424" s="387">
        <f>(Tabla_query__2[[#This Row],[Número
Semanas]]*Tabla_query__2[[#This Row],[Número
Personas]]*Tabla_query__2[[#This Row],[Costo
Mano Obra/semana]]+640)*Tabla_query__2[[#This Row],[Factor País]]</f>
        <v>7240</v>
      </c>
      <c r="AE424" s="261"/>
      <c r="AF424" s="261"/>
      <c r="AG424" s="591" t="s">
        <v>159</v>
      </c>
      <c r="AH424" s="281">
        <v>45355</v>
      </c>
      <c r="AI424" s="281">
        <v>45411</v>
      </c>
      <c r="AJ424" s="281">
        <f>Tabla_query__2[[#This Row],[FinDes]]-Tabla_query__2[[#This Row],[InicioDes]]</f>
        <v>56</v>
      </c>
      <c r="AK424" s="281">
        <v>45411</v>
      </c>
      <c r="AL424" s="281">
        <v>45425</v>
      </c>
      <c r="AM424" s="281">
        <f t="shared" ref="AM424:AM429" si="21">AL424+ ((AK424*7))</f>
        <v>363302</v>
      </c>
      <c r="AN424" s="281">
        <v>45425</v>
      </c>
      <c r="AO424" s="281">
        <v>45439</v>
      </c>
      <c r="AP424" s="281">
        <v>45474</v>
      </c>
      <c r="AQ424" s="281">
        <f>Tabla_query__2[[#This Row],[Inicio Real]]+(Tabla_query__2[[#This Row],[Número
Semanas]]*7)</f>
        <v>45558</v>
      </c>
      <c r="AR424" s="462">
        <f>Tabla_query__2[[#This Row],[Número
Semanas]]/4</f>
        <v>3</v>
      </c>
      <c r="AS424" s="269">
        <f>Tabla_query__2[[#This Row],[FinDes2]]-Tabla_query__2[[#This Row],[InicioDes2]]</f>
        <v>14</v>
      </c>
      <c r="AT424" s="261" t="s">
        <v>155</v>
      </c>
      <c r="AV424" s="437" t="s">
        <v>148</v>
      </c>
    </row>
    <row r="425" spans="1:49">
      <c r="A425" s="318" t="s">
        <v>130</v>
      </c>
      <c r="B425" s="262" t="s">
        <v>134</v>
      </c>
      <c r="C425" s="262"/>
      <c r="D425" s="262" t="s">
        <v>1077</v>
      </c>
      <c r="E425" s="262"/>
      <c r="F425" s="259" t="s">
        <v>1078</v>
      </c>
      <c r="G425" s="259"/>
      <c r="H425" s="259" t="s">
        <v>204</v>
      </c>
      <c r="I425" s="277" t="s">
        <v>220</v>
      </c>
      <c r="J425" s="262" t="s">
        <v>139</v>
      </c>
      <c r="K425" s="262"/>
      <c r="L425" s="262"/>
      <c r="M425" s="262" t="s">
        <v>328</v>
      </c>
      <c r="N425" s="262" t="s">
        <v>752</v>
      </c>
      <c r="O425" s="722" t="s">
        <v>753</v>
      </c>
      <c r="P425" s="262" t="s">
        <v>763</v>
      </c>
      <c r="Q425" s="262" t="s">
        <v>143</v>
      </c>
      <c r="R425" s="262" t="s">
        <v>179</v>
      </c>
      <c r="S425" s="261"/>
      <c r="T425" s="261" t="s">
        <v>152</v>
      </c>
      <c r="U425" s="261"/>
      <c r="V425" s="261" t="s">
        <v>136</v>
      </c>
      <c r="W425" s="261">
        <v>1</v>
      </c>
      <c r="X425" s="261">
        <v>8</v>
      </c>
      <c r="Y425" s="261">
        <f>Tabla_query__2[[#This Row],[Número
Semanas]]*5*8</f>
        <v>320</v>
      </c>
      <c r="Z425" s="268">
        <f>Tabla_query__2[[#This Row],[TOTAL]]/Tabla_query__2[[#This Row],[Número de Horas]]/2</f>
        <v>23.4375</v>
      </c>
      <c r="AA425" s="261">
        <v>3</v>
      </c>
      <c r="AB425" s="261">
        <v>625</v>
      </c>
      <c r="AC425" s="261"/>
      <c r="AD425" s="268">
        <f>Tabla_query__2[[#This Row],[Número
Semanas]]*Tabla_query__2[[#This Row],[Número
Personas]]*Tabla_query__2[[#This Row],[Costo
Mano Obra/semana]]</f>
        <v>15000</v>
      </c>
      <c r="AE425" s="261"/>
      <c r="AF425" s="261"/>
      <c r="AG425" s="261"/>
      <c r="AH425" s="281">
        <v>45292</v>
      </c>
      <c r="AI425" s="281">
        <v>45337</v>
      </c>
      <c r="AJ425" s="281" t="e">
        <f>#REF!</f>
        <v>#REF!</v>
      </c>
      <c r="AK425" s="281">
        <v>45326</v>
      </c>
      <c r="AL425" s="281">
        <v>45331</v>
      </c>
      <c r="AM425" s="281">
        <f t="shared" si="21"/>
        <v>362613</v>
      </c>
      <c r="AN425" s="281">
        <v>45333</v>
      </c>
      <c r="AO425" s="281">
        <v>45337</v>
      </c>
      <c r="AP425" s="281">
        <f>Tabla_query__2[[#This Row],[InicioDes]]</f>
        <v>45292</v>
      </c>
      <c r="AQ425" s="281">
        <f>Tabla_query__2[[#This Row],[FinDes2]]</f>
        <v>45337</v>
      </c>
      <c r="AR425" s="462">
        <f>Tabla_query__2[[#This Row],[Número
Semanas]]/4</f>
        <v>2</v>
      </c>
      <c r="AS425" s="269">
        <f>Tabla_query__2[[#This Row],[FinDes2]]-Tabla_query__2[[#This Row],[InicioDes2]]</f>
        <v>4</v>
      </c>
      <c r="AT425" s="261"/>
    </row>
    <row r="426" spans="1:49" ht="23.25">
      <c r="A426" s="318" t="s">
        <v>130</v>
      </c>
      <c r="B426" s="262" t="s">
        <v>1079</v>
      </c>
      <c r="C426" s="262"/>
      <c r="D426" s="262" t="s">
        <v>1080</v>
      </c>
      <c r="E426" s="262"/>
      <c r="F426" s="259" t="s">
        <v>1081</v>
      </c>
      <c r="G426" s="259"/>
      <c r="H426" s="259" t="s">
        <v>204</v>
      </c>
      <c r="I426" s="262"/>
      <c r="J426" s="262" t="s">
        <v>4</v>
      </c>
      <c r="K426" s="262"/>
      <c r="L426" s="262"/>
      <c r="M426" s="262" t="s">
        <v>206</v>
      </c>
      <c r="N426" s="262"/>
      <c r="O426" s="262"/>
      <c r="P426" s="262" t="s">
        <v>22</v>
      </c>
      <c r="Q426" s="262" t="s">
        <v>208</v>
      </c>
      <c r="R426" s="262" t="s">
        <v>144</v>
      </c>
      <c r="S426" s="261" t="s">
        <v>152</v>
      </c>
      <c r="T426" s="261" t="s">
        <v>152</v>
      </c>
      <c r="U426" s="261"/>
      <c r="V426" s="261"/>
      <c r="W426" s="261">
        <v>0</v>
      </c>
      <c r="X426" s="261">
        <v>0</v>
      </c>
      <c r="Y426" s="261">
        <f>Tabla_query__2[[#This Row],[Número
Semanas]]*5*8</f>
        <v>0</v>
      </c>
      <c r="Z426" s="268" t="e">
        <f>Tabla_query__2[[#This Row],[TOTAL]]/Tabla_query__2[[#This Row],[Número de Horas]]/2</f>
        <v>#DIV/0!</v>
      </c>
      <c r="AA426" s="261">
        <v>0</v>
      </c>
      <c r="AB426" s="261">
        <v>0</v>
      </c>
      <c r="AC426" s="261"/>
      <c r="AD426" s="268">
        <f>((X426*AA426*AB426)+AC426)*W426</f>
        <v>0</v>
      </c>
      <c r="AE426" s="261"/>
      <c r="AF426" s="261"/>
      <c r="AG426" s="261"/>
      <c r="AH426" s="294">
        <v>45336</v>
      </c>
      <c r="AI426" s="261"/>
      <c r="AJ426" s="269">
        <f>Tabla_query__2[[#This Row],[FinDes]]-Tabla_query__2[[#This Row],[InicioDes]]</f>
        <v>-45336</v>
      </c>
      <c r="AK426" s="261"/>
      <c r="AL426" s="261"/>
      <c r="AM426" s="282">
        <f t="shared" si="21"/>
        <v>0</v>
      </c>
      <c r="AN426" s="261"/>
      <c r="AO426" s="267">
        <v>45439</v>
      </c>
      <c r="AP426" s="384">
        <f>Tabla_query__2[[#This Row],[InicioDes]]</f>
        <v>45336</v>
      </c>
      <c r="AQ426" s="384">
        <f>Tabla_query__2[[#This Row],[FinDes2]]</f>
        <v>45439</v>
      </c>
      <c r="AR426" s="462">
        <f>Tabla_query__2[[#This Row],[Número
Semanas]]/4</f>
        <v>0</v>
      </c>
      <c r="AS426" s="269">
        <f>Tabla_query__2[[#This Row],[FinDes2]]-Tabla_query__2[[#This Row],[InicioDes2]]</f>
        <v>45439</v>
      </c>
      <c r="AT426" s="261" t="s">
        <v>155</v>
      </c>
      <c r="AU426" s="5"/>
    </row>
    <row r="427" spans="1:49" ht="34.9">
      <c r="A427" s="318" t="s">
        <v>130</v>
      </c>
      <c r="B427" s="262" t="s">
        <v>218</v>
      </c>
      <c r="C427" s="277" t="s">
        <v>556</v>
      </c>
      <c r="D427" s="262" t="s">
        <v>1082</v>
      </c>
      <c r="E427" s="259" t="s">
        <v>1083</v>
      </c>
      <c r="F427" s="262"/>
      <c r="G427" s="262"/>
      <c r="H427" s="262"/>
      <c r="I427" s="261"/>
      <c r="J427" s="261"/>
      <c r="K427" s="261"/>
      <c r="L427" s="261"/>
      <c r="M427" s="267"/>
      <c r="N427" s="267"/>
      <c r="O427" s="267"/>
      <c r="P427" s="262" t="s">
        <v>32</v>
      </c>
      <c r="Q427" s="262" t="s">
        <v>208</v>
      </c>
      <c r="R427" s="267" t="s">
        <v>144</v>
      </c>
      <c r="S427" s="267"/>
      <c r="T427" s="384" t="s">
        <v>145</v>
      </c>
      <c r="U427" s="384"/>
      <c r="V427" s="261"/>
      <c r="W427"/>
      <c r="X427"/>
      <c r="Y427">
        <f>Tabla_query__2[[#This Row],[Número
Semanas]]*5*8</f>
        <v>0</v>
      </c>
      <c r="Z427" s="643" t="e">
        <f>Tabla_query__2[[#This Row],[TOTAL]]/Tabla_query__2[[#This Row],[Número de Horas]]/2</f>
        <v>#DIV/0!</v>
      </c>
      <c r="AA427"/>
      <c r="AB427"/>
      <c r="AC427"/>
      <c r="AD427">
        <f>Tabla_query__2[[#This Row],[Número
Semanas]]*Tabla_query__2[[#This Row],[Número
Personas]]*Tabla_query__2[[#This Row],[Costo
Mano Obra/semana]] + 640</f>
        <v>640</v>
      </c>
      <c r="AF427"/>
      <c r="AG427" s="547" t="s">
        <v>191</v>
      </c>
      <c r="AH427" s="1">
        <v>45411</v>
      </c>
      <c r="AI427"/>
      <c r="AJ427" t="e">
        <f>#REF!</f>
        <v>#REF!</v>
      </c>
      <c r="AK427"/>
      <c r="AL427"/>
      <c r="AM427">
        <f t="shared" si="21"/>
        <v>0</v>
      </c>
      <c r="AN427" s="1">
        <v>45436</v>
      </c>
      <c r="AO427"/>
      <c r="AP427"/>
      <c r="AQ427"/>
      <c r="AR427">
        <f>Tabla_query__2[[#This Row],[Número
Semanas]]/4</f>
        <v>0</v>
      </c>
      <c r="AS427">
        <f>Tabla_query__2[[#This Row],[FinDes2]]-Tabla_query__2[[#This Row],[InicioDes2]]</f>
        <v>-45436</v>
      </c>
    </row>
    <row r="428" spans="1:49" ht="24" customHeight="1">
      <c r="A428" s="318" t="s">
        <v>251</v>
      </c>
      <c r="B428" s="262" t="s">
        <v>134</v>
      </c>
      <c r="C428" s="262"/>
      <c r="D428" s="262" t="s">
        <v>1084</v>
      </c>
      <c r="E428" s="262"/>
      <c r="F428" s="259"/>
      <c r="G428" s="259"/>
      <c r="H428" s="259"/>
      <c r="I428" s="262"/>
      <c r="J428" s="262" t="s">
        <v>139</v>
      </c>
      <c r="K428" s="262"/>
      <c r="L428" s="262"/>
      <c r="M428" s="262" t="s">
        <v>206</v>
      </c>
      <c r="N428" s="262"/>
      <c r="O428" s="582"/>
      <c r="P428" s="262" t="s">
        <v>139</v>
      </c>
      <c r="Q428" s="262" t="s">
        <v>143</v>
      </c>
      <c r="R428" s="262"/>
      <c r="S428" s="261"/>
      <c r="T428" s="261" t="str">
        <f>IF(MONTH(AH428)&lt;4, "Q1",IF(AND(MONTH(AH428)&gt;3,MONTH(AH428)&lt;=6),"Q2",IF(AND(MONTH(AH428)&gt;6,MONTH(AH428)&lt;=9),"Q3","Q4")))</f>
        <v>Q1</v>
      </c>
      <c r="U428" s="261"/>
      <c r="V428" s="261" t="s">
        <v>210</v>
      </c>
      <c r="W428" s="261"/>
      <c r="X428" s="261"/>
      <c r="Y428" s="261">
        <f>Tabla_query__2[[#This Row],[Número
Semanas]]*5*8</f>
        <v>0</v>
      </c>
      <c r="Z428" s="268" t="e">
        <f>Tabla_query__2[[#This Row],[TOTAL]]/Tabla_query__2[[#This Row],[Número de Horas]]/2</f>
        <v>#DIV/0!</v>
      </c>
      <c r="AA428" s="261"/>
      <c r="AB428" s="261"/>
      <c r="AC428" s="261"/>
      <c r="AD428" s="388">
        <f>Tabla_query__2[[#This Row],[Número
Semanas]]*Tabla_query__2[[#This Row],[Número
Personas]]*Tabla_query__2[[#This Row],[Costo
Mano Obra/semana]]+580</f>
        <v>580</v>
      </c>
      <c r="AE428" s="261"/>
      <c r="AF428" s="261"/>
      <c r="AG428" s="261"/>
      <c r="AH428" s="281"/>
      <c r="AI428" s="281"/>
      <c r="AJ428" s="281" t="e">
        <f>#REF!</f>
        <v>#REF!</v>
      </c>
      <c r="AK428" s="281"/>
      <c r="AL428" s="281"/>
      <c r="AM428" s="281">
        <f t="shared" si="21"/>
        <v>0</v>
      </c>
      <c r="AN428" s="281"/>
      <c r="AO428" s="281"/>
      <c r="AP428" s="281">
        <f>Tabla_query__2[[#This Row],[InicioDes]]</f>
        <v>0</v>
      </c>
      <c r="AQ428" s="281">
        <f>Tabla_query__2[[#This Row],[FinDes2]]</f>
        <v>0</v>
      </c>
      <c r="AR428" s="462">
        <f>Tabla_query__2[[#This Row],[Número
Semanas]]/4</f>
        <v>0</v>
      </c>
      <c r="AS428" s="269">
        <f>Tabla_query__2[[#This Row],[FinDes2]]-Tabla_query__2[[#This Row],[InicioDes2]]</f>
        <v>0</v>
      </c>
      <c r="AT428" s="261"/>
      <c r="AW428" s="329" t="s">
        <v>1085</v>
      </c>
    </row>
    <row r="429" spans="1:49" ht="22.5" customHeight="1">
      <c r="A429" s="318" t="s">
        <v>251</v>
      </c>
      <c r="B429" s="262" t="s">
        <v>134</v>
      </c>
      <c r="C429" s="262"/>
      <c r="D429" s="262" t="s">
        <v>1086</v>
      </c>
      <c r="E429" s="262"/>
      <c r="F429" s="259"/>
      <c r="G429" s="259"/>
      <c r="H429" s="259"/>
      <c r="I429" s="262"/>
      <c r="J429" s="262" t="s">
        <v>139</v>
      </c>
      <c r="K429" s="262"/>
      <c r="L429" s="262"/>
      <c r="M429" s="262" t="s">
        <v>206</v>
      </c>
      <c r="N429" s="262"/>
      <c r="O429" s="582"/>
      <c r="P429" s="262" t="s">
        <v>139</v>
      </c>
      <c r="Q429" s="262" t="s">
        <v>143</v>
      </c>
      <c r="R429" s="262"/>
      <c r="S429" s="261"/>
      <c r="T429" s="261" t="str">
        <f>IF(MONTH(AH429)&lt;4, "Q1",IF(AND(MONTH(AH429)&gt;3,MONTH(AH429)&lt;=6),"Q2",IF(AND(MONTH(AH429)&gt;6,MONTH(AH429)&lt;=9),"Q3","Q4")))</f>
        <v>Q1</v>
      </c>
      <c r="U429" s="261"/>
      <c r="V429" s="261" t="s">
        <v>210</v>
      </c>
      <c r="W429" s="261"/>
      <c r="X429" s="261"/>
      <c r="Y429" s="261">
        <f>Tabla_query__2[[#This Row],[Número
Semanas]]*5*8</f>
        <v>0</v>
      </c>
      <c r="Z429" s="268" t="e">
        <f>Tabla_query__2[[#This Row],[TOTAL]]/Tabla_query__2[[#This Row],[Número de Horas]]/2</f>
        <v>#DIV/0!</v>
      </c>
      <c r="AA429" s="261"/>
      <c r="AB429" s="261"/>
      <c r="AC429" s="261"/>
      <c r="AD429" s="388">
        <f>Tabla_query__2[[#This Row],[Número
Semanas]]*Tabla_query__2[[#This Row],[Número
Personas]]*Tabla_query__2[[#This Row],[Costo
Mano Obra/semana]]+580</f>
        <v>580</v>
      </c>
      <c r="AE429" s="261"/>
      <c r="AF429" s="261"/>
      <c r="AG429" s="261"/>
      <c r="AH429" s="281"/>
      <c r="AI429" s="281"/>
      <c r="AJ429" s="281" t="e">
        <f>#REF!</f>
        <v>#REF!</v>
      </c>
      <c r="AK429" s="281"/>
      <c r="AL429" s="281"/>
      <c r="AM429" s="281">
        <f t="shared" si="21"/>
        <v>0</v>
      </c>
      <c r="AN429" s="281"/>
      <c r="AO429" s="281"/>
      <c r="AP429" s="281">
        <f>Tabla_query__2[[#This Row],[InicioDes]]</f>
        <v>0</v>
      </c>
      <c r="AQ429" s="281">
        <f>Tabla_query__2[[#This Row],[FinDes2]]</f>
        <v>0</v>
      </c>
      <c r="AR429" s="462">
        <f>Tabla_query__2[[#This Row],[Número
Semanas]]/4</f>
        <v>0</v>
      </c>
      <c r="AS429" s="269">
        <f>Tabla_query__2[[#This Row],[FinDes2]]-Tabla_query__2[[#This Row],[InicioDes2]]</f>
        <v>0</v>
      </c>
      <c r="AT429" s="261"/>
      <c r="AW429" s="329" t="s">
        <v>1085</v>
      </c>
    </row>
    <row r="430" spans="1:49" ht="22.5" customHeight="1">
      <c r="A430" s="318">
        <v>2024</v>
      </c>
      <c r="B430" s="262" t="s">
        <v>212</v>
      </c>
      <c r="C430" s="262"/>
      <c r="D430" s="277" t="s">
        <v>502</v>
      </c>
      <c r="E430" s="262"/>
      <c r="F430" s="259" t="s">
        <v>503</v>
      </c>
      <c r="G430" s="262"/>
      <c r="H430" s="262" t="s">
        <v>204</v>
      </c>
      <c r="I430" s="277" t="s">
        <v>233</v>
      </c>
      <c r="J430" s="262" t="s">
        <v>139</v>
      </c>
      <c r="K430" s="262"/>
      <c r="L430" s="262"/>
      <c r="M430" s="262" t="s">
        <v>328</v>
      </c>
      <c r="N430" s="262"/>
      <c r="O430" s="582"/>
      <c r="P430" s="262" t="s">
        <v>763</v>
      </c>
      <c r="Q430" s="262" t="s">
        <v>143</v>
      </c>
      <c r="R430" s="261" t="s">
        <v>179</v>
      </c>
      <c r="S430" s="261" t="s">
        <v>145</v>
      </c>
      <c r="T430" s="261" t="s">
        <v>221</v>
      </c>
      <c r="U430" s="261"/>
      <c r="V430" s="259" t="s">
        <v>146</v>
      </c>
      <c r="W430" s="259">
        <v>0.15</v>
      </c>
      <c r="X430" s="261">
        <v>4</v>
      </c>
      <c r="Y430" s="261">
        <f>Tabla_query__2[[#This Row],[Número
Semanas]]*5*8</f>
        <v>160</v>
      </c>
      <c r="Z430" s="268">
        <f>Tabla_query__2[[#This Row],[TOTAL]]/Tabla_query__2[[#This Row],[Número de Horas]]/2</f>
        <v>3</v>
      </c>
      <c r="AA430" s="261">
        <v>1</v>
      </c>
      <c r="AB430" s="261">
        <f>40*40</f>
        <v>1600</v>
      </c>
      <c r="AC430" s="268"/>
      <c r="AD430" s="387">
        <f>((X430*AA430*AB430)+AC430)*W430</f>
        <v>960</v>
      </c>
      <c r="AE430" s="267"/>
      <c r="AF430" s="267"/>
      <c r="AG430" s="267"/>
      <c r="AH430" s="281"/>
      <c r="AI430" s="281"/>
      <c r="AJ430" s="281"/>
      <c r="AK430" s="281"/>
      <c r="AL430" s="281"/>
      <c r="AM430" s="281"/>
      <c r="AN430" s="281"/>
      <c r="AO430" s="281"/>
      <c r="AP430" s="281">
        <f>Tabla_query__2[[#This Row],[InicioDes]]</f>
        <v>0</v>
      </c>
      <c r="AQ430" s="281">
        <f>Tabla_query__2[[#This Row],[FinDes2]]</f>
        <v>0</v>
      </c>
      <c r="AR430" s="269">
        <f>Tabla_query__2[[#This Row],[Número
Semanas]]/4</f>
        <v>1</v>
      </c>
      <c r="AS430" s="261"/>
      <c r="AT430" s="261"/>
      <c r="AW430" s="329" t="s">
        <v>1085</v>
      </c>
    </row>
    <row r="431" spans="1:49" ht="24" customHeight="1">
      <c r="A431" s="318">
        <v>2024</v>
      </c>
      <c r="B431" s="262" t="s">
        <v>212</v>
      </c>
      <c r="C431" s="262"/>
      <c r="D431" s="262" t="s">
        <v>502</v>
      </c>
      <c r="E431" s="262"/>
      <c r="F431" s="259" t="s">
        <v>503</v>
      </c>
      <c r="G431" s="262"/>
      <c r="H431" s="262" t="s">
        <v>204</v>
      </c>
      <c r="I431" s="277" t="s">
        <v>233</v>
      </c>
      <c r="J431" s="262" t="s">
        <v>139</v>
      </c>
      <c r="K431" s="262"/>
      <c r="L431" s="262"/>
      <c r="M431" s="262" t="s">
        <v>329</v>
      </c>
      <c r="N431" s="262"/>
      <c r="O431" s="582"/>
      <c r="P431" s="262" t="s">
        <v>665</v>
      </c>
      <c r="Q431" s="262" t="s">
        <v>143</v>
      </c>
      <c r="R431" s="261" t="s">
        <v>179</v>
      </c>
      <c r="S431" s="261" t="s">
        <v>145</v>
      </c>
      <c r="T431" s="261" t="s">
        <v>221</v>
      </c>
      <c r="U431" s="261"/>
      <c r="V431" s="259" t="s">
        <v>146</v>
      </c>
      <c r="W431" s="261">
        <v>0.05</v>
      </c>
      <c r="X431" s="261">
        <v>4</v>
      </c>
      <c r="Y431" s="261">
        <f>Tabla_query__2[[#This Row],[Número
Semanas]]*5*8</f>
        <v>160</v>
      </c>
      <c r="Z431" s="268">
        <f>Tabla_query__2[[#This Row],[TOTAL]]/Tabla_query__2[[#This Row],[Número de Horas]]/2</f>
        <v>1</v>
      </c>
      <c r="AA431" s="261">
        <v>1</v>
      </c>
      <c r="AB431" s="261">
        <f>40*40</f>
        <v>1600</v>
      </c>
      <c r="AC431" s="268"/>
      <c r="AD431" s="387">
        <f>((X431*AA431*AB431)+AC431)*W431</f>
        <v>320</v>
      </c>
      <c r="AE431" s="267"/>
      <c r="AF431" s="267"/>
      <c r="AG431" s="267"/>
      <c r="AH431" s="281"/>
      <c r="AI431" s="281"/>
      <c r="AJ431" s="281"/>
      <c r="AK431" s="281"/>
      <c r="AL431" s="281"/>
      <c r="AM431" s="281"/>
      <c r="AN431" s="281"/>
      <c r="AO431" s="281"/>
      <c r="AP431" s="281">
        <f>Tabla_query__2[[#This Row],[InicioDes]]</f>
        <v>0</v>
      </c>
      <c r="AQ431" s="281">
        <f>Tabla_query__2[[#This Row],[FinDes2]]</f>
        <v>0</v>
      </c>
      <c r="AR431" s="269">
        <f>Tabla_query__2[[#This Row],[Número
Semanas]]/4</f>
        <v>1</v>
      </c>
      <c r="AS431" s="261"/>
      <c r="AT431" s="261"/>
      <c r="AW431" s="329" t="s">
        <v>1085</v>
      </c>
    </row>
    <row r="432" spans="1:49" ht="24" customHeight="1">
      <c r="A432" s="318" t="s">
        <v>130</v>
      </c>
      <c r="B432" s="262" t="s">
        <v>134</v>
      </c>
      <c r="C432" s="262"/>
      <c r="D432" s="262" t="s">
        <v>1087</v>
      </c>
      <c r="E432" s="262" t="s">
        <v>203</v>
      </c>
      <c r="F432" s="262" t="s">
        <v>1088</v>
      </c>
      <c r="G432" s="262"/>
      <c r="H432" s="259" t="s">
        <v>204</v>
      </c>
      <c r="I432" s="262" t="s">
        <v>534</v>
      </c>
      <c r="J432" s="262" t="s">
        <v>53</v>
      </c>
      <c r="K432" s="262"/>
      <c r="L432" s="262"/>
      <c r="M432" s="262" t="s">
        <v>206</v>
      </c>
      <c r="N432" s="262"/>
      <c r="O432" s="262"/>
      <c r="P432" s="262" t="s">
        <v>61</v>
      </c>
      <c r="Q432" s="262" t="s">
        <v>208</v>
      </c>
      <c r="R432" s="262" t="s">
        <v>144</v>
      </c>
      <c r="S432" s="318"/>
      <c r="T432" s="261" t="str">
        <f>IF(MONTH(AH432)&lt;4, "Q1",IF(AND(MONTH(AH432)&gt;3,MONTH(AH432)&lt;=6),"Q2",IF(AND(MONTH(AH432)&gt;6,MONTH(AH432)&lt;=9),"Q3","Q4")))</f>
        <v>Q3</v>
      </c>
      <c r="U432" s="262" t="s">
        <v>1089</v>
      </c>
      <c r="V432" s="262"/>
      <c r="W432" s="262"/>
      <c r="X432" s="261">
        <v>8</v>
      </c>
      <c r="Y432" s="261">
        <f>Tabla_query__2[[#This Row],[Número
Semanas]]*5*8</f>
        <v>320</v>
      </c>
      <c r="Z432" s="268">
        <f>Tabla_query__2[[#This Row],[TOTAL]]/Tabla_query__2[[#This Row],[Número de Horas]]/2</f>
        <v>7.78125</v>
      </c>
      <c r="AA432" s="261">
        <v>1</v>
      </c>
      <c r="AB432" s="261">
        <v>550</v>
      </c>
      <c r="AC432" s="262"/>
      <c r="AD432" s="388">
        <f>Tabla_query__2[[#This Row],[Número
Semanas]]*Tabla_query__2[[#This Row],[Número
Personas]]*Tabla_query__2[[#This Row],[Costo
Mano Obra/semana]]+580</f>
        <v>4980</v>
      </c>
      <c r="AE432" s="262"/>
      <c r="AF432" s="262"/>
      <c r="AG432" s="318" t="s">
        <v>1090</v>
      </c>
      <c r="AH432" s="384">
        <v>45509</v>
      </c>
      <c r="AI432" s="384">
        <v>45544</v>
      </c>
      <c r="AJ432" s="384">
        <v>45510</v>
      </c>
      <c r="AK432" s="384">
        <v>45545</v>
      </c>
      <c r="AL432" s="384">
        <v>45559</v>
      </c>
      <c r="AM432" s="384">
        <v>45539</v>
      </c>
      <c r="AN432" s="384">
        <v>45560</v>
      </c>
      <c r="AO432" s="384">
        <v>45574</v>
      </c>
      <c r="AP432" s="384">
        <f>Tabla_query__2[[#This Row],[InicioDes]]</f>
        <v>45509</v>
      </c>
      <c r="AQ432" s="384">
        <f>Tabla_query__2[[#This Row],[FinDes2]]</f>
        <v>45574</v>
      </c>
      <c r="AR432" s="462">
        <f>Tabla_query__2[[#This Row],[Número
Semanas]]/4</f>
        <v>2</v>
      </c>
      <c r="AS432" s="269">
        <f>Tabla_query__2[[#This Row],[FinDes2]]-Tabla_query__2[[#This Row],[InicioDes2]]</f>
        <v>14</v>
      </c>
      <c r="AT432" s="262"/>
      <c r="AW432" s="329" t="s">
        <v>1091</v>
      </c>
    </row>
    <row r="433" spans="1:49" ht="25.5" customHeight="1">
      <c r="A433" s="318" t="s">
        <v>130</v>
      </c>
      <c r="B433" s="277" t="s">
        <v>212</v>
      </c>
      <c r="C433" s="277"/>
      <c r="D433" s="408" t="s">
        <v>510</v>
      </c>
      <c r="E433" s="493"/>
      <c r="F433" s="259" t="s">
        <v>511</v>
      </c>
      <c r="G433" s="259"/>
      <c r="H433" s="259" t="s">
        <v>137</v>
      </c>
      <c r="I433" s="262" t="s">
        <v>512</v>
      </c>
      <c r="J433" s="262" t="s">
        <v>137</v>
      </c>
      <c r="K433" s="262"/>
      <c r="L433" s="262"/>
      <c r="M433" s="271" t="s">
        <v>329</v>
      </c>
      <c r="N433" s="432"/>
      <c r="O433" s="432"/>
      <c r="P433" s="262" t="s">
        <v>665</v>
      </c>
      <c r="Q433" s="262" t="s">
        <v>143</v>
      </c>
      <c r="R433" s="277" t="s">
        <v>179</v>
      </c>
      <c r="S433" s="259" t="s">
        <v>152</v>
      </c>
      <c r="T433" s="259" t="s">
        <v>221</v>
      </c>
      <c r="U433" s="259"/>
      <c r="V433" s="261" t="s">
        <v>136</v>
      </c>
      <c r="W433" s="259">
        <v>0.05</v>
      </c>
      <c r="X433" s="259">
        <v>12</v>
      </c>
      <c r="Y433" s="259">
        <f>Tabla_query__2[[#This Row],[Número
Semanas]]*5*8</f>
        <v>480</v>
      </c>
      <c r="Z433" s="387">
        <f>Tabla_query__2[[#This Row],[TOTAL]]/Tabla_query__2[[#This Row],[Número de Horas]]/2</f>
        <v>7.6312499999999996</v>
      </c>
      <c r="AA433" s="259">
        <v>10</v>
      </c>
      <c r="AB433" s="259">
        <v>1221</v>
      </c>
      <c r="AC433" s="259"/>
      <c r="AD433" s="387">
        <f>((X433*AA433*AB433)+AC433)*W433</f>
        <v>7326</v>
      </c>
      <c r="AE433" s="387">
        <f>135388*0.05</f>
        <v>6769.4000000000005</v>
      </c>
      <c r="AF433" s="259"/>
      <c r="AG433" s="259"/>
      <c r="AH433" s="404">
        <v>45343</v>
      </c>
      <c r="AI433" s="404">
        <v>45433</v>
      </c>
      <c r="AJ433" s="451">
        <f>Tabla_query__2[[#This Row],[FinDes]]-Tabla_query__2[[#This Row],[InicioDes]]</f>
        <v>90</v>
      </c>
      <c r="AK433" s="404">
        <v>45372</v>
      </c>
      <c r="AL433" s="404">
        <v>45379</v>
      </c>
      <c r="AM433" s="405">
        <f>Tabla_query__2[[#This Row],[FinPil]]-Tabla_query__2[[#This Row],[InicioPil]]</f>
        <v>7</v>
      </c>
      <c r="AN433" s="404">
        <v>45372</v>
      </c>
      <c r="AO433" s="404">
        <v>45379</v>
      </c>
      <c r="AP433" s="384">
        <f>Tabla_query__2[[#This Row],[InicioDes]]</f>
        <v>45343</v>
      </c>
      <c r="AQ433" s="384">
        <f>Tabla_query__2[[#This Row],[FinDes2]]</f>
        <v>45379</v>
      </c>
      <c r="AR433" s="462">
        <f>Tabla_query__2[[#This Row],[Número
Semanas]]/4</f>
        <v>3</v>
      </c>
      <c r="AS433" s="405">
        <f>Tabla_query__2[[#This Row],[FinDes2]]-Tabla_query__2[[#This Row],[InicioDes2]]</f>
        <v>7</v>
      </c>
      <c r="AT433" s="259" t="s">
        <v>155</v>
      </c>
      <c r="AU433" s="329"/>
      <c r="AV433" s="329"/>
      <c r="AW433" s="329" t="s">
        <v>1092</v>
      </c>
    </row>
    <row r="434" spans="1:49" ht="24.75" customHeight="1">
      <c r="A434" s="318" t="s">
        <v>130</v>
      </c>
      <c r="B434" s="277" t="s">
        <v>212</v>
      </c>
      <c r="C434" s="277"/>
      <c r="D434" s="408" t="s">
        <v>510</v>
      </c>
      <c r="E434" s="493"/>
      <c r="F434" s="259" t="s">
        <v>511</v>
      </c>
      <c r="G434" s="259"/>
      <c r="H434" s="259" t="s">
        <v>137</v>
      </c>
      <c r="I434" s="277" t="s">
        <v>512</v>
      </c>
      <c r="J434" s="262" t="s">
        <v>137</v>
      </c>
      <c r="K434" s="262"/>
      <c r="L434" s="262"/>
      <c r="M434" s="271" t="s">
        <v>328</v>
      </c>
      <c r="N434" s="432"/>
      <c r="O434" s="432"/>
      <c r="P434" s="262" t="s">
        <v>763</v>
      </c>
      <c r="Q434" s="262" t="s">
        <v>143</v>
      </c>
      <c r="R434" s="277" t="s">
        <v>179</v>
      </c>
      <c r="S434" s="259" t="s">
        <v>152</v>
      </c>
      <c r="T434" s="259" t="s">
        <v>221</v>
      </c>
      <c r="U434" s="259"/>
      <c r="V434" s="261" t="s">
        <v>136</v>
      </c>
      <c r="W434" s="259">
        <v>0.15</v>
      </c>
      <c r="X434" s="259">
        <v>12</v>
      </c>
      <c r="Y434" s="259">
        <f>Tabla_query__2[[#This Row],[Número
Semanas]]*5*8</f>
        <v>480</v>
      </c>
      <c r="Z434" s="387">
        <f>Tabla_query__2[[#This Row],[TOTAL]]/Tabla_query__2[[#This Row],[Número de Horas]]/2</f>
        <v>22.893750000000001</v>
      </c>
      <c r="AA434" s="259">
        <v>10</v>
      </c>
      <c r="AB434" s="259">
        <v>1221</v>
      </c>
      <c r="AC434" s="259"/>
      <c r="AD434" s="387">
        <f>((X434*AA434*AB434)+AC434)*W434</f>
        <v>21978</v>
      </c>
      <c r="AE434" s="387">
        <f>135388*0.15</f>
        <v>20308.2</v>
      </c>
      <c r="AF434" s="259"/>
      <c r="AG434" s="259"/>
      <c r="AH434" s="404">
        <v>45343</v>
      </c>
      <c r="AI434" s="404">
        <v>45433</v>
      </c>
      <c r="AJ434" s="451">
        <f>Tabla_query__2[[#This Row],[FinDes]]-Tabla_query__2[[#This Row],[InicioDes]]</f>
        <v>90</v>
      </c>
      <c r="AK434" s="404">
        <v>45372</v>
      </c>
      <c r="AL434" s="404">
        <v>45379</v>
      </c>
      <c r="AM434" s="405">
        <f>Tabla_query__2[[#This Row],[FinPil]]-Tabla_query__2[[#This Row],[InicioPil]]</f>
        <v>7</v>
      </c>
      <c r="AN434" s="404">
        <v>45372</v>
      </c>
      <c r="AO434" s="404">
        <v>45379</v>
      </c>
      <c r="AP434" s="384">
        <f>Tabla_query__2[[#This Row],[InicioDes]]</f>
        <v>45343</v>
      </c>
      <c r="AQ434" s="384">
        <f>Tabla_query__2[[#This Row],[FinDes2]]</f>
        <v>45379</v>
      </c>
      <c r="AR434" s="462">
        <f>Tabla_query__2[[#This Row],[Número
Semanas]]/4</f>
        <v>3</v>
      </c>
      <c r="AS434" s="405">
        <f>Tabla_query__2[[#This Row],[FinDes2]]-Tabla_query__2[[#This Row],[InicioDes2]]</f>
        <v>7</v>
      </c>
      <c r="AT434" s="259" t="s">
        <v>155</v>
      </c>
      <c r="AU434" s="329"/>
      <c r="AV434" s="329"/>
      <c r="AW434" s="329" t="s">
        <v>1093</v>
      </c>
    </row>
    <row r="435" spans="1:49" ht="30.75" customHeight="1">
      <c r="A435" s="318" t="s">
        <v>130</v>
      </c>
      <c r="B435" s="262" t="s">
        <v>218</v>
      </c>
      <c r="C435" s="262"/>
      <c r="D435" s="572" t="s">
        <v>1094</v>
      </c>
      <c r="E435" s="266"/>
      <c r="F435" s="259" t="s">
        <v>1095</v>
      </c>
      <c r="G435" s="259"/>
      <c r="H435" s="259"/>
      <c r="I435" s="262"/>
      <c r="J435" s="262"/>
      <c r="K435" s="262"/>
      <c r="L435" s="262"/>
      <c r="M435" s="262" t="s">
        <v>206</v>
      </c>
      <c r="N435" s="262"/>
      <c r="O435" s="262"/>
      <c r="P435" s="262"/>
      <c r="Q435" s="262" t="s">
        <v>208</v>
      </c>
      <c r="R435" s="262" t="s">
        <v>144</v>
      </c>
      <c r="S435" s="261"/>
      <c r="T435" s="261"/>
      <c r="U435" s="261"/>
      <c r="V435" s="261"/>
      <c r="W435" s="261"/>
      <c r="X435" s="261"/>
      <c r="Y435" s="261">
        <f>Tabla_query__2[[#This Row],[Número
Semanas]]*5*8</f>
        <v>0</v>
      </c>
      <c r="Z435" s="268" t="e">
        <f>Tabla_query__2[[#This Row],[TOTAL]]/Tabla_query__2[[#This Row],[Número de Horas]]/2</f>
        <v>#DIV/0!</v>
      </c>
      <c r="AA435" s="261"/>
      <c r="AB435" s="261"/>
      <c r="AC435" s="261"/>
      <c r="AD435" s="268">
        <f>Tabla_query__2[[#This Row],[Número
Semanas]]*Tabla_query__2[[#This Row],[Número
Personas]]*Tabla_query__2[[#This Row],[Costo
Mano Obra/semana]] + 640</f>
        <v>640</v>
      </c>
      <c r="AE435" s="261"/>
      <c r="AF435" s="267"/>
      <c r="AG435" s="267"/>
      <c r="AH435" s="467"/>
      <c r="AI435" s="468"/>
      <c r="AJ435" s="469" t="e">
        <f>#REF!</f>
        <v>#REF!</v>
      </c>
      <c r="AK435" s="467"/>
      <c r="AL435" s="468"/>
      <c r="AM435" s="469">
        <f t="shared" ref="AM435:AM443" si="22">AL435+ ((AK435*7))</f>
        <v>0</v>
      </c>
      <c r="AN435" s="467"/>
      <c r="AO435" s="468"/>
      <c r="AP435" s="384">
        <f>Tabla_query__2[[#This Row],[InicioDes]]</f>
        <v>0</v>
      </c>
      <c r="AQ435" s="384">
        <f>Tabla_query__2[[#This Row],[FinDes2]]</f>
        <v>0</v>
      </c>
      <c r="AR435" s="511">
        <f>Tabla_query__2[[#This Row],[Número
Semanas]]/4</f>
        <v>0</v>
      </c>
      <c r="AS435" s="269">
        <f>Tabla_query__2[[#This Row],[FinDes2]]-Tabla_query__2[[#This Row],[InicioDes2]]</f>
        <v>0</v>
      </c>
      <c r="AT435" s="261" t="s">
        <v>1096</v>
      </c>
      <c r="AW435" s="329" t="s">
        <v>1097</v>
      </c>
    </row>
    <row r="436" spans="1:49" ht="29.25" customHeight="1">
      <c r="A436" s="318">
        <v>2024</v>
      </c>
      <c r="B436" s="272" t="s">
        <v>218</v>
      </c>
      <c r="C436" s="262"/>
      <c r="D436" s="262" t="s">
        <v>1098</v>
      </c>
      <c r="E436" s="262"/>
      <c r="F436" s="259" t="s">
        <v>1099</v>
      </c>
      <c r="G436" s="259"/>
      <c r="H436" s="259"/>
      <c r="I436" s="262"/>
      <c r="J436" s="262" t="s">
        <v>139</v>
      </c>
      <c r="K436" s="262"/>
      <c r="L436" s="262"/>
      <c r="M436" s="262"/>
      <c r="N436" s="262"/>
      <c r="O436" s="262"/>
      <c r="P436" s="262"/>
      <c r="Q436" s="262"/>
      <c r="R436" s="262"/>
      <c r="S436" s="261"/>
      <c r="T436" s="261"/>
      <c r="U436" s="261"/>
      <c r="V436" s="261"/>
      <c r="W436" s="261"/>
      <c r="X436" s="261"/>
      <c r="Y436" s="261">
        <f>Tabla_query__2[[#This Row],[Número
Semanas]]*5*8</f>
        <v>0</v>
      </c>
      <c r="Z436" s="268" t="e">
        <f>Tabla_query__2[[#This Row],[TOTAL]]/Tabla_query__2[[#This Row],[Número de Horas]]/2</f>
        <v>#DIV/0!</v>
      </c>
      <c r="AA436" s="261"/>
      <c r="AB436" s="261"/>
      <c r="AC436" s="261"/>
      <c r="AD436" s="268">
        <f>Tabla_query__2[[#This Row],[Número
Semanas]]*Tabla_query__2[[#This Row],[Número
Personas]]*Tabla_query__2[[#This Row],[Costo
Mano Obra/semana]] + 640</f>
        <v>640</v>
      </c>
      <c r="AE436" s="261"/>
      <c r="AF436" s="267"/>
      <c r="AG436" s="261">
        <v>0</v>
      </c>
      <c r="AH436" s="467"/>
      <c r="AI436" s="468"/>
      <c r="AJ436" s="469" t="e">
        <f>#REF!</f>
        <v>#REF!</v>
      </c>
      <c r="AK436" s="467"/>
      <c r="AL436" s="468"/>
      <c r="AM436" s="469">
        <f t="shared" si="22"/>
        <v>0</v>
      </c>
      <c r="AN436" s="467"/>
      <c r="AO436" s="267">
        <v>45391</v>
      </c>
      <c r="AP436" s="384"/>
      <c r="AQ436" s="384"/>
      <c r="AR436" s="511">
        <f>Tabla_query__2[[#This Row],[Número
Semanas]]/4</f>
        <v>0</v>
      </c>
      <c r="AS436" s="269">
        <f>Tabla_query__2[[#This Row],[FinDes2]]-Tabla_query__2[[#This Row],[InicioDes2]]</f>
        <v>45391</v>
      </c>
      <c r="AT436" s="261"/>
      <c r="AW436" s="329" t="s">
        <v>1100</v>
      </c>
    </row>
    <row r="437" spans="1:49" ht="24.75" customHeight="1">
      <c r="A437" s="318">
        <v>2024</v>
      </c>
      <c r="B437" s="272" t="s">
        <v>218</v>
      </c>
      <c r="C437" s="262"/>
      <c r="D437" s="262" t="s">
        <v>1101</v>
      </c>
      <c r="E437" s="262"/>
      <c r="F437" s="259"/>
      <c r="G437" s="259"/>
      <c r="H437" s="259"/>
      <c r="I437" s="262"/>
      <c r="J437" s="262" t="s">
        <v>139</v>
      </c>
      <c r="K437" s="262"/>
      <c r="L437" s="262"/>
      <c r="M437" s="262"/>
      <c r="N437" s="262"/>
      <c r="O437" s="262"/>
      <c r="P437" s="262"/>
      <c r="Q437" s="262"/>
      <c r="R437" s="262"/>
      <c r="S437" s="261"/>
      <c r="T437" s="261"/>
      <c r="U437" s="261"/>
      <c r="V437" s="261"/>
      <c r="W437" s="261"/>
      <c r="X437" s="261"/>
      <c r="Y437" s="261">
        <f>Tabla_query__2[[#This Row],[Número
Semanas]]*5*8</f>
        <v>0</v>
      </c>
      <c r="Z437" s="268" t="e">
        <f>Tabla_query__2[[#This Row],[TOTAL]]/Tabla_query__2[[#This Row],[Número de Horas]]/2</f>
        <v>#DIV/0!</v>
      </c>
      <c r="AA437" s="261"/>
      <c r="AB437" s="261"/>
      <c r="AC437" s="261"/>
      <c r="AD437" s="268">
        <f>Tabla_query__2[[#This Row],[Número
Semanas]]*Tabla_query__2[[#This Row],[Número
Personas]]*Tabla_query__2[[#This Row],[Costo
Mano Obra/semana]] + 640</f>
        <v>640</v>
      </c>
      <c r="AE437" s="261"/>
      <c r="AF437" s="267"/>
      <c r="AG437" s="547" t="s">
        <v>211</v>
      </c>
      <c r="AH437" s="467"/>
      <c r="AI437" s="468"/>
      <c r="AJ437" s="469" t="e">
        <f>#REF!</f>
        <v>#REF!</v>
      </c>
      <c r="AK437" s="467"/>
      <c r="AL437" s="468"/>
      <c r="AM437" s="469">
        <f t="shared" si="22"/>
        <v>0</v>
      </c>
      <c r="AN437" s="467"/>
      <c r="AO437" s="267">
        <v>45394</v>
      </c>
      <c r="AP437" s="384"/>
      <c r="AQ437" s="384"/>
      <c r="AR437" s="511">
        <f>Tabla_query__2[[#This Row],[Número
Semanas]]/4</f>
        <v>0</v>
      </c>
      <c r="AS437" s="269">
        <f>Tabla_query__2[[#This Row],[FinDes2]]-Tabla_query__2[[#This Row],[InicioDes2]]</f>
        <v>45394</v>
      </c>
      <c r="AT437" s="261"/>
      <c r="AW437" s="329" t="s">
        <v>1100</v>
      </c>
    </row>
    <row r="438" spans="1:49" ht="31.5" customHeight="1">
      <c r="A438" s="318">
        <v>2024</v>
      </c>
      <c r="B438" s="272" t="s">
        <v>218</v>
      </c>
      <c r="C438" s="262"/>
      <c r="D438" s="262" t="s">
        <v>1102</v>
      </c>
      <c r="E438" s="262"/>
      <c r="F438" s="259"/>
      <c r="G438" s="259"/>
      <c r="H438" s="259"/>
      <c r="I438" s="262"/>
      <c r="J438" s="262" t="s">
        <v>139</v>
      </c>
      <c r="K438" s="262"/>
      <c r="L438" s="262"/>
      <c r="M438" s="262"/>
      <c r="N438" s="262"/>
      <c r="O438" s="262"/>
      <c r="P438" s="262"/>
      <c r="Q438" s="262"/>
      <c r="R438" s="262"/>
      <c r="S438" s="261"/>
      <c r="T438" s="261"/>
      <c r="U438" s="261"/>
      <c r="V438" s="261"/>
      <c r="W438" s="261"/>
      <c r="X438" s="261"/>
      <c r="Y438" s="261">
        <f>Tabla_query__2[[#This Row],[Número
Semanas]]*5*8</f>
        <v>0</v>
      </c>
      <c r="Z438" s="268" t="e">
        <f>Tabla_query__2[[#This Row],[TOTAL]]/Tabla_query__2[[#This Row],[Número de Horas]]/2</f>
        <v>#DIV/0!</v>
      </c>
      <c r="AA438" s="261"/>
      <c r="AB438" s="261"/>
      <c r="AC438" s="261"/>
      <c r="AD438" s="268">
        <f>Tabla_query__2[[#This Row],[Número
Semanas]]*Tabla_query__2[[#This Row],[Número
Personas]]*Tabla_query__2[[#This Row],[Costo
Mano Obra/semana]] + 640</f>
        <v>640</v>
      </c>
      <c r="AE438" s="261"/>
      <c r="AF438" s="267"/>
      <c r="AG438" s="547" t="s">
        <v>211</v>
      </c>
      <c r="AH438" s="467"/>
      <c r="AI438" s="468"/>
      <c r="AJ438" s="469" t="e">
        <f>#REF!</f>
        <v>#REF!</v>
      </c>
      <c r="AK438" s="467"/>
      <c r="AL438" s="468"/>
      <c r="AM438" s="469">
        <f t="shared" si="22"/>
        <v>0</v>
      </c>
      <c r="AN438" s="467"/>
      <c r="AO438" s="267">
        <v>45401</v>
      </c>
      <c r="AP438" s="384"/>
      <c r="AQ438" s="384"/>
      <c r="AR438" s="511">
        <f>Tabla_query__2[[#This Row],[Número
Semanas]]/4</f>
        <v>0</v>
      </c>
      <c r="AS438" s="269">
        <f>Tabla_query__2[[#This Row],[FinDes2]]-Tabla_query__2[[#This Row],[InicioDes2]]</f>
        <v>45401</v>
      </c>
      <c r="AT438" s="261"/>
      <c r="AW438" s="329" t="s">
        <v>1100</v>
      </c>
    </row>
    <row r="439" spans="1:49" ht="32.25" customHeight="1">
      <c r="A439" s="318">
        <v>2024</v>
      </c>
      <c r="B439" s="272" t="s">
        <v>218</v>
      </c>
      <c r="C439" s="262"/>
      <c r="D439" s="262" t="s">
        <v>1103</v>
      </c>
      <c r="E439" s="262"/>
      <c r="F439" s="259"/>
      <c r="G439" s="259"/>
      <c r="H439" s="259"/>
      <c r="I439" s="262"/>
      <c r="J439" s="262" t="s">
        <v>139</v>
      </c>
      <c r="K439" s="262"/>
      <c r="L439" s="262"/>
      <c r="M439" s="262"/>
      <c r="N439" s="262"/>
      <c r="O439" s="262"/>
      <c r="P439" s="262"/>
      <c r="Q439" s="262"/>
      <c r="R439" s="262"/>
      <c r="S439" s="261"/>
      <c r="T439" s="261"/>
      <c r="U439" s="261"/>
      <c r="V439" s="261"/>
      <c r="W439" s="261"/>
      <c r="X439" s="261"/>
      <c r="Y439" s="261">
        <f>Tabla_query__2[[#This Row],[Número
Semanas]]*5*8</f>
        <v>0</v>
      </c>
      <c r="Z439" s="268" t="e">
        <f>Tabla_query__2[[#This Row],[TOTAL]]/Tabla_query__2[[#This Row],[Número de Horas]]/2</f>
        <v>#DIV/0!</v>
      </c>
      <c r="AA439" s="261"/>
      <c r="AB439" s="261"/>
      <c r="AC439" s="261"/>
      <c r="AD439" s="268">
        <f>Tabla_query__2[[#This Row],[Número
Semanas]]*Tabla_query__2[[#This Row],[Número
Personas]]*Tabla_query__2[[#This Row],[Costo
Mano Obra/semana]] + 640</f>
        <v>640</v>
      </c>
      <c r="AE439" s="261"/>
      <c r="AF439" s="267"/>
      <c r="AG439" s="547" t="s">
        <v>211</v>
      </c>
      <c r="AH439" s="467"/>
      <c r="AI439" s="468"/>
      <c r="AJ439" s="469" t="e">
        <f>#REF!</f>
        <v>#REF!</v>
      </c>
      <c r="AK439" s="467"/>
      <c r="AL439" s="468"/>
      <c r="AM439" s="469">
        <f t="shared" si="22"/>
        <v>0</v>
      </c>
      <c r="AN439" s="467"/>
      <c r="AO439" s="267">
        <v>45401</v>
      </c>
      <c r="AP439" s="384"/>
      <c r="AQ439" s="384"/>
      <c r="AR439" s="511">
        <f>Tabla_query__2[[#This Row],[Número
Semanas]]/4</f>
        <v>0</v>
      </c>
      <c r="AS439" s="269">
        <f>Tabla_query__2[[#This Row],[FinDes2]]-Tabla_query__2[[#This Row],[InicioDes2]]</f>
        <v>45401</v>
      </c>
      <c r="AT439" s="261"/>
      <c r="AW439" s="329" t="s">
        <v>1100</v>
      </c>
    </row>
    <row r="440" spans="1:49" ht="24.75" customHeight="1">
      <c r="A440" s="318">
        <v>2024</v>
      </c>
      <c r="B440" s="272" t="s">
        <v>218</v>
      </c>
      <c r="C440" s="262"/>
      <c r="D440" s="262" t="s">
        <v>1104</v>
      </c>
      <c r="E440" s="262"/>
      <c r="F440" s="259"/>
      <c r="G440" s="259"/>
      <c r="H440" s="259"/>
      <c r="I440" s="262"/>
      <c r="J440" s="262" t="s">
        <v>139</v>
      </c>
      <c r="K440" s="262"/>
      <c r="L440" s="262"/>
      <c r="M440" s="262"/>
      <c r="N440" s="262"/>
      <c r="O440" s="262"/>
      <c r="P440" s="262"/>
      <c r="Q440" s="262"/>
      <c r="R440" s="262"/>
      <c r="S440" s="261"/>
      <c r="T440" s="261"/>
      <c r="U440" s="261"/>
      <c r="V440" s="261"/>
      <c r="W440" s="261"/>
      <c r="X440" s="261"/>
      <c r="Y440" s="261">
        <f>Tabla_query__2[[#This Row],[Número
Semanas]]*5*8</f>
        <v>0</v>
      </c>
      <c r="Z440" s="268" t="e">
        <f>Tabla_query__2[[#This Row],[TOTAL]]/Tabla_query__2[[#This Row],[Número de Horas]]/2</f>
        <v>#DIV/0!</v>
      </c>
      <c r="AA440" s="261"/>
      <c r="AB440" s="261"/>
      <c r="AC440" s="261"/>
      <c r="AD440" s="268">
        <f>Tabla_query__2[[#This Row],[Número
Semanas]]*Tabla_query__2[[#This Row],[Número
Personas]]*Tabla_query__2[[#This Row],[Costo
Mano Obra/semana]] + 640</f>
        <v>640</v>
      </c>
      <c r="AE440" s="261"/>
      <c r="AF440" s="267"/>
      <c r="AG440" s="547" t="s">
        <v>211</v>
      </c>
      <c r="AH440" s="467"/>
      <c r="AI440" s="468"/>
      <c r="AJ440" s="469" t="e">
        <f>#REF!</f>
        <v>#REF!</v>
      </c>
      <c r="AK440" s="467"/>
      <c r="AL440" s="468"/>
      <c r="AM440" s="469">
        <f t="shared" si="22"/>
        <v>0</v>
      </c>
      <c r="AN440" s="467"/>
      <c r="AO440" s="267">
        <v>45401</v>
      </c>
      <c r="AP440" s="384"/>
      <c r="AQ440" s="384"/>
      <c r="AR440" s="511">
        <f>Tabla_query__2[[#This Row],[Número
Semanas]]/4</f>
        <v>0</v>
      </c>
      <c r="AS440" s="269">
        <f>Tabla_query__2[[#This Row],[FinDes2]]-Tabla_query__2[[#This Row],[InicioDes2]]</f>
        <v>45401</v>
      </c>
      <c r="AT440" s="261"/>
      <c r="AW440" s="329" t="s">
        <v>1100</v>
      </c>
    </row>
    <row r="441" spans="1:49">
      <c r="A441" s="318">
        <v>2024</v>
      </c>
      <c r="B441" s="272" t="s">
        <v>218</v>
      </c>
      <c r="C441" s="262"/>
      <c r="D441" s="262" t="s">
        <v>1105</v>
      </c>
      <c r="E441" s="262"/>
      <c r="F441" s="259"/>
      <c r="G441" s="259"/>
      <c r="H441" s="259"/>
      <c r="I441" s="262"/>
      <c r="J441" s="262" t="s">
        <v>139</v>
      </c>
      <c r="K441" s="262"/>
      <c r="L441" s="262"/>
      <c r="M441" s="262"/>
      <c r="N441" s="262"/>
      <c r="O441" s="262"/>
      <c r="P441" s="262"/>
      <c r="Q441" s="262"/>
      <c r="R441" s="262"/>
      <c r="S441" s="261"/>
      <c r="T441" s="261"/>
      <c r="U441" s="261"/>
      <c r="V441" s="261"/>
      <c r="W441" s="261"/>
      <c r="X441" s="261"/>
      <c r="Y441" s="261">
        <f>Tabla_query__2[[#This Row],[Número
Semanas]]*5*8</f>
        <v>0</v>
      </c>
      <c r="Z441" s="268" t="e">
        <f>Tabla_query__2[[#This Row],[TOTAL]]/Tabla_query__2[[#This Row],[Número de Horas]]/2</f>
        <v>#DIV/0!</v>
      </c>
      <c r="AA441" s="261"/>
      <c r="AB441" s="261"/>
      <c r="AC441" s="261"/>
      <c r="AD441" s="268">
        <f>Tabla_query__2[[#This Row],[Número
Semanas]]*Tabla_query__2[[#This Row],[Número
Personas]]*Tabla_query__2[[#This Row],[Costo
Mano Obra/semana]] + 640</f>
        <v>640</v>
      </c>
      <c r="AE441" s="261"/>
      <c r="AF441" s="267"/>
      <c r="AG441" s="547" t="s">
        <v>211</v>
      </c>
      <c r="AH441" s="467"/>
      <c r="AI441" s="468"/>
      <c r="AJ441" s="469" t="e">
        <f>#REF!</f>
        <v>#REF!</v>
      </c>
      <c r="AK441" s="467"/>
      <c r="AL441" s="468"/>
      <c r="AM441" s="469">
        <f t="shared" si="22"/>
        <v>0</v>
      </c>
      <c r="AN441" s="467"/>
      <c r="AO441" s="267">
        <v>45401</v>
      </c>
      <c r="AP441" s="384"/>
      <c r="AQ441" s="384"/>
      <c r="AR441" s="511">
        <f>Tabla_query__2[[#This Row],[Número
Semanas]]/4</f>
        <v>0</v>
      </c>
      <c r="AS441" s="269">
        <f>Tabla_query__2[[#This Row],[FinDes2]]-Tabla_query__2[[#This Row],[InicioDes2]]</f>
        <v>45401</v>
      </c>
      <c r="AT441" s="261"/>
    </row>
    <row r="442" spans="1:49" ht="22.5" customHeight="1">
      <c r="A442" s="318" t="s">
        <v>130</v>
      </c>
      <c r="B442" s="262" t="s">
        <v>131</v>
      </c>
      <c r="C442" s="262"/>
      <c r="D442" s="648" t="s">
        <v>1106</v>
      </c>
      <c r="E442" s="602"/>
      <c r="F442" s="259" t="s">
        <v>1107</v>
      </c>
      <c r="G442" s="259"/>
      <c r="H442" s="259"/>
      <c r="I442" s="262"/>
      <c r="J442" s="262"/>
      <c r="K442" s="262"/>
      <c r="L442" s="262"/>
      <c r="M442" s="318" t="s">
        <v>329</v>
      </c>
      <c r="N442" s="262"/>
      <c r="O442" s="262"/>
      <c r="P442" s="262" t="s">
        <v>45</v>
      </c>
      <c r="Q442" s="262" t="s">
        <v>423</v>
      </c>
      <c r="R442" s="262" t="s">
        <v>144</v>
      </c>
      <c r="S442" s="261"/>
      <c r="T442" s="261"/>
      <c r="U442" s="261"/>
      <c r="V442" s="261"/>
      <c r="W442" s="261"/>
      <c r="X442" s="547" t="s">
        <v>1108</v>
      </c>
      <c r="Y442" s="261"/>
      <c r="Z442" s="268"/>
      <c r="AA442" s="261"/>
      <c r="AB442" s="261"/>
      <c r="AC442" s="261"/>
      <c r="AD442" s="598"/>
      <c r="AE442" s="261"/>
      <c r="AF442" s="267"/>
      <c r="AG442" s="267"/>
      <c r="AH442" s="467"/>
      <c r="AI442" s="468"/>
      <c r="AJ442" s="469" t="e">
        <f>#REF!</f>
        <v>#REF!</v>
      </c>
      <c r="AK442" s="467"/>
      <c r="AL442" s="468"/>
      <c r="AM442" s="469">
        <f t="shared" si="22"/>
        <v>0</v>
      </c>
      <c r="AN442" s="467"/>
      <c r="AO442" s="468"/>
      <c r="AP442" s="384"/>
      <c r="AQ442" s="384"/>
      <c r="AR442" s="511" t="e">
        <f>Tabla_query__2[[#This Row],[Número
Semanas]]/4</f>
        <v>#VALUE!</v>
      </c>
      <c r="AS442" s="269">
        <f>Tabla_query__2[[#This Row],[FinDes2]]-Tabla_query__2[[#This Row],[InicioDes2]]</f>
        <v>0</v>
      </c>
      <c r="AT442" s="261"/>
    </row>
    <row r="443" spans="1:49" ht="28.5">
      <c r="A443" s="347">
        <v>2024</v>
      </c>
      <c r="B443" s="347" t="s">
        <v>131</v>
      </c>
      <c r="C443" s="347"/>
      <c r="D443" s="649" t="s">
        <v>1109</v>
      </c>
      <c r="E443" s="347"/>
      <c r="F443" s="347"/>
      <c r="G443" s="347"/>
      <c r="H443" s="347" t="s">
        <v>204</v>
      </c>
      <c r="I443" s="347"/>
      <c r="J443" s="347" t="s">
        <v>78</v>
      </c>
      <c r="K443" s="347"/>
      <c r="L443" s="347"/>
      <c r="M443" s="347" t="s">
        <v>206</v>
      </c>
      <c r="N443" s="347" t="s">
        <v>47</v>
      </c>
      <c r="O443" s="347" t="s">
        <v>305</v>
      </c>
      <c r="P443" s="347" t="s">
        <v>45</v>
      </c>
      <c r="Q443" s="347" t="s">
        <v>423</v>
      </c>
      <c r="R443" s="347" t="s">
        <v>144</v>
      </c>
      <c r="S443" s="347"/>
      <c r="T443" s="347"/>
      <c r="U443" s="347"/>
      <c r="V443" s="347"/>
      <c r="W443" s="347"/>
      <c r="X443" s="347" t="s">
        <v>1108</v>
      </c>
      <c r="Y443" s="347"/>
      <c r="Z443" s="347"/>
      <c r="AA443" s="347"/>
      <c r="AB443" s="347"/>
      <c r="AC443" s="347"/>
      <c r="AD443" s="347"/>
      <c r="AE443" s="347"/>
      <c r="AF443" s="347"/>
      <c r="AG443" s="347"/>
      <c r="AH443" s="347"/>
      <c r="AI443" s="347"/>
      <c r="AJ443" s="469" t="e">
        <f>#REF!</f>
        <v>#REF!</v>
      </c>
      <c r="AK443" s="467"/>
      <c r="AL443" s="468"/>
      <c r="AM443" s="469">
        <f t="shared" si="22"/>
        <v>0</v>
      </c>
      <c r="AN443" s="467"/>
      <c r="AO443" s="468"/>
      <c r="AP443" s="384"/>
      <c r="AQ443" s="384"/>
      <c r="AR443" s="511" t="e">
        <f>Tabla_query__2[[#This Row],[Número
Semanas]]/4</f>
        <v>#REF!</v>
      </c>
      <c r="AS443" s="269" t="e">
        <f>Tabla_query__2[[#This Row],[FinDes2]]-Tabla_query__2[[#This Row],[InicioDes2]]</f>
        <v>#REF!</v>
      </c>
      <c r="AT443" s="261"/>
      <c r="AW443" s="329" t="s">
        <v>1110</v>
      </c>
    </row>
  </sheetData>
  <phoneticPr fontId="43" type="noConversion"/>
  <hyperlinks>
    <hyperlink ref="D160" r:id="rId1" display="https://great-guanaco-257.notion.site/Integraci-n-Maxpoint-con-Agregadores-Yummy-306a3eccb1a44c45aa2fde40e2056f20?pvs=4" xr:uid="{32B3362D-6EBD-41C3-A51F-D2AAEC6B9D93}"/>
    <hyperlink ref="D47" r:id="rId2" display="Funcionalidades APP Venezuela" xr:uid="{B10842A1-09ED-421A-87B7-D42FC6E93E9B}"/>
    <hyperlink ref="D351" r:id="rId3" display="https://grupokfc-my.sharepoint.com/:x:/g/personal/jaime_rodriguez_kfc_com_ec/EWwudmcWrF5Orfn70_epfS0B0n4VkKn1AlsoFOePAXyN0w?e=YQy6fB&amp;nav=MTBfe2RmN2MzODMxLTNmOGMtNGZiOC1iNDM2LWUwNDEwMmM5MzhiNH1fezU3QTRCQkE2LTNDM0MtNEQ5NC1CNzk4LTA0MURCOUFBRkI1Qn0" xr:uid="{E23E4D9F-1402-429D-9A7D-3CB13A63902D}"/>
    <hyperlink ref="D162" r:id="rId4" display="https://grupokfc-my.sharepoint.com/:x:/g/personal/jaime_rodriguez_kfc_com_ec/EWwudmcWrF5Orfn70_epfS0B0n4VkKn1AlsoFOePAXyN0w?rtime=_mBpomnV20g" xr:uid="{817F3DBD-BC49-4161-97BA-DF886F988D8C}"/>
    <hyperlink ref="D6" r:id="rId5" display="https://grupokfc-my.sharepoint.com/:x:/g/personal/jaime_rodriguez_kfc_com_ec/EWwudmcWrF5Orfn70_epfS0B0n4VkKn1AlsoFOePAXyN0w?rtime=_mBpomnV20g" xr:uid="{98A9CE1F-16BD-473C-9B1C-922B48C387FF}"/>
    <hyperlink ref="D282" r:id="rId6" display="https://grupokfc-my.sharepoint.com/:x:/g/personal/jaime_rodriguez_kfc_com_ec/EWwudmcWrF5Orfn70_epfS0B0n4VkKn1AlsoFOePAXyN0w?e=YQy6fB&amp;nav=MTBfe2RmN2MzODMxLTNmOGMtNGZiOC1iNDM2LWUwNDEwMmM5MzhiNH1fezU3QTRCQkE2LTNDM0MtNEQ5NC1CNzk4LTA0MURCOUFBRkI1Qn0" xr:uid="{7FE3611A-36CF-47FE-89B3-5197ADF86ECB}"/>
    <hyperlink ref="O293" r:id="rId7" xr:uid="{E7A25747-5B31-4DB9-A118-9C095D9079CB}"/>
    <hyperlink ref="O294" r:id="rId8" xr:uid="{925817FF-ACA3-4D3C-BE21-10377E433C55}"/>
    <hyperlink ref="O295" r:id="rId9" xr:uid="{2030415E-6E5D-4129-957F-B93FB49A23E1}"/>
    <hyperlink ref="O296" r:id="rId10" xr:uid="{95B9D30A-2320-41D8-9F0B-4630C393223A}"/>
    <hyperlink ref="O297" r:id="rId11" xr:uid="{9BBA559B-2727-46B2-A51C-29824FD8D201}"/>
    <hyperlink ref="O298" r:id="rId12" xr:uid="{E0FBEDC9-A1AC-4C7D-BDEC-15E5B5EAE35A}"/>
    <hyperlink ref="O299" r:id="rId13" xr:uid="{E5E587F2-CFAC-4EB0-B0E3-3708BE69B36C}"/>
    <hyperlink ref="O349" r:id="rId14" xr:uid="{C208821D-E6FF-49B4-A353-6076549A1A66}"/>
    <hyperlink ref="O350" r:id="rId15" xr:uid="{F3DA6946-2A15-41BE-BE64-D225AB28C652}"/>
    <hyperlink ref="O351" r:id="rId16" xr:uid="{BFFD05DE-2D76-4DA7-B78E-1A537608F0B5}"/>
    <hyperlink ref="O391" r:id="rId17" xr:uid="{C2CBD447-6167-44E5-99B0-475D84E40B47}"/>
    <hyperlink ref="O392" r:id="rId18" xr:uid="{FE8A91DF-53FB-4F78-ACC1-628BD935444F}"/>
    <hyperlink ref="O393" r:id="rId19" xr:uid="{271B9B2F-757A-49B7-9F3A-C309673D51B8}"/>
    <hyperlink ref="O394" r:id="rId20" xr:uid="{2904ED03-52AD-4611-BA26-BCE6E567CBC4}"/>
    <hyperlink ref="O395" r:id="rId21" xr:uid="{9F2A44DA-621F-4FD3-B8D2-8CA4EF3D6FF7}"/>
    <hyperlink ref="O396" r:id="rId22" xr:uid="{89E4242F-D2F6-4E4E-897D-81667775BD65}"/>
    <hyperlink ref="O397" r:id="rId23" xr:uid="{5BAE5A2F-B68C-4D9A-8EBB-5385F22FBCCB}"/>
    <hyperlink ref="O398" r:id="rId24" xr:uid="{DE7DBD07-D03B-4180-8C87-EB9C188F12FB}"/>
    <hyperlink ref="O423" r:id="rId25" xr:uid="{00DCAD53-34B3-41F4-8158-D7CDD5B8B98B}"/>
    <hyperlink ref="O424" r:id="rId26" xr:uid="{E1F3AC0C-94F5-461E-A910-A721F0BC2B0E}"/>
    <hyperlink ref="O425" r:id="rId27" xr:uid="{06368AF1-6E61-42FF-9BF4-79B9D5C6EA14}"/>
    <hyperlink ref="O165" r:id="rId28" xr:uid="{EE0F2103-C145-455D-A65F-8B1A1142ACBB}"/>
    <hyperlink ref="O150" r:id="rId29" xr:uid="{6887FC60-DA35-4602-8AEA-C35996ADA471}"/>
    <hyperlink ref="O151" r:id="rId30" xr:uid="{9EE45391-BE4D-4D86-A36A-91401B10A25D}"/>
    <hyperlink ref="O181" r:id="rId31" display="sandra.pailacho@kfc.com" xr:uid="{CE6E06DC-61A7-4B78-8AAC-9C16653A0B0E}"/>
    <hyperlink ref="O230" r:id="rId32" xr:uid="{8226E95F-3863-4CAD-8B18-452D47502CF9}"/>
    <hyperlink ref="O252" r:id="rId33" xr:uid="{F0889FC4-393E-4C7C-9F25-3B8C8FBA1D1C}"/>
  </hyperlinks>
  <pageMargins left="0.7" right="0.7" top="0.75" bottom="0.75" header="0.3" footer="0.3"/>
  <pageSetup paperSize="9" orientation="portrait" r:id="rId34"/>
  <legacyDrawing r:id="rId35"/>
  <tableParts count="1">
    <tablePart r:id="rId3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5F6BF-76E7-449B-BC1D-FFD3896F1075}">
  <dimension ref="A1:Y2"/>
  <sheetViews>
    <sheetView workbookViewId="0"/>
  </sheetViews>
  <sheetFormatPr baseColWidth="10" defaultColWidth="11.3984375" defaultRowHeight="14.25"/>
  <cols>
    <col min="5" max="5" width="14" customWidth="1"/>
    <col min="7" max="7" width="11.86328125" customWidth="1"/>
    <col min="8" max="8" width="19.86328125" customWidth="1"/>
    <col min="14" max="14" width="13.265625" customWidth="1"/>
    <col min="16" max="16" width="18.3984375" customWidth="1"/>
    <col min="18" max="18" width="15.59765625" customWidth="1"/>
    <col min="19" max="19" width="14.73046875" customWidth="1"/>
    <col min="20" max="20" width="12.86328125" customWidth="1"/>
  </cols>
  <sheetData>
    <row r="1" spans="1:25" ht="42.75">
      <c r="A1" t="s">
        <v>83</v>
      </c>
      <c r="B1" t="s">
        <v>84</v>
      </c>
      <c r="C1" t="s">
        <v>85</v>
      </c>
      <c r="D1" t="s">
        <v>1111</v>
      </c>
      <c r="E1" t="s">
        <v>88</v>
      </c>
      <c r="F1" t="s">
        <v>89</v>
      </c>
      <c r="G1" t="s">
        <v>90</v>
      </c>
      <c r="H1" t="s">
        <v>91</v>
      </c>
      <c r="I1" t="s">
        <v>1</v>
      </c>
      <c r="J1" t="s">
        <v>92</v>
      </c>
      <c r="K1" t="s">
        <v>93</v>
      </c>
      <c r="L1" t="s">
        <v>94</v>
      </c>
      <c r="M1" t="s">
        <v>96</v>
      </c>
      <c r="N1" t="s">
        <v>81</v>
      </c>
      <c r="O1" t="s">
        <v>97</v>
      </c>
      <c r="P1" t="s">
        <v>98</v>
      </c>
      <c r="Q1" s="329" t="s">
        <v>99</v>
      </c>
      <c r="R1" t="s">
        <v>100</v>
      </c>
      <c r="S1" t="s">
        <v>101</v>
      </c>
      <c r="T1" t="s">
        <v>102</v>
      </c>
      <c r="U1" s="329" t="s">
        <v>103</v>
      </c>
      <c r="V1" s="329" t="s">
        <v>106</v>
      </c>
      <c r="W1" s="329" t="s">
        <v>107</v>
      </c>
      <c r="X1" s="329" t="s">
        <v>108</v>
      </c>
      <c r="Y1" t="s">
        <v>109</v>
      </c>
    </row>
    <row r="2" spans="1:25">
      <c r="A2" t="s">
        <v>130</v>
      </c>
      <c r="B2" t="s">
        <v>218</v>
      </c>
      <c r="D2" t="s">
        <v>593</v>
      </c>
      <c r="E2" t="s">
        <v>581</v>
      </c>
      <c r="G2" t="s">
        <v>204</v>
      </c>
      <c r="H2" t="s">
        <v>539</v>
      </c>
      <c r="I2" t="s">
        <v>53</v>
      </c>
      <c r="L2" t="s">
        <v>206</v>
      </c>
      <c r="M2" t="s">
        <v>61</v>
      </c>
      <c r="N2" t="s">
        <v>208</v>
      </c>
      <c r="O2" t="s">
        <v>144</v>
      </c>
      <c r="P2">
        <v>23</v>
      </c>
      <c r="Q2" t="s">
        <v>320</v>
      </c>
      <c r="S2" t="s">
        <v>136</v>
      </c>
      <c r="U2">
        <v>8</v>
      </c>
      <c r="V2">
        <v>2</v>
      </c>
      <c r="W2">
        <v>450</v>
      </c>
      <c r="Y2">
        <v>7840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E16A2-C25B-4C69-BEF4-C72EB3B479BC}">
  <dimension ref="A3:B41"/>
  <sheetViews>
    <sheetView workbookViewId="0"/>
  </sheetViews>
  <sheetFormatPr baseColWidth="10" defaultColWidth="11.3984375" defaultRowHeight="14.25"/>
  <cols>
    <col min="1" max="1" width="131" bestFit="1" customWidth="1"/>
    <col min="2" max="2" width="14.73046875" bestFit="1" customWidth="1"/>
  </cols>
  <sheetData>
    <row r="3" spans="1:2">
      <c r="A3" s="2" t="s">
        <v>1112</v>
      </c>
      <c r="B3" t="s">
        <v>1113</v>
      </c>
    </row>
    <row r="4" spans="1:2">
      <c r="A4" s="3" t="s">
        <v>134</v>
      </c>
      <c r="B4" s="518">
        <v>67150</v>
      </c>
    </row>
    <row r="5" spans="1:2">
      <c r="A5" s="6" t="s">
        <v>617</v>
      </c>
      <c r="B5" s="518">
        <v>6080</v>
      </c>
    </row>
    <row r="6" spans="1:2">
      <c r="A6" s="6" t="s">
        <v>639</v>
      </c>
      <c r="B6" s="518">
        <v>4980</v>
      </c>
    </row>
    <row r="7" spans="1:2">
      <c r="A7" s="6" t="s">
        <v>631</v>
      </c>
      <c r="B7" s="518">
        <v>4980</v>
      </c>
    </row>
    <row r="8" spans="1:2">
      <c r="A8" s="6" t="s">
        <v>1087</v>
      </c>
      <c r="B8" s="518">
        <v>4980</v>
      </c>
    </row>
    <row r="9" spans="1:2">
      <c r="A9" s="6" t="s">
        <v>612</v>
      </c>
      <c r="B9" s="518">
        <v>3880</v>
      </c>
    </row>
    <row r="10" spans="1:2">
      <c r="A10" s="6" t="s">
        <v>498</v>
      </c>
      <c r="B10" s="518">
        <v>3880</v>
      </c>
    </row>
    <row r="11" spans="1:2">
      <c r="A11" s="6" t="s">
        <v>605</v>
      </c>
      <c r="B11" s="518">
        <v>3880</v>
      </c>
    </row>
    <row r="12" spans="1:2">
      <c r="A12" s="6" t="s">
        <v>611</v>
      </c>
      <c r="B12" s="518">
        <v>3880</v>
      </c>
    </row>
    <row r="13" spans="1:2">
      <c r="A13" s="6" t="s">
        <v>524</v>
      </c>
      <c r="B13" s="518">
        <v>3330</v>
      </c>
    </row>
    <row r="14" spans="1:2">
      <c r="A14" s="6" t="s">
        <v>637</v>
      </c>
      <c r="B14" s="518">
        <v>3330</v>
      </c>
    </row>
    <row r="15" spans="1:2">
      <c r="A15" s="6" t="s">
        <v>642</v>
      </c>
      <c r="B15" s="518">
        <v>3330</v>
      </c>
    </row>
    <row r="16" spans="1:2">
      <c r="A16" s="6" t="s">
        <v>623</v>
      </c>
      <c r="B16" s="518">
        <v>2780</v>
      </c>
    </row>
    <row r="17" spans="1:2">
      <c r="A17" s="6" t="s">
        <v>567</v>
      </c>
      <c r="B17" s="518">
        <v>2780</v>
      </c>
    </row>
    <row r="18" spans="1:2">
      <c r="A18" s="6" t="s">
        <v>609</v>
      </c>
      <c r="B18" s="518">
        <v>2780</v>
      </c>
    </row>
    <row r="19" spans="1:2">
      <c r="A19" s="6" t="s">
        <v>634</v>
      </c>
      <c r="B19" s="518">
        <v>2230</v>
      </c>
    </row>
    <row r="20" spans="1:2">
      <c r="A20" s="6" t="s">
        <v>606</v>
      </c>
      <c r="B20" s="518">
        <v>2230</v>
      </c>
    </row>
    <row r="21" spans="1:2">
      <c r="A21" s="6" t="s">
        <v>607</v>
      </c>
      <c r="B21" s="518">
        <v>2230</v>
      </c>
    </row>
    <row r="22" spans="1:2">
      <c r="A22" s="6" t="s">
        <v>619</v>
      </c>
      <c r="B22" s="518">
        <v>2230</v>
      </c>
    </row>
    <row r="23" spans="1:2">
      <c r="A23" s="6" t="s">
        <v>604</v>
      </c>
      <c r="B23" s="518">
        <v>1680</v>
      </c>
    </row>
    <row r="24" spans="1:2">
      <c r="A24" s="6" t="s">
        <v>621</v>
      </c>
      <c r="B24" s="518">
        <v>1680</v>
      </c>
    </row>
    <row r="25" spans="1:2">
      <c r="A25" s="3" t="s">
        <v>218</v>
      </c>
      <c r="B25" s="518">
        <v>70960</v>
      </c>
    </row>
    <row r="26" spans="1:2">
      <c r="A26" s="6" t="s">
        <v>593</v>
      </c>
      <c r="B26" s="518">
        <v>7840</v>
      </c>
    </row>
    <row r="27" spans="1:2">
      <c r="A27" s="6" t="s">
        <v>594</v>
      </c>
      <c r="B27" s="518">
        <v>7840</v>
      </c>
    </row>
    <row r="28" spans="1:2">
      <c r="A28" s="6" t="s">
        <v>580</v>
      </c>
      <c r="B28" s="518">
        <v>6040</v>
      </c>
    </row>
    <row r="29" spans="1:2">
      <c r="A29" s="6" t="s">
        <v>1114</v>
      </c>
      <c r="B29" s="518">
        <v>6040</v>
      </c>
    </row>
    <row r="30" spans="1:2">
      <c r="A30" s="6" t="s">
        <v>590</v>
      </c>
      <c r="B30" s="518">
        <v>6040</v>
      </c>
    </row>
    <row r="31" spans="1:2">
      <c r="A31" s="6" t="s">
        <v>589</v>
      </c>
      <c r="B31" s="518">
        <v>5140</v>
      </c>
    </row>
    <row r="32" spans="1:2">
      <c r="A32" s="6" t="s">
        <v>1059</v>
      </c>
      <c r="B32" s="518">
        <v>4500</v>
      </c>
    </row>
    <row r="33" spans="1:2">
      <c r="A33" s="6" t="s">
        <v>584</v>
      </c>
      <c r="B33" s="518">
        <v>3840</v>
      </c>
    </row>
    <row r="34" spans="1:2">
      <c r="A34" s="6" t="s">
        <v>595</v>
      </c>
      <c r="B34" s="518">
        <v>3840</v>
      </c>
    </row>
    <row r="35" spans="1:2">
      <c r="A35" s="6" t="s">
        <v>596</v>
      </c>
      <c r="B35" s="518">
        <v>3840</v>
      </c>
    </row>
    <row r="36" spans="1:2">
      <c r="A36" s="6" t="s">
        <v>591</v>
      </c>
      <c r="B36" s="518">
        <v>3840</v>
      </c>
    </row>
    <row r="37" spans="1:2">
      <c r="A37" s="6" t="s">
        <v>592</v>
      </c>
      <c r="B37" s="518">
        <v>3840</v>
      </c>
    </row>
    <row r="38" spans="1:2">
      <c r="A38" s="6" t="s">
        <v>588</v>
      </c>
      <c r="B38" s="518">
        <v>3040</v>
      </c>
    </row>
    <row r="39" spans="1:2">
      <c r="A39" s="6" t="s">
        <v>585</v>
      </c>
      <c r="B39" s="518">
        <v>3040</v>
      </c>
    </row>
    <row r="40" spans="1:2">
      <c r="A40" s="6" t="s">
        <v>586</v>
      </c>
      <c r="B40" s="518">
        <v>2240</v>
      </c>
    </row>
    <row r="41" spans="1:2">
      <c r="A41" s="3" t="s">
        <v>1115</v>
      </c>
      <c r="B41" s="518">
        <v>138110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91302-2F54-4BFD-A043-635CE99EE86A}">
  <dimension ref="A1:Y37"/>
  <sheetViews>
    <sheetView workbookViewId="0"/>
  </sheetViews>
  <sheetFormatPr baseColWidth="10" defaultColWidth="11.3984375" defaultRowHeight="14.25"/>
  <sheetData>
    <row r="1" spans="1:25" ht="57">
      <c r="A1" s="336" t="s">
        <v>83</v>
      </c>
      <c r="B1" s="147" t="s">
        <v>84</v>
      </c>
      <c r="C1" s="147" t="s">
        <v>85</v>
      </c>
      <c r="D1" s="337" t="s">
        <v>1111</v>
      </c>
      <c r="E1" s="147" t="s">
        <v>88</v>
      </c>
      <c r="F1" s="147" t="s">
        <v>89</v>
      </c>
      <c r="G1" s="147" t="s">
        <v>90</v>
      </c>
      <c r="H1" s="147" t="s">
        <v>91</v>
      </c>
      <c r="I1" s="147" t="s">
        <v>1</v>
      </c>
      <c r="J1" s="147" t="s">
        <v>92</v>
      </c>
      <c r="K1" s="147" t="s">
        <v>93</v>
      </c>
      <c r="L1" s="147" t="s">
        <v>94</v>
      </c>
      <c r="M1" s="147" t="s">
        <v>96</v>
      </c>
      <c r="N1" s="338" t="s">
        <v>81</v>
      </c>
      <c r="O1" s="338" t="s">
        <v>97</v>
      </c>
      <c r="P1" s="339" t="s">
        <v>98</v>
      </c>
      <c r="Q1" s="615" t="s">
        <v>99</v>
      </c>
      <c r="R1" s="340" t="s">
        <v>100</v>
      </c>
      <c r="S1" s="340" t="s">
        <v>101</v>
      </c>
      <c r="T1" s="341" t="s">
        <v>102</v>
      </c>
      <c r="U1" s="616" t="s">
        <v>103</v>
      </c>
      <c r="V1" s="341" t="s">
        <v>106</v>
      </c>
      <c r="W1" s="341" t="s">
        <v>107</v>
      </c>
      <c r="X1" s="341" t="s">
        <v>108</v>
      </c>
      <c r="Y1" s="344" t="s">
        <v>109</v>
      </c>
    </row>
    <row r="2" spans="1:25" ht="81.400000000000006">
      <c r="A2" s="617" t="s">
        <v>130</v>
      </c>
      <c r="B2" s="618" t="s">
        <v>134</v>
      </c>
      <c r="C2" s="618"/>
      <c r="D2" s="619" t="s">
        <v>604</v>
      </c>
      <c r="E2" s="620" t="s">
        <v>601</v>
      </c>
      <c r="F2" s="620"/>
      <c r="G2" s="620" t="s">
        <v>204</v>
      </c>
      <c r="H2" s="618" t="s">
        <v>500</v>
      </c>
      <c r="I2" s="618" t="s">
        <v>53</v>
      </c>
      <c r="J2" s="618"/>
      <c r="K2" s="618"/>
      <c r="L2" s="618" t="s">
        <v>206</v>
      </c>
      <c r="M2" s="618" t="s">
        <v>61</v>
      </c>
      <c r="N2" s="618" t="s">
        <v>208</v>
      </c>
      <c r="O2" s="618" t="s">
        <v>144</v>
      </c>
      <c r="P2" s="621">
        <v>3</v>
      </c>
      <c r="Q2" s="622" t="s">
        <v>145</v>
      </c>
      <c r="R2" s="622"/>
      <c r="S2" s="622" t="s">
        <v>210</v>
      </c>
      <c r="T2" s="622">
        <v>1</v>
      </c>
      <c r="U2" s="622">
        <v>2</v>
      </c>
      <c r="V2" s="622">
        <v>1</v>
      </c>
      <c r="W2" s="622">
        <v>550</v>
      </c>
      <c r="X2" s="622"/>
      <c r="Y2" s="623">
        <v>1680</v>
      </c>
    </row>
    <row r="3" spans="1:25" ht="409.5">
      <c r="A3" s="624" t="s">
        <v>130</v>
      </c>
      <c r="B3" s="625" t="s">
        <v>134</v>
      </c>
      <c r="C3" s="625"/>
      <c r="D3" s="626" t="s">
        <v>524</v>
      </c>
      <c r="E3" s="627" t="s">
        <v>525</v>
      </c>
      <c r="F3" s="627"/>
      <c r="G3" s="627" t="s">
        <v>204</v>
      </c>
      <c r="H3" s="625" t="s">
        <v>526</v>
      </c>
      <c r="I3" s="625" t="s">
        <v>53</v>
      </c>
      <c r="J3" s="625"/>
      <c r="K3" s="625"/>
      <c r="L3" s="625" t="s">
        <v>206</v>
      </c>
      <c r="M3" s="625" t="s">
        <v>56</v>
      </c>
      <c r="N3" s="625" t="s">
        <v>208</v>
      </c>
      <c r="O3" s="625" t="s">
        <v>144</v>
      </c>
      <c r="P3" s="628"/>
      <c r="Q3" s="629" t="s">
        <v>221</v>
      </c>
      <c r="R3" s="629"/>
      <c r="S3" s="629" t="s">
        <v>146</v>
      </c>
      <c r="T3" s="629"/>
      <c r="U3" s="629">
        <v>5</v>
      </c>
      <c r="V3" s="629">
        <v>1</v>
      </c>
      <c r="W3" s="629">
        <v>550</v>
      </c>
      <c r="X3" s="629"/>
      <c r="Y3" s="630">
        <v>3330</v>
      </c>
    </row>
    <row r="4" spans="1:25">
      <c r="A4" s="617">
        <v>2024</v>
      </c>
      <c r="B4" s="618" t="s">
        <v>134</v>
      </c>
      <c r="C4" s="618"/>
      <c r="D4" s="618" t="s">
        <v>567</v>
      </c>
      <c r="E4" s="620"/>
      <c r="F4" s="620"/>
      <c r="G4" s="620" t="s">
        <v>204</v>
      </c>
      <c r="H4" s="618" t="s">
        <v>500</v>
      </c>
      <c r="I4" s="618" t="s">
        <v>53</v>
      </c>
      <c r="J4" s="618"/>
      <c r="K4" s="618"/>
      <c r="L4" s="618" t="s">
        <v>206</v>
      </c>
      <c r="M4" s="618" t="s">
        <v>61</v>
      </c>
      <c r="N4" s="618" t="s">
        <v>208</v>
      </c>
      <c r="O4" s="618" t="s">
        <v>144</v>
      </c>
      <c r="P4" s="621"/>
      <c r="Q4" s="622" t="s">
        <v>221</v>
      </c>
      <c r="R4" s="622"/>
      <c r="S4" s="622" t="s">
        <v>210</v>
      </c>
      <c r="T4" s="622">
        <v>1</v>
      </c>
      <c r="U4" s="622">
        <v>4</v>
      </c>
      <c r="V4" s="622">
        <v>1</v>
      </c>
      <c r="W4" s="622">
        <v>550</v>
      </c>
      <c r="X4" s="622"/>
      <c r="Y4" s="623">
        <v>2780</v>
      </c>
    </row>
    <row r="5" spans="1:25">
      <c r="A5" s="624" t="s">
        <v>130</v>
      </c>
      <c r="B5" s="625" t="s">
        <v>134</v>
      </c>
      <c r="C5" s="625"/>
      <c r="D5" s="625" t="s">
        <v>605</v>
      </c>
      <c r="E5" s="627" t="s">
        <v>601</v>
      </c>
      <c r="F5" s="627"/>
      <c r="G5" s="627" t="s">
        <v>204</v>
      </c>
      <c r="H5" s="625" t="s">
        <v>500</v>
      </c>
      <c r="I5" s="625" t="s">
        <v>53</v>
      </c>
      <c r="J5" s="625"/>
      <c r="K5" s="625"/>
      <c r="L5" s="625" t="s">
        <v>206</v>
      </c>
      <c r="M5" s="625" t="s">
        <v>61</v>
      </c>
      <c r="N5" s="625" t="s">
        <v>208</v>
      </c>
      <c r="O5" s="625" t="s">
        <v>144</v>
      </c>
      <c r="P5" s="628"/>
      <c r="Q5" s="629" t="s">
        <v>145</v>
      </c>
      <c r="R5" s="629"/>
      <c r="S5" s="629" t="s">
        <v>146</v>
      </c>
      <c r="T5" s="629">
        <v>1</v>
      </c>
      <c r="U5" s="629">
        <v>3</v>
      </c>
      <c r="V5" s="629">
        <v>2</v>
      </c>
      <c r="W5" s="629">
        <v>550</v>
      </c>
      <c r="X5" s="629"/>
      <c r="Y5" s="630">
        <v>3880</v>
      </c>
    </row>
    <row r="6" spans="1:25" ht="58.15">
      <c r="A6" s="617" t="s">
        <v>130</v>
      </c>
      <c r="B6" s="618" t="s">
        <v>134</v>
      </c>
      <c r="C6" s="618"/>
      <c r="D6" s="618" t="s">
        <v>631</v>
      </c>
      <c r="E6" s="620" t="s">
        <v>632</v>
      </c>
      <c r="F6" s="620"/>
      <c r="G6" s="620" t="s">
        <v>204</v>
      </c>
      <c r="H6" s="618" t="s">
        <v>500</v>
      </c>
      <c r="I6" s="618" t="s">
        <v>53</v>
      </c>
      <c r="J6" s="618"/>
      <c r="K6" s="618"/>
      <c r="L6" s="618" t="s">
        <v>206</v>
      </c>
      <c r="M6" s="618" t="s">
        <v>61</v>
      </c>
      <c r="N6" s="618" t="s">
        <v>208</v>
      </c>
      <c r="O6" s="618" t="s">
        <v>144</v>
      </c>
      <c r="P6" s="621"/>
      <c r="Q6" s="622" t="s">
        <v>145</v>
      </c>
      <c r="R6" s="622"/>
      <c r="S6" s="622" t="s">
        <v>136</v>
      </c>
      <c r="T6" s="622">
        <v>1</v>
      </c>
      <c r="U6" s="622">
        <v>4</v>
      </c>
      <c r="V6" s="622">
        <v>2</v>
      </c>
      <c r="W6" s="622">
        <v>550</v>
      </c>
      <c r="X6" s="622"/>
      <c r="Y6" s="623">
        <v>4980</v>
      </c>
    </row>
    <row r="7" spans="1:25" ht="290.64999999999998">
      <c r="A7" s="624" t="s">
        <v>130</v>
      </c>
      <c r="B7" s="625" t="s">
        <v>134</v>
      </c>
      <c r="C7" s="625"/>
      <c r="D7" s="625" t="s">
        <v>634</v>
      </c>
      <c r="E7" s="627" t="s">
        <v>636</v>
      </c>
      <c r="F7" s="627"/>
      <c r="G7" s="627" t="s">
        <v>204</v>
      </c>
      <c r="H7" s="625" t="s">
        <v>500</v>
      </c>
      <c r="I7" s="625" t="s">
        <v>53</v>
      </c>
      <c r="J7" s="625"/>
      <c r="K7" s="625"/>
      <c r="L7" s="625" t="s">
        <v>206</v>
      </c>
      <c r="M7" s="625" t="s">
        <v>61</v>
      </c>
      <c r="N7" s="625" t="s">
        <v>208</v>
      </c>
      <c r="O7" s="625" t="s">
        <v>144</v>
      </c>
      <c r="P7" s="628"/>
      <c r="Q7" s="629" t="s">
        <v>145</v>
      </c>
      <c r="R7" s="629" t="s">
        <v>602</v>
      </c>
      <c r="S7" s="629" t="s">
        <v>210</v>
      </c>
      <c r="T7" s="629">
        <v>1</v>
      </c>
      <c r="U7" s="629">
        <v>3</v>
      </c>
      <c r="V7" s="629">
        <v>1</v>
      </c>
      <c r="W7" s="629">
        <v>550</v>
      </c>
      <c r="X7" s="629"/>
      <c r="Y7" s="630">
        <v>2230</v>
      </c>
    </row>
    <row r="8" spans="1:25">
      <c r="A8" s="617" t="s">
        <v>130</v>
      </c>
      <c r="B8" s="618" t="s">
        <v>134</v>
      </c>
      <c r="C8" s="618"/>
      <c r="D8" s="618" t="s">
        <v>606</v>
      </c>
      <c r="E8" s="620" t="s">
        <v>601</v>
      </c>
      <c r="F8" s="620"/>
      <c r="G8" s="620" t="s">
        <v>204</v>
      </c>
      <c r="H8" s="618" t="s">
        <v>500</v>
      </c>
      <c r="I8" s="618" t="s">
        <v>53</v>
      </c>
      <c r="J8" s="618"/>
      <c r="K8" s="618"/>
      <c r="L8" s="618" t="s">
        <v>206</v>
      </c>
      <c r="M8" s="618" t="s">
        <v>61</v>
      </c>
      <c r="N8" s="618" t="s">
        <v>208</v>
      </c>
      <c r="O8" s="618" t="s">
        <v>144</v>
      </c>
      <c r="P8" s="621">
        <v>1</v>
      </c>
      <c r="Q8" s="622" t="s">
        <v>145</v>
      </c>
      <c r="R8" s="622"/>
      <c r="S8" s="622" t="s">
        <v>210</v>
      </c>
      <c r="T8" s="622">
        <v>1</v>
      </c>
      <c r="U8" s="622">
        <v>3</v>
      </c>
      <c r="V8" s="622">
        <v>1</v>
      </c>
      <c r="W8" s="622">
        <v>550</v>
      </c>
      <c r="X8" s="622"/>
      <c r="Y8" s="623">
        <v>2230</v>
      </c>
    </row>
    <row r="9" spans="1:25" ht="186">
      <c r="A9" s="624" t="s">
        <v>130</v>
      </c>
      <c r="B9" s="625" t="s">
        <v>134</v>
      </c>
      <c r="C9" s="625"/>
      <c r="D9" s="626" t="s">
        <v>607</v>
      </c>
      <c r="E9" s="627" t="s">
        <v>608</v>
      </c>
      <c r="F9" s="627"/>
      <c r="G9" s="627" t="s">
        <v>204</v>
      </c>
      <c r="H9" s="625" t="s">
        <v>500</v>
      </c>
      <c r="I9" s="625" t="s">
        <v>53</v>
      </c>
      <c r="J9" s="625"/>
      <c r="K9" s="625"/>
      <c r="L9" s="625" t="s">
        <v>206</v>
      </c>
      <c r="M9" s="625" t="s">
        <v>61</v>
      </c>
      <c r="N9" s="625" t="s">
        <v>208</v>
      </c>
      <c r="O9" s="625" t="s">
        <v>144</v>
      </c>
      <c r="P9" s="628">
        <v>2</v>
      </c>
      <c r="Q9" s="629" t="s">
        <v>145</v>
      </c>
      <c r="R9" s="629"/>
      <c r="S9" s="629" t="s">
        <v>210</v>
      </c>
      <c r="T9" s="629">
        <v>1</v>
      </c>
      <c r="U9" s="629">
        <v>3</v>
      </c>
      <c r="V9" s="629">
        <v>1</v>
      </c>
      <c r="W9" s="629">
        <v>550</v>
      </c>
      <c r="X9" s="629"/>
      <c r="Y9" s="630">
        <v>2230</v>
      </c>
    </row>
    <row r="10" spans="1:25">
      <c r="A10" s="617" t="s">
        <v>130</v>
      </c>
      <c r="B10" s="618" t="s">
        <v>134</v>
      </c>
      <c r="C10" s="618"/>
      <c r="D10" s="618" t="s">
        <v>1087</v>
      </c>
      <c r="E10" s="618" t="s">
        <v>1088</v>
      </c>
      <c r="F10" s="618"/>
      <c r="G10" s="620" t="s">
        <v>204</v>
      </c>
      <c r="H10" s="618" t="s">
        <v>534</v>
      </c>
      <c r="I10" s="618" t="s">
        <v>53</v>
      </c>
      <c r="J10" s="618"/>
      <c r="K10" s="618"/>
      <c r="L10" s="618" t="s">
        <v>206</v>
      </c>
      <c r="M10" s="618" t="s">
        <v>61</v>
      </c>
      <c r="N10" s="618" t="s">
        <v>208</v>
      </c>
      <c r="O10" s="618" t="s">
        <v>144</v>
      </c>
      <c r="P10" s="631"/>
      <c r="Q10" s="622" t="s">
        <v>221</v>
      </c>
      <c r="R10" s="618" t="s">
        <v>1089</v>
      </c>
      <c r="S10" s="618"/>
      <c r="T10" s="618"/>
      <c r="U10" s="622">
        <v>8</v>
      </c>
      <c r="V10" s="622">
        <v>1</v>
      </c>
      <c r="W10" s="622">
        <v>550</v>
      </c>
      <c r="X10" s="618"/>
      <c r="Y10" s="623">
        <v>4980</v>
      </c>
    </row>
    <row r="11" spans="1:25" ht="81.400000000000006">
      <c r="A11" s="624" t="s">
        <v>130</v>
      </c>
      <c r="B11" s="625" t="s">
        <v>134</v>
      </c>
      <c r="C11" s="625"/>
      <c r="D11" s="625" t="s">
        <v>609</v>
      </c>
      <c r="E11" s="627" t="s">
        <v>610</v>
      </c>
      <c r="F11" s="627"/>
      <c r="G11" s="627" t="s">
        <v>204</v>
      </c>
      <c r="H11" s="625" t="s">
        <v>500</v>
      </c>
      <c r="I11" s="625" t="s">
        <v>53</v>
      </c>
      <c r="J11" s="625"/>
      <c r="K11" s="625"/>
      <c r="L11" s="625" t="s">
        <v>206</v>
      </c>
      <c r="M11" s="625" t="s">
        <v>61</v>
      </c>
      <c r="N11" s="625" t="s">
        <v>208</v>
      </c>
      <c r="O11" s="625" t="s">
        <v>144</v>
      </c>
      <c r="P11" s="628">
        <v>3</v>
      </c>
      <c r="Q11" s="629" t="s">
        <v>145</v>
      </c>
      <c r="R11" s="629"/>
      <c r="S11" s="629" t="s">
        <v>210</v>
      </c>
      <c r="T11" s="629">
        <v>1</v>
      </c>
      <c r="U11" s="629">
        <v>4</v>
      </c>
      <c r="V11" s="629">
        <v>1</v>
      </c>
      <c r="W11" s="629">
        <v>550</v>
      </c>
      <c r="X11" s="629"/>
      <c r="Y11" s="630">
        <v>2780</v>
      </c>
    </row>
    <row r="12" spans="1:25" ht="162.4">
      <c r="A12" s="617" t="s">
        <v>130</v>
      </c>
      <c r="B12" s="618" t="s">
        <v>134</v>
      </c>
      <c r="C12" s="618"/>
      <c r="D12" s="618" t="s">
        <v>498</v>
      </c>
      <c r="E12" s="632" t="s">
        <v>499</v>
      </c>
      <c r="F12" s="620"/>
      <c r="G12" s="620" t="s">
        <v>204</v>
      </c>
      <c r="H12" s="618" t="s">
        <v>500</v>
      </c>
      <c r="I12" s="618" t="s">
        <v>53</v>
      </c>
      <c r="J12" s="618"/>
      <c r="K12" s="618"/>
      <c r="L12" s="618" t="s">
        <v>206</v>
      </c>
      <c r="M12" s="618" t="s">
        <v>61</v>
      </c>
      <c r="N12" s="618" t="s">
        <v>208</v>
      </c>
      <c r="O12" s="618" t="s">
        <v>144</v>
      </c>
      <c r="P12" s="621"/>
      <c r="Q12" s="622" t="s">
        <v>145</v>
      </c>
      <c r="R12" s="622"/>
      <c r="S12" s="622" t="s">
        <v>146</v>
      </c>
      <c r="T12" s="622"/>
      <c r="U12" s="622">
        <v>6</v>
      </c>
      <c r="V12" s="622">
        <v>1</v>
      </c>
      <c r="W12" s="622">
        <v>550</v>
      </c>
      <c r="X12" s="622"/>
      <c r="Y12" s="623">
        <v>3880</v>
      </c>
    </row>
    <row r="13" spans="1:25" ht="81.400000000000006">
      <c r="A13" s="624" t="s">
        <v>130</v>
      </c>
      <c r="B13" s="625" t="s">
        <v>134</v>
      </c>
      <c r="C13" s="625"/>
      <c r="D13" s="626" t="s">
        <v>611</v>
      </c>
      <c r="E13" s="627" t="s">
        <v>601</v>
      </c>
      <c r="F13" s="627"/>
      <c r="G13" s="627" t="s">
        <v>204</v>
      </c>
      <c r="H13" s="625" t="s">
        <v>500</v>
      </c>
      <c r="I13" s="625" t="s">
        <v>53</v>
      </c>
      <c r="J13" s="625"/>
      <c r="K13" s="625"/>
      <c r="L13" s="625" t="s">
        <v>206</v>
      </c>
      <c r="M13" s="625" t="s">
        <v>61</v>
      </c>
      <c r="N13" s="625" t="s">
        <v>208</v>
      </c>
      <c r="O13" s="625" t="s">
        <v>144</v>
      </c>
      <c r="P13" s="628">
        <v>4</v>
      </c>
      <c r="Q13" s="629" t="s">
        <v>145</v>
      </c>
      <c r="R13" s="629"/>
      <c r="S13" s="629" t="s">
        <v>210</v>
      </c>
      <c r="T13" s="629">
        <v>1</v>
      </c>
      <c r="U13" s="629">
        <v>3</v>
      </c>
      <c r="V13" s="629">
        <v>2</v>
      </c>
      <c r="W13" s="629">
        <v>550</v>
      </c>
      <c r="X13" s="629"/>
      <c r="Y13" s="630">
        <v>3880</v>
      </c>
    </row>
    <row r="14" spans="1:25" ht="139.5">
      <c r="A14" s="617" t="s">
        <v>130</v>
      </c>
      <c r="B14" s="618" t="s">
        <v>134</v>
      </c>
      <c r="C14" s="618"/>
      <c r="D14" s="618" t="s">
        <v>612</v>
      </c>
      <c r="E14" s="620" t="s">
        <v>613</v>
      </c>
      <c r="F14" s="620"/>
      <c r="G14" s="620" t="s">
        <v>204</v>
      </c>
      <c r="H14" s="618" t="s">
        <v>500</v>
      </c>
      <c r="I14" s="618" t="s">
        <v>53</v>
      </c>
      <c r="J14" s="618"/>
      <c r="K14" s="618"/>
      <c r="L14" s="618" t="s">
        <v>206</v>
      </c>
      <c r="M14" s="618" t="s">
        <v>61</v>
      </c>
      <c r="N14" s="618" t="s">
        <v>208</v>
      </c>
      <c r="O14" s="618" t="s">
        <v>144</v>
      </c>
      <c r="P14" s="621"/>
      <c r="Q14" s="622" t="s">
        <v>145</v>
      </c>
      <c r="R14" s="622"/>
      <c r="S14" s="622" t="s">
        <v>146</v>
      </c>
      <c r="T14" s="622">
        <v>1</v>
      </c>
      <c r="U14" s="622">
        <v>3</v>
      </c>
      <c r="V14" s="622">
        <v>2</v>
      </c>
      <c r="W14" s="622">
        <v>550</v>
      </c>
      <c r="X14" s="622"/>
      <c r="Y14" s="623">
        <v>3880</v>
      </c>
    </row>
    <row r="15" spans="1:25" ht="255.75">
      <c r="A15" s="624" t="s">
        <v>130</v>
      </c>
      <c r="B15" s="625" t="s">
        <v>134</v>
      </c>
      <c r="C15" s="625"/>
      <c r="D15" s="625" t="s">
        <v>637</v>
      </c>
      <c r="E15" s="627" t="s">
        <v>638</v>
      </c>
      <c r="F15" s="627"/>
      <c r="G15" s="627" t="s">
        <v>204</v>
      </c>
      <c r="H15" s="625" t="s">
        <v>500</v>
      </c>
      <c r="I15" s="625" t="s">
        <v>53</v>
      </c>
      <c r="J15" s="625"/>
      <c r="K15" s="625"/>
      <c r="L15" s="625" t="s">
        <v>206</v>
      </c>
      <c r="M15" s="625" t="s">
        <v>61</v>
      </c>
      <c r="N15" s="625" t="s">
        <v>208</v>
      </c>
      <c r="O15" s="625" t="s">
        <v>144</v>
      </c>
      <c r="P15" s="628"/>
      <c r="Q15" s="629" t="s">
        <v>221</v>
      </c>
      <c r="R15" s="629"/>
      <c r="S15" s="629" t="s">
        <v>210</v>
      </c>
      <c r="T15" s="629">
        <v>1</v>
      </c>
      <c r="U15" s="629">
        <v>5</v>
      </c>
      <c r="V15" s="629">
        <v>1</v>
      </c>
      <c r="W15" s="629">
        <v>550</v>
      </c>
      <c r="X15" s="629"/>
      <c r="Y15" s="630">
        <v>3330</v>
      </c>
    </row>
    <row r="16" spans="1:25" ht="255.75">
      <c r="A16" s="617" t="s">
        <v>130</v>
      </c>
      <c r="B16" s="618" t="s">
        <v>134</v>
      </c>
      <c r="C16" s="618"/>
      <c r="D16" s="619" t="s">
        <v>639</v>
      </c>
      <c r="E16" s="620" t="s">
        <v>640</v>
      </c>
      <c r="F16" s="620"/>
      <c r="G16" s="620" t="s">
        <v>204</v>
      </c>
      <c r="H16" s="618" t="s">
        <v>500</v>
      </c>
      <c r="I16" s="618" t="s">
        <v>53</v>
      </c>
      <c r="J16" s="618"/>
      <c r="K16" s="618"/>
      <c r="L16" s="618" t="s">
        <v>206</v>
      </c>
      <c r="M16" s="618" t="s">
        <v>61</v>
      </c>
      <c r="N16" s="618" t="s">
        <v>208</v>
      </c>
      <c r="O16" s="618" t="s">
        <v>144</v>
      </c>
      <c r="P16" s="621"/>
      <c r="Q16" s="622" t="s">
        <v>221</v>
      </c>
      <c r="R16" s="622"/>
      <c r="S16" s="622" t="s">
        <v>210</v>
      </c>
      <c r="T16" s="622">
        <v>1</v>
      </c>
      <c r="U16" s="622">
        <v>4</v>
      </c>
      <c r="V16" s="622">
        <v>2</v>
      </c>
      <c r="W16" s="622">
        <v>550</v>
      </c>
      <c r="X16" s="622"/>
      <c r="Y16" s="623">
        <v>4980</v>
      </c>
    </row>
    <row r="17" spans="1:25" ht="34.9">
      <c r="A17" s="624" t="s">
        <v>130</v>
      </c>
      <c r="B17" s="625" t="s">
        <v>134</v>
      </c>
      <c r="C17" s="625"/>
      <c r="D17" s="625" t="s">
        <v>614</v>
      </c>
      <c r="E17" s="627" t="s">
        <v>615</v>
      </c>
      <c r="F17" s="627"/>
      <c r="G17" s="627" t="s">
        <v>204</v>
      </c>
      <c r="H17" s="627" t="s">
        <v>616</v>
      </c>
      <c r="I17" s="627" t="s">
        <v>53</v>
      </c>
      <c r="J17" s="627"/>
      <c r="K17" s="627"/>
      <c r="L17" s="627" t="s">
        <v>206</v>
      </c>
      <c r="M17" s="627" t="s">
        <v>61</v>
      </c>
      <c r="N17" s="627" t="s">
        <v>208</v>
      </c>
      <c r="O17" s="627" t="s">
        <v>144</v>
      </c>
      <c r="P17" s="636"/>
      <c r="Q17" s="629" t="s">
        <v>145</v>
      </c>
      <c r="R17" s="627"/>
      <c r="S17" s="627" t="s">
        <v>136</v>
      </c>
      <c r="T17" s="627">
        <v>1</v>
      </c>
      <c r="U17" s="627">
        <v>8</v>
      </c>
      <c r="V17" s="627">
        <v>2</v>
      </c>
      <c r="W17" s="627">
        <v>550</v>
      </c>
      <c r="X17" s="627"/>
      <c r="Y17" s="630">
        <v>9380</v>
      </c>
    </row>
    <row r="18" spans="1:25">
      <c r="A18" s="633" t="s">
        <v>130</v>
      </c>
      <c r="B18" s="634" t="s">
        <v>134</v>
      </c>
      <c r="C18" s="634"/>
      <c r="D18" s="634" t="s">
        <v>617</v>
      </c>
      <c r="E18" s="635" t="s">
        <v>601</v>
      </c>
      <c r="F18" s="635"/>
      <c r="G18" s="635" t="s">
        <v>204</v>
      </c>
      <c r="H18" s="634" t="s">
        <v>500</v>
      </c>
      <c r="I18" s="634" t="s">
        <v>53</v>
      </c>
      <c r="J18" s="634"/>
      <c r="K18" s="634"/>
      <c r="L18" s="634" t="s">
        <v>206</v>
      </c>
      <c r="M18" s="634" t="s">
        <v>61</v>
      </c>
      <c r="N18" s="634" t="s">
        <v>208</v>
      </c>
      <c r="O18" s="634" t="s">
        <v>209</v>
      </c>
      <c r="P18" s="637"/>
      <c r="Q18" s="638" t="s">
        <v>145</v>
      </c>
      <c r="R18" s="638"/>
      <c r="S18" s="638" t="s">
        <v>146</v>
      </c>
      <c r="T18" s="638">
        <v>1</v>
      </c>
      <c r="U18" s="638">
        <v>5</v>
      </c>
      <c r="V18" s="638">
        <v>2</v>
      </c>
      <c r="W18" s="638">
        <v>550</v>
      </c>
      <c r="X18" s="638"/>
      <c r="Y18" s="623">
        <v>6080</v>
      </c>
    </row>
    <row r="19" spans="1:25" ht="81.400000000000006">
      <c r="A19" s="624" t="s">
        <v>130</v>
      </c>
      <c r="B19" s="625" t="s">
        <v>134</v>
      </c>
      <c r="C19" s="625"/>
      <c r="D19" s="625" t="s">
        <v>619</v>
      </c>
      <c r="E19" s="627" t="s">
        <v>620</v>
      </c>
      <c r="F19" s="627"/>
      <c r="G19" s="627" t="s">
        <v>204</v>
      </c>
      <c r="H19" s="625" t="s">
        <v>500</v>
      </c>
      <c r="I19" s="625" t="s">
        <v>53</v>
      </c>
      <c r="J19" s="625"/>
      <c r="K19" s="625"/>
      <c r="L19" s="625" t="s">
        <v>206</v>
      </c>
      <c r="M19" s="625" t="s">
        <v>61</v>
      </c>
      <c r="N19" s="625" t="s">
        <v>208</v>
      </c>
      <c r="O19" s="625" t="s">
        <v>144</v>
      </c>
      <c r="P19" s="628">
        <v>1</v>
      </c>
      <c r="Q19" s="629" t="s">
        <v>145</v>
      </c>
      <c r="R19" s="629"/>
      <c r="S19" s="629" t="s">
        <v>210</v>
      </c>
      <c r="T19" s="629">
        <v>1</v>
      </c>
      <c r="U19" s="629">
        <v>3</v>
      </c>
      <c r="V19" s="629">
        <v>1</v>
      </c>
      <c r="W19" s="629">
        <v>550</v>
      </c>
      <c r="X19" s="629"/>
      <c r="Y19" s="630">
        <v>2230</v>
      </c>
    </row>
    <row r="20" spans="1:25" ht="69.75">
      <c r="A20" s="617" t="s">
        <v>130</v>
      </c>
      <c r="B20" s="618" t="s">
        <v>134</v>
      </c>
      <c r="C20" s="618"/>
      <c r="D20" s="619" t="s">
        <v>621</v>
      </c>
      <c r="E20" s="620" t="s">
        <v>622</v>
      </c>
      <c r="F20" s="620"/>
      <c r="G20" s="620" t="s">
        <v>204</v>
      </c>
      <c r="H20" s="618" t="s">
        <v>500</v>
      </c>
      <c r="I20" s="618" t="s">
        <v>53</v>
      </c>
      <c r="J20" s="618"/>
      <c r="K20" s="618"/>
      <c r="L20" s="618" t="s">
        <v>206</v>
      </c>
      <c r="M20" s="618" t="s">
        <v>61</v>
      </c>
      <c r="N20" s="618" t="s">
        <v>208</v>
      </c>
      <c r="O20" s="618" t="s">
        <v>144</v>
      </c>
      <c r="P20" s="621">
        <v>4</v>
      </c>
      <c r="Q20" s="622" t="s">
        <v>145</v>
      </c>
      <c r="R20" s="622"/>
      <c r="S20" s="622" t="s">
        <v>210</v>
      </c>
      <c r="T20" s="622">
        <v>1</v>
      </c>
      <c r="U20" s="622">
        <v>2</v>
      </c>
      <c r="V20" s="622">
        <v>1</v>
      </c>
      <c r="W20" s="622">
        <v>550</v>
      </c>
      <c r="X20" s="622"/>
      <c r="Y20" s="623">
        <v>1680</v>
      </c>
    </row>
    <row r="21" spans="1:25" ht="93">
      <c r="A21" s="624" t="s">
        <v>130</v>
      </c>
      <c r="B21" s="625" t="s">
        <v>134</v>
      </c>
      <c r="C21" s="625"/>
      <c r="D21" s="626" t="s">
        <v>623</v>
      </c>
      <c r="E21" s="627" t="s">
        <v>624</v>
      </c>
      <c r="F21" s="627"/>
      <c r="G21" s="627" t="s">
        <v>204</v>
      </c>
      <c r="H21" s="625" t="s">
        <v>500</v>
      </c>
      <c r="I21" s="625" t="s">
        <v>53</v>
      </c>
      <c r="J21" s="625"/>
      <c r="K21" s="625"/>
      <c r="L21" s="625" t="s">
        <v>206</v>
      </c>
      <c r="M21" s="625" t="s">
        <v>61</v>
      </c>
      <c r="N21" s="625" t="s">
        <v>208</v>
      </c>
      <c r="O21" s="625" t="s">
        <v>144</v>
      </c>
      <c r="P21" s="628">
        <v>3</v>
      </c>
      <c r="Q21" s="629" t="s">
        <v>145</v>
      </c>
      <c r="R21" s="629"/>
      <c r="S21" s="629" t="s">
        <v>210</v>
      </c>
      <c r="T21" s="629">
        <v>1</v>
      </c>
      <c r="U21" s="629">
        <v>4</v>
      </c>
      <c r="V21" s="629">
        <v>1</v>
      </c>
      <c r="W21" s="629">
        <v>550</v>
      </c>
      <c r="X21" s="629"/>
      <c r="Y21" s="630">
        <v>2780</v>
      </c>
    </row>
    <row r="22" spans="1:25" ht="232.5">
      <c r="A22" s="617" t="s">
        <v>130</v>
      </c>
      <c r="B22" s="618" t="s">
        <v>134</v>
      </c>
      <c r="C22" s="618"/>
      <c r="D22" s="618" t="s">
        <v>642</v>
      </c>
      <c r="E22" s="620" t="s">
        <v>643</v>
      </c>
      <c r="F22" s="620"/>
      <c r="G22" s="620" t="s">
        <v>204</v>
      </c>
      <c r="H22" s="618" t="s">
        <v>500</v>
      </c>
      <c r="I22" s="618" t="s">
        <v>53</v>
      </c>
      <c r="J22" s="618"/>
      <c r="K22" s="618"/>
      <c r="L22" s="618" t="s">
        <v>206</v>
      </c>
      <c r="M22" s="618" t="s">
        <v>61</v>
      </c>
      <c r="N22" s="618" t="s">
        <v>208</v>
      </c>
      <c r="O22" s="618" t="s">
        <v>144</v>
      </c>
      <c r="P22" s="621"/>
      <c r="Q22" s="622" t="s">
        <v>221</v>
      </c>
      <c r="R22" s="622" t="s">
        <v>602</v>
      </c>
      <c r="S22" s="622" t="s">
        <v>210</v>
      </c>
      <c r="T22" s="622">
        <v>1</v>
      </c>
      <c r="U22" s="622">
        <v>5</v>
      </c>
      <c r="V22" s="622">
        <v>1</v>
      </c>
      <c r="W22" s="622">
        <v>550</v>
      </c>
      <c r="X22" s="622"/>
      <c r="Y22" s="623">
        <v>3330</v>
      </c>
    </row>
    <row r="23" spans="1:25" ht="69.75">
      <c r="A23" s="624" t="s">
        <v>130</v>
      </c>
      <c r="B23" s="625" t="s">
        <v>218</v>
      </c>
      <c r="C23" s="625"/>
      <c r="D23" s="626" t="s">
        <v>580</v>
      </c>
      <c r="E23" s="627" t="s">
        <v>581</v>
      </c>
      <c r="F23" s="627"/>
      <c r="G23" s="627" t="s">
        <v>204</v>
      </c>
      <c r="H23" s="625" t="s">
        <v>539</v>
      </c>
      <c r="I23" s="625" t="s">
        <v>53</v>
      </c>
      <c r="J23" s="625"/>
      <c r="K23" s="625"/>
      <c r="L23" s="625" t="s">
        <v>206</v>
      </c>
      <c r="M23" s="625" t="s">
        <v>61</v>
      </c>
      <c r="N23" s="625" t="s">
        <v>208</v>
      </c>
      <c r="O23" s="625" t="s">
        <v>144</v>
      </c>
      <c r="P23" s="629">
        <v>20</v>
      </c>
      <c r="Q23" s="629" t="s">
        <v>320</v>
      </c>
      <c r="R23" s="629"/>
      <c r="S23" s="629" t="s">
        <v>210</v>
      </c>
      <c r="T23" s="629"/>
      <c r="U23" s="629">
        <v>6</v>
      </c>
      <c r="V23" s="629">
        <v>2</v>
      </c>
      <c r="W23" s="629">
        <v>450</v>
      </c>
      <c r="X23" s="629"/>
      <c r="Y23" s="639">
        <v>6040</v>
      </c>
    </row>
    <row r="24" spans="1:25">
      <c r="A24" s="617" t="s">
        <v>130</v>
      </c>
      <c r="B24" s="618" t="s">
        <v>218</v>
      </c>
      <c r="C24" s="618"/>
      <c r="D24" s="618" t="s">
        <v>584</v>
      </c>
      <c r="E24" s="620" t="s">
        <v>581</v>
      </c>
      <c r="F24" s="620"/>
      <c r="G24" s="620" t="s">
        <v>204</v>
      </c>
      <c r="H24" s="618" t="s">
        <v>539</v>
      </c>
      <c r="I24" s="618" t="s">
        <v>53</v>
      </c>
      <c r="J24" s="618"/>
      <c r="K24" s="618"/>
      <c r="L24" s="618" t="s">
        <v>206</v>
      </c>
      <c r="M24" s="618" t="s">
        <v>61</v>
      </c>
      <c r="N24" s="618" t="s">
        <v>208</v>
      </c>
      <c r="O24" s="618" t="s">
        <v>144</v>
      </c>
      <c r="P24" s="622">
        <v>26</v>
      </c>
      <c r="Q24" s="622" t="s">
        <v>320</v>
      </c>
      <c r="R24" s="622"/>
      <c r="S24" s="622" t="s">
        <v>146</v>
      </c>
      <c r="T24" s="622"/>
      <c r="U24" s="622">
        <v>4</v>
      </c>
      <c r="V24" s="622">
        <v>2</v>
      </c>
      <c r="W24" s="622">
        <v>400</v>
      </c>
      <c r="X24" s="622"/>
      <c r="Y24" s="640">
        <v>3840</v>
      </c>
    </row>
    <row r="25" spans="1:25">
      <c r="A25" s="624" t="s">
        <v>130</v>
      </c>
      <c r="B25" s="625" t="s">
        <v>218</v>
      </c>
      <c r="C25" s="625"/>
      <c r="D25" s="625" t="s">
        <v>585</v>
      </c>
      <c r="E25" s="627" t="s">
        <v>581</v>
      </c>
      <c r="F25" s="627"/>
      <c r="G25" s="627" t="s">
        <v>204</v>
      </c>
      <c r="H25" s="625" t="s">
        <v>539</v>
      </c>
      <c r="I25" s="625" t="s">
        <v>53</v>
      </c>
      <c r="J25" s="625"/>
      <c r="K25" s="625"/>
      <c r="L25" s="625" t="s">
        <v>206</v>
      </c>
      <c r="M25" s="625" t="s">
        <v>61</v>
      </c>
      <c r="N25" s="625" t="s">
        <v>208</v>
      </c>
      <c r="O25" s="625" t="s">
        <v>144</v>
      </c>
      <c r="P25" s="629">
        <v>17</v>
      </c>
      <c r="Q25" s="629" t="s">
        <v>221</v>
      </c>
      <c r="R25" s="629"/>
      <c r="S25" s="629" t="s">
        <v>210</v>
      </c>
      <c r="T25" s="629"/>
      <c r="U25" s="629">
        <v>3</v>
      </c>
      <c r="V25" s="629">
        <v>2</v>
      </c>
      <c r="W25" s="629">
        <v>400</v>
      </c>
      <c r="X25" s="629"/>
      <c r="Y25" s="639">
        <v>3040</v>
      </c>
    </row>
    <row r="26" spans="1:25" ht="34.9">
      <c r="A26" s="617" t="s">
        <v>130</v>
      </c>
      <c r="B26" s="618" t="s">
        <v>218</v>
      </c>
      <c r="C26" s="618"/>
      <c r="D26" s="619" t="s">
        <v>586</v>
      </c>
      <c r="E26" s="620" t="s">
        <v>581</v>
      </c>
      <c r="F26" s="620"/>
      <c r="G26" s="620" t="s">
        <v>204</v>
      </c>
      <c r="H26" s="618" t="s">
        <v>539</v>
      </c>
      <c r="I26" s="618" t="s">
        <v>53</v>
      </c>
      <c r="J26" s="618"/>
      <c r="K26" s="618"/>
      <c r="L26" s="618" t="s">
        <v>206</v>
      </c>
      <c r="M26" s="618" t="s">
        <v>61</v>
      </c>
      <c r="N26" s="618" t="s">
        <v>208</v>
      </c>
      <c r="O26" s="618" t="s">
        <v>209</v>
      </c>
      <c r="P26" s="622">
        <v>15</v>
      </c>
      <c r="Q26" s="622" t="s">
        <v>145</v>
      </c>
      <c r="R26" s="622"/>
      <c r="S26" s="622" t="s">
        <v>146</v>
      </c>
      <c r="T26" s="622"/>
      <c r="U26" s="622">
        <v>2</v>
      </c>
      <c r="V26" s="622">
        <v>2</v>
      </c>
      <c r="W26" s="622">
        <v>400</v>
      </c>
      <c r="X26" s="622"/>
      <c r="Y26" s="640">
        <v>2240</v>
      </c>
    </row>
    <row r="27" spans="1:25" ht="69.75">
      <c r="A27" s="624" t="s">
        <v>130</v>
      </c>
      <c r="B27" s="625" t="s">
        <v>218</v>
      </c>
      <c r="C27" s="625"/>
      <c r="D27" s="626" t="s">
        <v>587</v>
      </c>
      <c r="E27" s="627" t="s">
        <v>581</v>
      </c>
      <c r="F27" s="627"/>
      <c r="G27" s="627" t="s">
        <v>204</v>
      </c>
      <c r="H27" s="625" t="s">
        <v>539</v>
      </c>
      <c r="I27" s="625" t="s">
        <v>53</v>
      </c>
      <c r="J27" s="625"/>
      <c r="K27" s="625"/>
      <c r="L27" s="625" t="s">
        <v>206</v>
      </c>
      <c r="M27" s="625" t="s">
        <v>61</v>
      </c>
      <c r="N27" s="625" t="s">
        <v>208</v>
      </c>
      <c r="O27" s="625" t="s">
        <v>144</v>
      </c>
      <c r="P27" s="629">
        <v>18</v>
      </c>
      <c r="Q27" s="629" t="s">
        <v>320</v>
      </c>
      <c r="R27" s="629"/>
      <c r="S27" s="629" t="s">
        <v>136</v>
      </c>
      <c r="T27" s="629"/>
      <c r="U27" s="629">
        <v>6</v>
      </c>
      <c r="V27" s="629">
        <v>2</v>
      </c>
      <c r="W27" s="629">
        <v>450</v>
      </c>
      <c r="X27" s="629"/>
      <c r="Y27" s="639">
        <v>6040</v>
      </c>
    </row>
    <row r="28" spans="1:25">
      <c r="A28" s="617" t="s">
        <v>130</v>
      </c>
      <c r="B28" s="618" t="s">
        <v>218</v>
      </c>
      <c r="C28" s="618"/>
      <c r="D28" s="618" t="s">
        <v>588</v>
      </c>
      <c r="E28" s="620" t="s">
        <v>581</v>
      </c>
      <c r="F28" s="620"/>
      <c r="G28" s="620" t="s">
        <v>204</v>
      </c>
      <c r="H28" s="618" t="s">
        <v>539</v>
      </c>
      <c r="I28" s="618" t="s">
        <v>53</v>
      </c>
      <c r="J28" s="618"/>
      <c r="K28" s="618"/>
      <c r="L28" s="618" t="s">
        <v>206</v>
      </c>
      <c r="M28" s="618" t="s">
        <v>61</v>
      </c>
      <c r="N28" s="618" t="s">
        <v>208</v>
      </c>
      <c r="O28" s="618" t="s">
        <v>144</v>
      </c>
      <c r="P28" s="622">
        <v>13</v>
      </c>
      <c r="Q28" s="622" t="s">
        <v>221</v>
      </c>
      <c r="R28" s="622"/>
      <c r="S28" s="622" t="s">
        <v>210</v>
      </c>
      <c r="T28" s="622"/>
      <c r="U28" s="622">
        <v>3</v>
      </c>
      <c r="V28" s="622">
        <v>2</v>
      </c>
      <c r="W28" s="622">
        <v>400</v>
      </c>
      <c r="X28" s="622"/>
      <c r="Y28" s="640">
        <v>3040</v>
      </c>
    </row>
    <row r="29" spans="1:25" ht="34.9">
      <c r="A29" s="624" t="s">
        <v>130</v>
      </c>
      <c r="B29" s="625" t="s">
        <v>218</v>
      </c>
      <c r="C29" s="625"/>
      <c r="D29" s="626" t="s">
        <v>589</v>
      </c>
      <c r="E29" s="627" t="s">
        <v>581</v>
      </c>
      <c r="F29" s="627"/>
      <c r="G29" s="627" t="s">
        <v>204</v>
      </c>
      <c r="H29" s="625" t="s">
        <v>539</v>
      </c>
      <c r="I29" s="625" t="s">
        <v>53</v>
      </c>
      <c r="J29" s="625"/>
      <c r="K29" s="625"/>
      <c r="L29" s="625" t="s">
        <v>206</v>
      </c>
      <c r="M29" s="625" t="s">
        <v>61</v>
      </c>
      <c r="N29" s="625" t="s">
        <v>208</v>
      </c>
      <c r="O29" s="625" t="s">
        <v>144</v>
      </c>
      <c r="P29" s="629">
        <v>20</v>
      </c>
      <c r="Q29" s="629" t="s">
        <v>221</v>
      </c>
      <c r="R29" s="629"/>
      <c r="S29" s="629" t="s">
        <v>146</v>
      </c>
      <c r="T29" s="629"/>
      <c r="U29" s="629">
        <v>5</v>
      </c>
      <c r="V29" s="629">
        <v>2</v>
      </c>
      <c r="W29" s="629">
        <v>450</v>
      </c>
      <c r="X29" s="629"/>
      <c r="Y29" s="639">
        <v>5140</v>
      </c>
    </row>
    <row r="30" spans="1:25">
      <c r="A30" s="617" t="s">
        <v>130</v>
      </c>
      <c r="B30" s="618" t="s">
        <v>218</v>
      </c>
      <c r="C30" s="618"/>
      <c r="D30" s="618" t="s">
        <v>590</v>
      </c>
      <c r="E30" s="620" t="s">
        <v>581</v>
      </c>
      <c r="F30" s="620"/>
      <c r="G30" s="620" t="s">
        <v>204</v>
      </c>
      <c r="H30" s="618" t="s">
        <v>539</v>
      </c>
      <c r="I30" s="618" t="s">
        <v>53</v>
      </c>
      <c r="J30" s="618"/>
      <c r="K30" s="618"/>
      <c r="L30" s="618" t="s">
        <v>206</v>
      </c>
      <c r="M30" s="618" t="s">
        <v>61</v>
      </c>
      <c r="N30" s="618" t="s">
        <v>208</v>
      </c>
      <c r="O30" s="618" t="s">
        <v>144</v>
      </c>
      <c r="P30" s="622">
        <v>14</v>
      </c>
      <c r="Q30" s="622" t="s">
        <v>221</v>
      </c>
      <c r="R30" s="622"/>
      <c r="S30" s="622" t="s">
        <v>136</v>
      </c>
      <c r="T30" s="622"/>
      <c r="U30" s="622">
        <v>6</v>
      </c>
      <c r="V30" s="622">
        <v>2</v>
      </c>
      <c r="W30" s="622">
        <v>450</v>
      </c>
      <c r="X30" s="622"/>
      <c r="Y30" s="640">
        <v>6040</v>
      </c>
    </row>
    <row r="31" spans="1:25">
      <c r="A31" s="624" t="s">
        <v>130</v>
      </c>
      <c r="B31" s="625" t="s">
        <v>218</v>
      </c>
      <c r="C31" s="625"/>
      <c r="D31" s="625" t="s">
        <v>591</v>
      </c>
      <c r="E31" s="627" t="s">
        <v>581</v>
      </c>
      <c r="F31" s="627"/>
      <c r="G31" s="627" t="s">
        <v>204</v>
      </c>
      <c r="H31" s="625" t="s">
        <v>539</v>
      </c>
      <c r="I31" s="625" t="s">
        <v>53</v>
      </c>
      <c r="J31" s="625"/>
      <c r="K31" s="625"/>
      <c r="L31" s="625" t="s">
        <v>206</v>
      </c>
      <c r="M31" s="625" t="s">
        <v>61</v>
      </c>
      <c r="N31" s="625" t="s">
        <v>208</v>
      </c>
      <c r="O31" s="625" t="s">
        <v>144</v>
      </c>
      <c r="P31" s="629">
        <v>9</v>
      </c>
      <c r="Q31" s="629" t="s">
        <v>145</v>
      </c>
      <c r="R31" s="629"/>
      <c r="S31" s="629" t="s">
        <v>146</v>
      </c>
      <c r="T31" s="629"/>
      <c r="U31" s="629">
        <v>4</v>
      </c>
      <c r="V31" s="629">
        <v>2</v>
      </c>
      <c r="W31" s="629">
        <v>400</v>
      </c>
      <c r="X31" s="629"/>
      <c r="Y31" s="639">
        <v>3840</v>
      </c>
    </row>
    <row r="32" spans="1:25">
      <c r="A32" s="617" t="s">
        <v>130</v>
      </c>
      <c r="B32" s="618" t="s">
        <v>218</v>
      </c>
      <c r="C32" s="618"/>
      <c r="D32" s="618" t="s">
        <v>592</v>
      </c>
      <c r="E32" s="620" t="s">
        <v>581</v>
      </c>
      <c r="F32" s="620"/>
      <c r="G32" s="620" t="s">
        <v>204</v>
      </c>
      <c r="H32" s="618" t="s">
        <v>539</v>
      </c>
      <c r="I32" s="618" t="s">
        <v>53</v>
      </c>
      <c r="J32" s="618"/>
      <c r="K32" s="618"/>
      <c r="L32" s="618" t="s">
        <v>206</v>
      </c>
      <c r="M32" s="618" t="s">
        <v>61</v>
      </c>
      <c r="N32" s="618" t="s">
        <v>208</v>
      </c>
      <c r="O32" s="618" t="s">
        <v>144</v>
      </c>
      <c r="P32" s="622">
        <v>20</v>
      </c>
      <c r="Q32" s="622" t="s">
        <v>320</v>
      </c>
      <c r="R32" s="622"/>
      <c r="S32" s="622" t="s">
        <v>136</v>
      </c>
      <c r="T32" s="622"/>
      <c r="U32" s="622">
        <v>8</v>
      </c>
      <c r="V32" s="622">
        <v>1</v>
      </c>
      <c r="W32" s="622">
        <v>400</v>
      </c>
      <c r="X32" s="622"/>
      <c r="Y32" s="640">
        <v>3840</v>
      </c>
    </row>
    <row r="33" spans="1:25" ht="151.15">
      <c r="A33" s="624" t="s">
        <v>130</v>
      </c>
      <c r="B33" s="625" t="s">
        <v>218</v>
      </c>
      <c r="C33" s="625"/>
      <c r="D33" s="626" t="s">
        <v>593</v>
      </c>
      <c r="E33" s="627" t="s">
        <v>581</v>
      </c>
      <c r="F33" s="627"/>
      <c r="G33" s="627" t="s">
        <v>204</v>
      </c>
      <c r="H33" s="625" t="s">
        <v>539</v>
      </c>
      <c r="I33" s="625" t="s">
        <v>53</v>
      </c>
      <c r="J33" s="625"/>
      <c r="K33" s="625"/>
      <c r="L33" s="625" t="s">
        <v>206</v>
      </c>
      <c r="M33" s="625" t="s">
        <v>61</v>
      </c>
      <c r="N33" s="625" t="s">
        <v>208</v>
      </c>
      <c r="O33" s="625" t="s">
        <v>144</v>
      </c>
      <c r="P33" s="629">
        <v>23</v>
      </c>
      <c r="Q33" s="629" t="s">
        <v>320</v>
      </c>
      <c r="R33" s="629"/>
      <c r="S33" s="629" t="s">
        <v>136</v>
      </c>
      <c r="T33" s="629"/>
      <c r="U33" s="629">
        <v>8</v>
      </c>
      <c r="V33" s="629">
        <v>2</v>
      </c>
      <c r="W33" s="629">
        <v>450</v>
      </c>
      <c r="X33" s="629"/>
      <c r="Y33" s="639">
        <v>7840</v>
      </c>
    </row>
    <row r="34" spans="1:25">
      <c r="A34" s="617" t="s">
        <v>130</v>
      </c>
      <c r="B34" s="618" t="s">
        <v>218</v>
      </c>
      <c r="C34" s="618"/>
      <c r="D34" s="618" t="s">
        <v>594</v>
      </c>
      <c r="E34" s="620" t="s">
        <v>581</v>
      </c>
      <c r="F34" s="620"/>
      <c r="G34" s="620" t="s">
        <v>204</v>
      </c>
      <c r="H34" s="618" t="s">
        <v>539</v>
      </c>
      <c r="I34" s="618" t="s">
        <v>53</v>
      </c>
      <c r="J34" s="618"/>
      <c r="K34" s="618"/>
      <c r="L34" s="618" t="s">
        <v>206</v>
      </c>
      <c r="M34" s="618" t="s">
        <v>61</v>
      </c>
      <c r="N34" s="618" t="s">
        <v>208</v>
      </c>
      <c r="O34" s="618" t="s">
        <v>144</v>
      </c>
      <c r="P34" s="622">
        <v>11</v>
      </c>
      <c r="Q34" s="622" t="s">
        <v>221</v>
      </c>
      <c r="R34" s="622"/>
      <c r="S34" s="622" t="s">
        <v>136</v>
      </c>
      <c r="T34" s="622"/>
      <c r="U34" s="622">
        <v>8</v>
      </c>
      <c r="V34" s="622">
        <v>2</v>
      </c>
      <c r="W34" s="622">
        <v>450</v>
      </c>
      <c r="X34" s="622"/>
      <c r="Y34" s="640">
        <v>7840</v>
      </c>
    </row>
    <row r="35" spans="1:25">
      <c r="A35" s="624" t="s">
        <v>130</v>
      </c>
      <c r="B35" s="625" t="s">
        <v>218</v>
      </c>
      <c r="C35" s="625"/>
      <c r="D35" s="625" t="s">
        <v>595</v>
      </c>
      <c r="E35" s="627" t="s">
        <v>581</v>
      </c>
      <c r="F35" s="627"/>
      <c r="G35" s="627" t="s">
        <v>204</v>
      </c>
      <c r="H35" s="625" t="s">
        <v>539</v>
      </c>
      <c r="I35" s="625" t="s">
        <v>53</v>
      </c>
      <c r="J35" s="625"/>
      <c r="K35" s="625"/>
      <c r="L35" s="625" t="s">
        <v>206</v>
      </c>
      <c r="M35" s="625" t="s">
        <v>61</v>
      </c>
      <c r="N35" s="625" t="s">
        <v>208</v>
      </c>
      <c r="O35" s="625" t="s">
        <v>144</v>
      </c>
      <c r="P35" s="629">
        <v>24</v>
      </c>
      <c r="Q35" s="629" t="s">
        <v>145</v>
      </c>
      <c r="R35" s="629"/>
      <c r="S35" s="629" t="s">
        <v>146</v>
      </c>
      <c r="T35" s="629"/>
      <c r="U35" s="629">
        <v>4</v>
      </c>
      <c r="V35" s="629">
        <v>2</v>
      </c>
      <c r="W35" s="629">
        <v>400</v>
      </c>
      <c r="X35" s="629"/>
      <c r="Y35" s="639">
        <v>3840</v>
      </c>
    </row>
    <row r="36" spans="1:25">
      <c r="A36" s="617" t="s">
        <v>130</v>
      </c>
      <c r="B36" s="618" t="s">
        <v>218</v>
      </c>
      <c r="C36" s="618"/>
      <c r="D36" s="618" t="s">
        <v>1059</v>
      </c>
      <c r="E36" s="620" t="s">
        <v>581</v>
      </c>
      <c r="F36" s="620"/>
      <c r="G36" s="620" t="s">
        <v>204</v>
      </c>
      <c r="H36" s="618" t="s">
        <v>539</v>
      </c>
      <c r="I36" s="618" t="s">
        <v>53</v>
      </c>
      <c r="J36" s="618"/>
      <c r="K36" s="618"/>
      <c r="L36" s="618" t="s">
        <v>206</v>
      </c>
      <c r="M36" s="618" t="s">
        <v>61</v>
      </c>
      <c r="N36" s="618" t="s">
        <v>208</v>
      </c>
      <c r="O36" s="618" t="s">
        <v>144</v>
      </c>
      <c r="P36" s="622">
        <v>24</v>
      </c>
      <c r="Q36" s="622" t="s">
        <v>320</v>
      </c>
      <c r="R36" s="622"/>
      <c r="S36" s="622" t="s">
        <v>136</v>
      </c>
      <c r="T36" s="622"/>
      <c r="U36" s="622">
        <v>5</v>
      </c>
      <c r="V36" s="622">
        <v>2</v>
      </c>
      <c r="W36" s="622">
        <v>450</v>
      </c>
      <c r="X36" s="622"/>
      <c r="Y36" s="640">
        <v>4500</v>
      </c>
    </row>
    <row r="37" spans="1:25">
      <c r="A37" s="624" t="s">
        <v>130</v>
      </c>
      <c r="B37" s="625" t="s">
        <v>218</v>
      </c>
      <c r="C37" s="625"/>
      <c r="D37" s="625" t="s">
        <v>596</v>
      </c>
      <c r="E37" s="627" t="s">
        <v>581</v>
      </c>
      <c r="F37" s="627"/>
      <c r="G37" s="627" t="s">
        <v>204</v>
      </c>
      <c r="H37" s="625" t="s">
        <v>539</v>
      </c>
      <c r="I37" s="625" t="s">
        <v>53</v>
      </c>
      <c r="J37" s="625"/>
      <c r="K37" s="625"/>
      <c r="L37" s="625" t="s">
        <v>206</v>
      </c>
      <c r="M37" s="625" t="s">
        <v>61</v>
      </c>
      <c r="N37" s="625" t="s">
        <v>208</v>
      </c>
      <c r="O37" s="625" t="s">
        <v>144</v>
      </c>
      <c r="P37" s="629">
        <v>24</v>
      </c>
      <c r="Q37" s="629" t="s">
        <v>221</v>
      </c>
      <c r="R37" s="629"/>
      <c r="S37" s="629" t="s">
        <v>146</v>
      </c>
      <c r="T37" s="629"/>
      <c r="U37" s="629">
        <v>4</v>
      </c>
      <c r="V37" s="629">
        <v>2</v>
      </c>
      <c r="W37" s="629">
        <v>400</v>
      </c>
      <c r="X37" s="629"/>
      <c r="Y37" s="639">
        <v>3840</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447DB-31C5-4EF7-8801-73CA8AE51375}">
  <dimension ref="A1:B15"/>
  <sheetViews>
    <sheetView workbookViewId="0">
      <selection activeCell="A9" sqref="A9:XFD9"/>
    </sheetView>
  </sheetViews>
  <sheetFormatPr baseColWidth="10" defaultColWidth="11.3984375" defaultRowHeight="14.25"/>
  <cols>
    <col min="1" max="1" width="18.73046875" bestFit="1" customWidth="1"/>
    <col min="2" max="2" width="22.1328125" bestFit="1" customWidth="1"/>
  </cols>
  <sheetData>
    <row r="1" spans="1:2">
      <c r="A1" s="2" t="s">
        <v>84</v>
      </c>
      <c r="B1" t="s">
        <v>131</v>
      </c>
    </row>
    <row r="2" spans="1:2">
      <c r="A2" s="2" t="s">
        <v>96</v>
      </c>
      <c r="B2" t="s">
        <v>82</v>
      </c>
    </row>
    <row r="4" spans="1:2">
      <c r="A4" s="2" t="s">
        <v>1112</v>
      </c>
      <c r="B4" t="s">
        <v>1116</v>
      </c>
    </row>
    <row r="5" spans="1:2">
      <c r="A5" s="3" t="s">
        <v>365</v>
      </c>
      <c r="B5">
        <v>3</v>
      </c>
    </row>
    <row r="6" spans="1:2">
      <c r="A6" s="3" t="s">
        <v>211</v>
      </c>
      <c r="B6">
        <v>16</v>
      </c>
    </row>
    <row r="7" spans="1:2">
      <c r="A7" s="3" t="s">
        <v>191</v>
      </c>
      <c r="B7">
        <v>11</v>
      </c>
    </row>
    <row r="8" spans="1:2">
      <c r="A8" s="3" t="s">
        <v>154</v>
      </c>
      <c r="B8">
        <v>34</v>
      </c>
    </row>
    <row r="9" spans="1:2">
      <c r="A9" s="3" t="s">
        <v>159</v>
      </c>
      <c r="B9">
        <v>19</v>
      </c>
    </row>
    <row r="10" spans="1:2">
      <c r="A10" s="3" t="s">
        <v>147</v>
      </c>
      <c r="B10">
        <v>23</v>
      </c>
    </row>
    <row r="11" spans="1:2">
      <c r="A11" s="3" t="s">
        <v>354</v>
      </c>
      <c r="B11">
        <v>19</v>
      </c>
    </row>
    <row r="12" spans="1:2">
      <c r="A12" s="3" t="s">
        <v>322</v>
      </c>
      <c r="B12">
        <v>13</v>
      </c>
    </row>
    <row r="13" spans="1:2">
      <c r="A13" s="3" t="s">
        <v>791</v>
      </c>
      <c r="B13">
        <v>13</v>
      </c>
    </row>
    <row r="14" spans="1:2">
      <c r="A14" s="3" t="s">
        <v>24</v>
      </c>
    </row>
    <row r="15" spans="1:2">
      <c r="A15" s="3" t="s">
        <v>1115</v>
      </c>
      <c r="B15">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EBD4DC-05DC-4AAF-B456-9A4FAB5B261E}">
  <sheetPr>
    <tabColor rgb="FFC00000"/>
  </sheetPr>
  <dimension ref="A1:G39"/>
  <sheetViews>
    <sheetView zoomScale="89" zoomScaleNormal="80" workbookViewId="0">
      <selection activeCell="A34" sqref="A34"/>
    </sheetView>
  </sheetViews>
  <sheetFormatPr baseColWidth="10" defaultColWidth="11.3984375" defaultRowHeight="14.25"/>
  <cols>
    <col min="1" max="1" width="17.86328125" bestFit="1" customWidth="1"/>
    <col min="2" max="2" width="22.86328125" bestFit="1" customWidth="1"/>
    <col min="3" max="3" width="9" bestFit="1" customWidth="1"/>
    <col min="4" max="4" width="10.1328125" bestFit="1" customWidth="1"/>
    <col min="5" max="5" width="9" bestFit="1" customWidth="1"/>
    <col min="6" max="7" width="12.59765625" bestFit="1" customWidth="1"/>
    <col min="8" max="8" width="14.73046875" bestFit="1" customWidth="1"/>
    <col min="9" max="9" width="15.86328125" bestFit="1" customWidth="1"/>
    <col min="10" max="10" width="19.73046875" bestFit="1" customWidth="1"/>
    <col min="11" max="11" width="20.86328125" bestFit="1" customWidth="1"/>
  </cols>
  <sheetData>
    <row r="1" spans="1:6">
      <c r="A1" s="2" t="s">
        <v>1</v>
      </c>
      <c r="B1" t="s">
        <v>53</v>
      </c>
    </row>
    <row r="2" spans="1:6">
      <c r="A2" s="2" t="s">
        <v>94</v>
      </c>
      <c r="B2" t="s">
        <v>206</v>
      </c>
    </row>
    <row r="3" spans="1:6">
      <c r="A3" s="2" t="s">
        <v>84</v>
      </c>
      <c r="B3" t="s">
        <v>1117</v>
      </c>
    </row>
    <row r="5" spans="1:6">
      <c r="B5" s="2" t="s">
        <v>1118</v>
      </c>
    </row>
    <row r="6" spans="1:6">
      <c r="A6" s="2" t="s">
        <v>1112</v>
      </c>
      <c r="B6" s="28" t="s">
        <v>152</v>
      </c>
      <c r="C6" s="28" t="s">
        <v>145</v>
      </c>
      <c r="D6" t="s">
        <v>221</v>
      </c>
      <c r="E6" s="28" t="s">
        <v>320</v>
      </c>
      <c r="F6" s="28" t="s">
        <v>1115</v>
      </c>
    </row>
    <row r="7" spans="1:6">
      <c r="A7" s="452" t="s">
        <v>146</v>
      </c>
      <c r="B7" s="28"/>
      <c r="C7" s="28"/>
      <c r="D7" s="28"/>
      <c r="E7" s="28"/>
      <c r="F7" s="28"/>
    </row>
    <row r="8" spans="1:6">
      <c r="A8" s="3" t="s">
        <v>136</v>
      </c>
      <c r="B8" s="28"/>
      <c r="C8" s="28"/>
      <c r="D8" s="28"/>
      <c r="E8" s="28"/>
      <c r="F8" s="28"/>
    </row>
    <row r="9" spans="1:6">
      <c r="A9" s="3" t="s">
        <v>210</v>
      </c>
      <c r="B9" s="28"/>
      <c r="C9" s="28"/>
      <c r="D9" s="28"/>
      <c r="E9" s="28"/>
      <c r="F9" s="28"/>
    </row>
    <row r="10" spans="1:6">
      <c r="A10" s="3" t="s">
        <v>1115</v>
      </c>
      <c r="B10" s="28"/>
      <c r="C10" s="28"/>
      <c r="D10" s="28"/>
      <c r="E10" s="28"/>
      <c r="F10" s="28"/>
    </row>
    <row r="13" spans="1:6">
      <c r="A13" s="2" t="s">
        <v>1</v>
      </c>
      <c r="B13" t="s">
        <v>53</v>
      </c>
    </row>
    <row r="14" spans="1:6">
      <c r="A14" s="2" t="s">
        <v>94</v>
      </c>
      <c r="B14" t="s">
        <v>206</v>
      </c>
    </row>
    <row r="15" spans="1:6">
      <c r="A15" s="2" t="s">
        <v>84</v>
      </c>
      <c r="B15" t="s">
        <v>1117</v>
      </c>
    </row>
    <row r="16" spans="1:6">
      <c r="A16" s="2" t="s">
        <v>83</v>
      </c>
      <c r="B16" t="s">
        <v>82</v>
      </c>
    </row>
    <row r="18" spans="1:7">
      <c r="A18" s="2" t="s">
        <v>1113</v>
      </c>
      <c r="B18" s="2" t="s">
        <v>1118</v>
      </c>
    </row>
    <row r="19" spans="1:7">
      <c r="A19" s="2" t="s">
        <v>1112</v>
      </c>
      <c r="B19" s="28" t="s">
        <v>152</v>
      </c>
      <c r="C19" s="28" t="s">
        <v>145</v>
      </c>
      <c r="D19" t="s">
        <v>221</v>
      </c>
      <c r="E19" s="28" t="s">
        <v>320</v>
      </c>
      <c r="F19" s="28" t="s">
        <v>1115</v>
      </c>
    </row>
    <row r="20" spans="1:7">
      <c r="A20" s="452" t="s">
        <v>146</v>
      </c>
      <c r="B20" s="127">
        <v>2240</v>
      </c>
      <c r="C20" s="127">
        <v>39160</v>
      </c>
      <c r="D20" s="127">
        <v>8470</v>
      </c>
      <c r="E20" s="127">
        <v>3840</v>
      </c>
      <c r="F20" s="127">
        <v>53710</v>
      </c>
    </row>
    <row r="21" spans="1:7">
      <c r="A21" s="3" t="s">
        <v>136</v>
      </c>
      <c r="B21" s="127">
        <v>5140</v>
      </c>
      <c r="C21" s="127">
        <v>41660</v>
      </c>
      <c r="D21" s="127">
        <v>97900</v>
      </c>
      <c r="E21" s="127">
        <v>22220</v>
      </c>
      <c r="F21" s="127">
        <v>166920</v>
      </c>
    </row>
    <row r="22" spans="1:7">
      <c r="A22" s="3" t="s">
        <v>210</v>
      </c>
      <c r="B22" s="127">
        <v>7300</v>
      </c>
      <c r="C22" s="127">
        <v>16160</v>
      </c>
      <c r="D22" s="127">
        <v>26060</v>
      </c>
      <c r="E22" s="127">
        <v>6040</v>
      </c>
      <c r="F22" s="127">
        <v>55560</v>
      </c>
    </row>
    <row r="23" spans="1:7">
      <c r="A23" s="3" t="s">
        <v>1115</v>
      </c>
      <c r="B23" s="333">
        <v>14680</v>
      </c>
      <c r="C23" s="127">
        <v>96980</v>
      </c>
      <c r="D23" s="127">
        <v>132430</v>
      </c>
      <c r="E23" s="127">
        <v>32100</v>
      </c>
      <c r="F23" s="127">
        <v>276190</v>
      </c>
    </row>
    <row r="25" spans="1:7">
      <c r="A25" s="3"/>
      <c r="B25" s="333"/>
      <c r="C25" s="127"/>
      <c r="D25" s="127"/>
      <c r="E25" s="127"/>
      <c r="F25" s="127"/>
      <c r="G25" s="127"/>
    </row>
    <row r="26" spans="1:7">
      <c r="A26" s="2" t="s">
        <v>83</v>
      </c>
      <c r="B26" t="s">
        <v>1117</v>
      </c>
      <c r="C26" s="28"/>
      <c r="D26" s="28"/>
    </row>
    <row r="27" spans="1:7">
      <c r="A27" s="2" t="s">
        <v>1</v>
      </c>
      <c r="B27" t="s">
        <v>53</v>
      </c>
    </row>
    <row r="28" spans="1:7">
      <c r="A28" s="2" t="s">
        <v>96</v>
      </c>
      <c r="B28" t="s">
        <v>82</v>
      </c>
    </row>
    <row r="30" spans="1:7">
      <c r="A30" s="2" t="s">
        <v>1112</v>
      </c>
      <c r="B30" t="s">
        <v>1113</v>
      </c>
      <c r="C30" t="s">
        <v>1119</v>
      </c>
    </row>
    <row r="31" spans="1:7">
      <c r="A31" s="3" t="s">
        <v>131</v>
      </c>
      <c r="B31" s="127">
        <v>14020</v>
      </c>
      <c r="C31" s="284">
        <v>4.9863072162748517E-2</v>
      </c>
    </row>
    <row r="32" spans="1:7">
      <c r="A32" s="3" t="s">
        <v>218</v>
      </c>
      <c r="B32" s="127">
        <v>102420</v>
      </c>
      <c r="C32" s="284">
        <v>0.36426361276096314</v>
      </c>
    </row>
    <row r="33" spans="1:4">
      <c r="A33" s="3" t="s">
        <v>457</v>
      </c>
      <c r="B33" s="127">
        <v>70000</v>
      </c>
      <c r="C33" s="284">
        <v>0.24895970409360885</v>
      </c>
    </row>
    <row r="34" spans="1:4">
      <c r="A34" s="3" t="s">
        <v>134</v>
      </c>
      <c r="B34" s="127">
        <v>94730</v>
      </c>
      <c r="C34" s="284">
        <v>0.33691361098267952</v>
      </c>
    </row>
    <row r="35" spans="1:4">
      <c r="A35" s="3" t="s">
        <v>1115</v>
      </c>
      <c r="B35" s="127">
        <v>281170</v>
      </c>
      <c r="C35" s="284">
        <v>1</v>
      </c>
    </row>
    <row r="39" spans="1:4"/>
  </sheetData>
  <pageMargins left="0.7" right="0.7" top="0.75" bottom="0.75" header="0.3" footer="0.3"/>
  <pageSetup paperSize="9" orientation="portrait" r:id="rId4"/>
  <legacyDrawing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4F3DA-E669-41D1-93FD-384DC48418D9}">
  <dimension ref="A1:F49"/>
  <sheetViews>
    <sheetView zoomScale="160" zoomScaleNormal="160" workbookViewId="0">
      <selection activeCell="E10" sqref="E10"/>
    </sheetView>
  </sheetViews>
  <sheetFormatPr baseColWidth="10" defaultColWidth="11.3984375" defaultRowHeight="14.25"/>
  <cols>
    <col min="1" max="1" width="23.3984375" bestFit="1" customWidth="1"/>
    <col min="2" max="2" width="20.1328125" bestFit="1" customWidth="1"/>
    <col min="3" max="3" width="8.86328125" customWidth="1"/>
    <col min="4" max="4" width="11.265625" customWidth="1"/>
    <col min="5" max="5" width="12.59765625" bestFit="1" customWidth="1"/>
    <col min="6" max="6" width="12.86328125" bestFit="1" customWidth="1"/>
    <col min="7" max="7" width="13.73046875" bestFit="1" customWidth="1"/>
    <col min="8" max="8" width="14.86328125" bestFit="1" customWidth="1"/>
    <col min="9" max="9" width="16.1328125" bestFit="1" customWidth="1"/>
    <col min="10" max="10" width="19.86328125" bestFit="1" customWidth="1"/>
    <col min="11" max="11" width="16.1328125" bestFit="1" customWidth="1"/>
    <col min="12" max="12" width="19.86328125" bestFit="1" customWidth="1"/>
    <col min="13" max="13" width="21.1328125" bestFit="1" customWidth="1"/>
    <col min="14" max="14" width="26.73046875" bestFit="1" customWidth="1"/>
    <col min="15" max="15" width="27.1328125" bestFit="1" customWidth="1"/>
  </cols>
  <sheetData>
    <row r="1" spans="1:5">
      <c r="A1" s="2" t="s">
        <v>94</v>
      </c>
      <c r="B1" t="s">
        <v>82</v>
      </c>
    </row>
    <row r="2" spans="1:5">
      <c r="A2" s="2" t="s">
        <v>96</v>
      </c>
      <c r="B2" t="s">
        <v>82</v>
      </c>
    </row>
    <row r="3" spans="1:5">
      <c r="A3" s="2" t="s">
        <v>3</v>
      </c>
      <c r="B3" t="s">
        <v>1117</v>
      </c>
    </row>
    <row r="5" spans="1:5">
      <c r="A5" s="2" t="s">
        <v>1112</v>
      </c>
      <c r="B5" t="s">
        <v>1113</v>
      </c>
      <c r="C5" s="30" t="s">
        <v>89</v>
      </c>
      <c r="D5" s="30" t="s">
        <v>1120</v>
      </c>
      <c r="E5" s="30" t="s">
        <v>1121</v>
      </c>
    </row>
    <row r="6" spans="1:5">
      <c r="A6" s="3" t="s">
        <v>4</v>
      </c>
      <c r="B6" s="519">
        <v>25450</v>
      </c>
    </row>
    <row r="7" spans="1:5">
      <c r="A7" s="454" t="s">
        <v>131</v>
      </c>
      <c r="B7" s="520">
        <v>18970</v>
      </c>
    </row>
    <row r="8" spans="1:5">
      <c r="A8" s="6" t="s">
        <v>134</v>
      </c>
      <c r="B8" s="518">
        <v>1680</v>
      </c>
      <c r="C8" s="28">
        <v>3</v>
      </c>
      <c r="D8" s="475">
        <v>45413</v>
      </c>
      <c r="E8" s="475">
        <v>45504</v>
      </c>
    </row>
    <row r="9" spans="1:5">
      <c r="A9" s="6" t="s">
        <v>457</v>
      </c>
      <c r="B9" s="518">
        <v>4800</v>
      </c>
      <c r="C9" s="28">
        <v>4</v>
      </c>
      <c r="D9" s="476">
        <v>45495</v>
      </c>
      <c r="E9" s="476">
        <v>45565</v>
      </c>
    </row>
    <row r="10" spans="1:5">
      <c r="A10" s="3" t="s">
        <v>1115</v>
      </c>
      <c r="B10" s="518">
        <v>25450</v>
      </c>
      <c r="C10" s="28">
        <v>1</v>
      </c>
      <c r="D10" s="476">
        <v>45362</v>
      </c>
      <c r="E10" s="476">
        <v>45376</v>
      </c>
    </row>
    <row r="11" spans="1:5">
      <c r="C11" s="28">
        <v>2</v>
      </c>
      <c r="D11" s="476">
        <v>45376</v>
      </c>
      <c r="E11" s="476">
        <v>45390</v>
      </c>
    </row>
    <row r="13" spans="1:5">
      <c r="D13" s="476">
        <v>45369</v>
      </c>
      <c r="E13" s="476">
        <v>45384</v>
      </c>
    </row>
    <row r="15" spans="1:5">
      <c r="D15" s="476">
        <v>45522</v>
      </c>
      <c r="E15" s="476">
        <v>45550</v>
      </c>
    </row>
    <row r="18" spans="1:5">
      <c r="A18" s="2" t="s">
        <v>94</v>
      </c>
      <c r="B18" t="s">
        <v>82</v>
      </c>
    </row>
    <row r="19" spans="1:5">
      <c r="A19" s="2" t="s">
        <v>96</v>
      </c>
      <c r="B19" t="s">
        <v>82</v>
      </c>
    </row>
    <row r="20" spans="1:5">
      <c r="A20" s="2" t="s">
        <v>3</v>
      </c>
      <c r="B20" t="s">
        <v>30</v>
      </c>
    </row>
    <row r="22" spans="1:5">
      <c r="A22" s="2" t="s">
        <v>1112</v>
      </c>
      <c r="B22" t="s">
        <v>1113</v>
      </c>
    </row>
    <row r="23" spans="1:5">
      <c r="A23" s="3" t="s">
        <v>4</v>
      </c>
      <c r="B23" s="519">
        <v>3950</v>
      </c>
    </row>
    <row r="24" spans="1:5">
      <c r="A24" s="6" t="s">
        <v>457</v>
      </c>
      <c r="B24" s="518">
        <v>3950</v>
      </c>
    </row>
    <row r="25" spans="1:5">
      <c r="A25" s="3" t="s">
        <v>1115</v>
      </c>
      <c r="B25" s="518">
        <v>3950</v>
      </c>
      <c r="D25" s="474">
        <v>45369</v>
      </c>
      <c r="E25" s="474">
        <v>45418</v>
      </c>
    </row>
    <row r="27" spans="1:5">
      <c r="D27" s="474">
        <v>45383</v>
      </c>
      <c r="E27" s="474">
        <v>45403</v>
      </c>
    </row>
    <row r="46" spans="1:6">
      <c r="A46" t="s">
        <v>1122</v>
      </c>
    </row>
    <row r="47" spans="1:6">
      <c r="A47" s="472" t="s">
        <v>917</v>
      </c>
      <c r="B47" s="473">
        <v>6400</v>
      </c>
      <c r="C47" s="473"/>
      <c r="D47" s="473"/>
      <c r="E47" s="473"/>
      <c r="F47" s="473">
        <v>6400</v>
      </c>
    </row>
    <row r="48" spans="1:6">
      <c r="A48" s="472" t="s">
        <v>919</v>
      </c>
      <c r="B48" s="473">
        <v>3300</v>
      </c>
      <c r="C48" s="473"/>
      <c r="D48" s="473"/>
      <c r="E48" s="473"/>
      <c r="F48" s="473">
        <v>3300</v>
      </c>
    </row>
    <row r="49" spans="1:6">
      <c r="A49" s="472" t="s">
        <v>918</v>
      </c>
      <c r="B49" s="473">
        <v>21300</v>
      </c>
      <c r="C49" s="473"/>
      <c r="D49" s="473"/>
      <c r="E49" s="473"/>
      <c r="F49" s="473">
        <v>21300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BFF2FA-4EDD-4FBB-9169-D239355A0A36}">
  <dimension ref="A1:G63"/>
  <sheetViews>
    <sheetView topLeftCell="A18" workbookViewId="0">
      <selection activeCell="I50" sqref="I50"/>
    </sheetView>
  </sheetViews>
  <sheetFormatPr baseColWidth="10" defaultColWidth="11.3984375" defaultRowHeight="14.25"/>
  <cols>
    <col min="1" max="1" width="22.59765625" bestFit="1" customWidth="1"/>
    <col min="2" max="2" width="22.86328125" bestFit="1" customWidth="1"/>
    <col min="3" max="3" width="10.265625" bestFit="1" customWidth="1"/>
    <col min="4" max="4" width="5.86328125" bestFit="1" customWidth="1"/>
    <col min="5" max="5" width="9.59765625" bestFit="1" customWidth="1"/>
    <col min="6" max="6" width="7.3984375" bestFit="1" customWidth="1"/>
    <col min="7" max="7" width="12.59765625" bestFit="1" customWidth="1"/>
    <col min="8" max="8" width="11.59765625" bestFit="1" customWidth="1"/>
    <col min="9" max="9" width="10.265625" bestFit="1" customWidth="1"/>
    <col min="10" max="10" width="11.1328125" bestFit="1" customWidth="1"/>
    <col min="11" max="11" width="14.73046875" bestFit="1" customWidth="1"/>
    <col min="12" max="12" width="12.265625" bestFit="1" customWidth="1"/>
    <col min="13" max="13" width="11.1328125" bestFit="1" customWidth="1"/>
    <col min="14" max="14" width="15.265625" bestFit="1" customWidth="1"/>
    <col min="15" max="16" width="12.59765625" bestFit="1" customWidth="1"/>
  </cols>
  <sheetData>
    <row r="1" spans="1:7">
      <c r="A1" s="2" t="s">
        <v>81</v>
      </c>
      <c r="B1" t="s">
        <v>143</v>
      </c>
    </row>
    <row r="2" spans="1:7">
      <c r="A2" s="2" t="s">
        <v>90</v>
      </c>
      <c r="B2" t="s">
        <v>1117</v>
      </c>
    </row>
    <row r="3" spans="1:7">
      <c r="A3" s="2" t="s">
        <v>121</v>
      </c>
      <c r="B3" t="s">
        <v>82</v>
      </c>
    </row>
    <row r="4" spans="1:7">
      <c r="A4" s="2" t="s">
        <v>122</v>
      </c>
      <c r="B4" t="s">
        <v>82</v>
      </c>
    </row>
    <row r="6" spans="1:7">
      <c r="A6" s="2" t="s">
        <v>1123</v>
      </c>
      <c r="B6" s="2" t="s">
        <v>1118</v>
      </c>
    </row>
    <row r="7" spans="1:7">
      <c r="A7" s="2" t="s">
        <v>1112</v>
      </c>
      <c r="B7" t="s">
        <v>328</v>
      </c>
      <c r="C7" t="s">
        <v>330</v>
      </c>
      <c r="D7" t="s">
        <v>329</v>
      </c>
      <c r="E7" t="s">
        <v>140</v>
      </c>
      <c r="F7" t="s">
        <v>945</v>
      </c>
      <c r="G7" t="s">
        <v>1115</v>
      </c>
    </row>
    <row r="8" spans="1:7">
      <c r="A8" s="3" t="s">
        <v>197</v>
      </c>
      <c r="B8" s="4">
        <v>3</v>
      </c>
      <c r="C8" s="4"/>
      <c r="D8" s="4">
        <v>1</v>
      </c>
      <c r="E8" s="4">
        <v>2</v>
      </c>
      <c r="F8" s="4"/>
      <c r="G8" s="4">
        <v>6</v>
      </c>
    </row>
    <row r="9" spans="1:7">
      <c r="A9" s="6" t="s">
        <v>131</v>
      </c>
      <c r="B9" s="4"/>
      <c r="C9" s="4"/>
      <c r="D9" s="4"/>
      <c r="E9" s="4">
        <v>1</v>
      </c>
      <c r="F9" s="4"/>
      <c r="G9" s="4">
        <v>1</v>
      </c>
    </row>
    <row r="10" spans="1:7">
      <c r="A10" s="6" t="s">
        <v>134</v>
      </c>
      <c r="B10" s="4">
        <v>2</v>
      </c>
      <c r="C10" s="4"/>
      <c r="D10" s="4">
        <v>1</v>
      </c>
      <c r="E10" s="4">
        <v>1</v>
      </c>
      <c r="F10" s="4"/>
      <c r="G10" s="4">
        <v>4</v>
      </c>
    </row>
    <row r="11" spans="1:7">
      <c r="A11" s="6" t="s">
        <v>218</v>
      </c>
      <c r="B11" s="4">
        <v>1</v>
      </c>
      <c r="C11" s="4"/>
      <c r="D11" s="4"/>
      <c r="E11" s="4"/>
      <c r="F11" s="4"/>
      <c r="G11" s="4">
        <v>1</v>
      </c>
    </row>
    <row r="12" spans="1:7">
      <c r="A12" s="3" t="s">
        <v>179</v>
      </c>
      <c r="B12" s="4">
        <v>13</v>
      </c>
      <c r="C12" s="4">
        <v>11</v>
      </c>
      <c r="D12" s="4">
        <v>14</v>
      </c>
      <c r="E12" s="4">
        <v>8</v>
      </c>
      <c r="F12" s="4">
        <v>1</v>
      </c>
      <c r="G12" s="4">
        <v>47</v>
      </c>
    </row>
    <row r="13" spans="1:7">
      <c r="A13" s="6" t="s">
        <v>131</v>
      </c>
      <c r="B13" s="4">
        <v>4</v>
      </c>
      <c r="C13" s="4">
        <v>5</v>
      </c>
      <c r="D13" s="4">
        <v>1</v>
      </c>
      <c r="E13" s="4">
        <v>3</v>
      </c>
      <c r="F13" s="4"/>
      <c r="G13" s="4">
        <v>13</v>
      </c>
    </row>
    <row r="14" spans="1:7" ht="15.75" customHeight="1">
      <c r="A14" s="6" t="s">
        <v>212</v>
      </c>
      <c r="B14" s="4">
        <v>2</v>
      </c>
      <c r="C14" s="4"/>
      <c r="D14" s="4">
        <v>2</v>
      </c>
      <c r="E14" s="4"/>
      <c r="F14" s="4"/>
      <c r="G14" s="4">
        <v>4</v>
      </c>
    </row>
    <row r="15" spans="1:7">
      <c r="A15" s="6" t="s">
        <v>134</v>
      </c>
      <c r="B15" s="4">
        <v>4</v>
      </c>
      <c r="C15" s="4">
        <v>4</v>
      </c>
      <c r="D15" s="4">
        <v>8</v>
      </c>
      <c r="E15" s="4">
        <v>3</v>
      </c>
      <c r="F15" s="4"/>
      <c r="G15" s="4">
        <v>19</v>
      </c>
    </row>
    <row r="16" spans="1:7">
      <c r="A16" s="6" t="s">
        <v>218</v>
      </c>
      <c r="B16" s="4">
        <v>3</v>
      </c>
      <c r="C16" s="4">
        <v>1</v>
      </c>
      <c r="D16" s="4">
        <v>2</v>
      </c>
      <c r="E16" s="4">
        <v>2</v>
      </c>
      <c r="F16" s="4">
        <v>1</v>
      </c>
      <c r="G16" s="4">
        <v>9</v>
      </c>
    </row>
    <row r="17" spans="1:7">
      <c r="A17" s="6" t="s">
        <v>457</v>
      </c>
      <c r="B17" s="4"/>
      <c r="C17" s="4">
        <v>1</v>
      </c>
      <c r="D17" s="4">
        <v>1</v>
      </c>
      <c r="E17" s="4"/>
      <c r="F17" s="4"/>
      <c r="G17" s="4">
        <v>2</v>
      </c>
    </row>
    <row r="18" spans="1:7">
      <c r="A18" s="3" t="s">
        <v>144</v>
      </c>
      <c r="B18" s="4">
        <v>18</v>
      </c>
      <c r="C18" s="4">
        <v>25</v>
      </c>
      <c r="D18" s="4">
        <v>31</v>
      </c>
      <c r="E18" s="4">
        <v>28</v>
      </c>
      <c r="F18" s="4">
        <v>6</v>
      </c>
      <c r="G18" s="4">
        <v>108</v>
      </c>
    </row>
    <row r="19" spans="1:7">
      <c r="A19" s="6" t="s">
        <v>131</v>
      </c>
      <c r="B19" s="4">
        <v>12</v>
      </c>
      <c r="C19" s="4">
        <v>13</v>
      </c>
      <c r="D19" s="4">
        <v>16</v>
      </c>
      <c r="E19" s="4">
        <v>22</v>
      </c>
      <c r="F19" s="4"/>
      <c r="G19" s="4">
        <v>63</v>
      </c>
    </row>
    <row r="20" spans="1:7">
      <c r="A20" s="6" t="s">
        <v>212</v>
      </c>
      <c r="B20" s="4">
        <v>1</v>
      </c>
      <c r="C20" s="4">
        <v>1</v>
      </c>
      <c r="D20" s="4">
        <v>5</v>
      </c>
      <c r="E20" s="4"/>
      <c r="F20" s="4"/>
      <c r="G20" s="4">
        <v>7</v>
      </c>
    </row>
    <row r="21" spans="1:7">
      <c r="A21" s="6" t="s">
        <v>134</v>
      </c>
      <c r="B21" s="4">
        <v>4</v>
      </c>
      <c r="C21" s="4">
        <v>4</v>
      </c>
      <c r="D21" s="4">
        <v>2</v>
      </c>
      <c r="E21" s="4">
        <v>5</v>
      </c>
      <c r="F21" s="4">
        <v>4</v>
      </c>
      <c r="G21" s="4">
        <v>19</v>
      </c>
    </row>
    <row r="22" spans="1:7">
      <c r="A22" s="6" t="s">
        <v>218</v>
      </c>
      <c r="B22" s="4">
        <v>1</v>
      </c>
      <c r="C22" s="4">
        <v>2</v>
      </c>
      <c r="D22" s="4">
        <v>2</v>
      </c>
      <c r="E22" s="4">
        <v>1</v>
      </c>
      <c r="F22" s="4">
        <v>2</v>
      </c>
      <c r="G22" s="4">
        <v>8</v>
      </c>
    </row>
    <row r="23" spans="1:7">
      <c r="A23" s="6" t="s">
        <v>457</v>
      </c>
      <c r="B23" s="4"/>
      <c r="C23" s="4">
        <v>5</v>
      </c>
      <c r="D23" s="4">
        <v>6</v>
      </c>
      <c r="E23" s="4"/>
      <c r="F23" s="4"/>
      <c r="G23" s="4">
        <v>11</v>
      </c>
    </row>
    <row r="24" spans="1:7">
      <c r="A24" s="3" t="s">
        <v>1115</v>
      </c>
      <c r="B24" s="4">
        <v>34</v>
      </c>
      <c r="C24" s="4">
        <v>36</v>
      </c>
      <c r="D24" s="4">
        <v>46</v>
      </c>
      <c r="E24" s="4">
        <v>38</v>
      </c>
      <c r="F24" s="4">
        <v>7</v>
      </c>
      <c r="G24" s="4">
        <v>161</v>
      </c>
    </row>
    <row r="27" spans="1:7">
      <c r="A27" s="2" t="s">
        <v>81</v>
      </c>
      <c r="B27" t="s">
        <v>143</v>
      </c>
    </row>
    <row r="28" spans="1:7">
      <c r="A28" s="2" t="s">
        <v>90</v>
      </c>
      <c r="B28" t="s">
        <v>1117</v>
      </c>
    </row>
    <row r="30" spans="1:7">
      <c r="A30" s="2" t="s">
        <v>1123</v>
      </c>
      <c r="B30" s="2" t="s">
        <v>1118</v>
      </c>
    </row>
    <row r="31" spans="1:7">
      <c r="A31" s="2" t="s">
        <v>1112</v>
      </c>
      <c r="B31" t="s">
        <v>328</v>
      </c>
      <c r="C31" t="s">
        <v>329</v>
      </c>
      <c r="D31" t="s">
        <v>330</v>
      </c>
      <c r="E31" t="s">
        <v>140</v>
      </c>
      <c r="F31" t="s">
        <v>1115</v>
      </c>
    </row>
    <row r="32" spans="1:7">
      <c r="A32" s="3" t="s">
        <v>197</v>
      </c>
      <c r="B32" s="4">
        <v>3</v>
      </c>
      <c r="C32" s="530">
        <v>1</v>
      </c>
      <c r="D32" s="4"/>
      <c r="E32" s="530">
        <v>2</v>
      </c>
      <c r="F32" s="4">
        <v>6</v>
      </c>
    </row>
    <row r="33" spans="1:6">
      <c r="A33" s="6" t="s">
        <v>131</v>
      </c>
      <c r="B33" s="4"/>
      <c r="C33" s="4"/>
      <c r="D33" s="4"/>
      <c r="E33" s="4">
        <v>1</v>
      </c>
      <c r="F33" s="4">
        <v>1</v>
      </c>
    </row>
    <row r="34" spans="1:6">
      <c r="A34" s="6" t="s">
        <v>134</v>
      </c>
      <c r="B34" s="4">
        <v>2</v>
      </c>
      <c r="C34" s="4">
        <v>1</v>
      </c>
      <c r="D34" s="4"/>
      <c r="E34" s="4">
        <v>1</v>
      </c>
      <c r="F34" s="4">
        <v>4</v>
      </c>
    </row>
    <row r="35" spans="1:6">
      <c r="A35" s="6" t="s">
        <v>218</v>
      </c>
      <c r="B35" s="4">
        <v>1</v>
      </c>
      <c r="C35" s="4"/>
      <c r="D35" s="4"/>
      <c r="E35" s="4"/>
      <c r="F35" s="4">
        <v>1</v>
      </c>
    </row>
    <row r="36" spans="1:6">
      <c r="A36" s="3" t="s">
        <v>179</v>
      </c>
      <c r="B36" s="4">
        <v>8</v>
      </c>
      <c r="C36" s="4">
        <v>7</v>
      </c>
      <c r="D36" s="4">
        <v>4</v>
      </c>
      <c r="E36" s="530">
        <v>4</v>
      </c>
      <c r="F36" s="4">
        <v>23</v>
      </c>
    </row>
    <row r="37" spans="1:6">
      <c r="A37" s="6" t="s">
        <v>131</v>
      </c>
      <c r="B37" s="4">
        <v>4</v>
      </c>
      <c r="C37" s="4">
        <v>1</v>
      </c>
      <c r="D37" s="4">
        <v>4</v>
      </c>
      <c r="E37" s="4">
        <v>3</v>
      </c>
      <c r="F37" s="4">
        <v>12</v>
      </c>
    </row>
    <row r="38" spans="1:6">
      <c r="A38" s="6" t="s">
        <v>212</v>
      </c>
      <c r="B38" s="4">
        <v>1</v>
      </c>
      <c r="C38" s="4">
        <v>1</v>
      </c>
      <c r="D38" s="4"/>
      <c r="E38" s="4"/>
      <c r="F38" s="4">
        <v>2</v>
      </c>
    </row>
    <row r="39" spans="1:6">
      <c r="A39" s="6" t="s">
        <v>134</v>
      </c>
      <c r="B39" s="4">
        <v>1</v>
      </c>
      <c r="C39" s="4">
        <v>4</v>
      </c>
      <c r="D39" s="4"/>
      <c r="E39" s="4"/>
      <c r="F39" s="4">
        <v>5</v>
      </c>
    </row>
    <row r="40" spans="1:6">
      <c r="A40" s="6" t="s">
        <v>218</v>
      </c>
      <c r="B40" s="4">
        <v>2</v>
      </c>
      <c r="C40" s="4">
        <v>1</v>
      </c>
      <c r="D40" s="4"/>
      <c r="E40" s="4">
        <v>1</v>
      </c>
      <c r="F40" s="4">
        <v>4</v>
      </c>
    </row>
    <row r="41" spans="1:6">
      <c r="A41" s="3" t="s">
        <v>144</v>
      </c>
      <c r="B41" s="4">
        <v>13</v>
      </c>
      <c r="C41" s="4">
        <v>13</v>
      </c>
      <c r="D41" s="4">
        <v>13</v>
      </c>
      <c r="E41" s="4">
        <v>25</v>
      </c>
      <c r="F41" s="4">
        <v>64</v>
      </c>
    </row>
    <row r="42" spans="1:6">
      <c r="A42" s="6" t="s">
        <v>131</v>
      </c>
      <c r="B42" s="4">
        <v>11</v>
      </c>
      <c r="C42" s="4">
        <v>12</v>
      </c>
      <c r="D42" s="4">
        <v>12</v>
      </c>
      <c r="E42" s="4">
        <v>22</v>
      </c>
      <c r="F42" s="4">
        <v>57</v>
      </c>
    </row>
    <row r="43" spans="1:6">
      <c r="A43" s="6" t="s">
        <v>212</v>
      </c>
      <c r="B43" s="4">
        <v>1</v>
      </c>
      <c r="C43" s="4">
        <v>1</v>
      </c>
      <c r="D43" s="4"/>
      <c r="E43" s="4"/>
      <c r="F43" s="4">
        <v>2</v>
      </c>
    </row>
    <row r="44" spans="1:6">
      <c r="A44" s="6" t="s">
        <v>134</v>
      </c>
      <c r="B44" s="4">
        <v>1</v>
      </c>
      <c r="C44" s="4"/>
      <c r="D44" s="4">
        <v>1</v>
      </c>
      <c r="E44" s="4">
        <v>3</v>
      </c>
      <c r="F44" s="4">
        <v>5</v>
      </c>
    </row>
    <row r="45" spans="1:6">
      <c r="A45" s="3" t="s">
        <v>1115</v>
      </c>
      <c r="B45" s="4">
        <v>24</v>
      </c>
      <c r="C45" s="4">
        <v>21</v>
      </c>
      <c r="D45" s="4">
        <v>17</v>
      </c>
      <c r="E45" s="4">
        <v>31</v>
      </c>
      <c r="F45" s="4">
        <v>93</v>
      </c>
    </row>
    <row r="46" spans="1:6">
      <c r="A46" s="2" t="s">
        <v>81</v>
      </c>
      <c r="B46" t="s">
        <v>143</v>
      </c>
    </row>
    <row r="47" spans="1:6">
      <c r="A47" s="2" t="s">
        <v>90</v>
      </c>
      <c r="B47" t="s">
        <v>204</v>
      </c>
    </row>
    <row r="49" spans="1:7">
      <c r="A49" s="2" t="s">
        <v>1123</v>
      </c>
      <c r="B49" s="2" t="s">
        <v>1118</v>
      </c>
    </row>
    <row r="50" spans="1:7">
      <c r="A50" s="2" t="s">
        <v>1112</v>
      </c>
      <c r="B50" t="s">
        <v>328</v>
      </c>
      <c r="C50" t="s">
        <v>330</v>
      </c>
      <c r="D50" t="s">
        <v>329</v>
      </c>
      <c r="E50" t="s">
        <v>140</v>
      </c>
      <c r="F50" t="s">
        <v>945</v>
      </c>
      <c r="G50" t="s">
        <v>1115</v>
      </c>
    </row>
    <row r="51" spans="1:7">
      <c r="A51" s="3" t="s">
        <v>179</v>
      </c>
      <c r="B51" s="530">
        <v>5</v>
      </c>
      <c r="C51" s="530">
        <v>7</v>
      </c>
      <c r="D51" s="530">
        <v>7</v>
      </c>
      <c r="E51" s="530">
        <v>4</v>
      </c>
      <c r="F51" s="530">
        <v>1</v>
      </c>
      <c r="G51" s="4">
        <v>24</v>
      </c>
    </row>
    <row r="52" spans="1:7">
      <c r="A52" s="6" t="s">
        <v>131</v>
      </c>
      <c r="B52" s="4"/>
      <c r="C52" s="4">
        <v>1</v>
      </c>
      <c r="D52" s="4"/>
      <c r="E52" s="4"/>
      <c r="F52" s="4"/>
      <c r="G52" s="4">
        <v>1</v>
      </c>
    </row>
    <row r="53" spans="1:7">
      <c r="A53" s="6" t="s">
        <v>212</v>
      </c>
      <c r="B53" s="4">
        <v>1</v>
      </c>
      <c r="C53" s="4"/>
      <c r="D53" s="4">
        <v>1</v>
      </c>
      <c r="E53" s="4"/>
      <c r="F53" s="4"/>
      <c r="G53" s="4">
        <v>2</v>
      </c>
    </row>
    <row r="54" spans="1:7">
      <c r="A54" s="6" t="s">
        <v>134</v>
      </c>
      <c r="B54" s="4">
        <v>3</v>
      </c>
      <c r="C54" s="4">
        <v>4</v>
      </c>
      <c r="D54" s="4">
        <v>4</v>
      </c>
      <c r="E54" s="4">
        <v>3</v>
      </c>
      <c r="F54" s="4"/>
      <c r="G54" s="4">
        <v>14</v>
      </c>
    </row>
    <row r="55" spans="1:7">
      <c r="A55" s="6" t="s">
        <v>218</v>
      </c>
      <c r="B55" s="4">
        <v>1</v>
      </c>
      <c r="C55" s="4">
        <v>1</v>
      </c>
      <c r="D55" s="4">
        <v>1</v>
      </c>
      <c r="E55" s="4">
        <v>1</v>
      </c>
      <c r="F55" s="4">
        <v>1</v>
      </c>
      <c r="G55" s="4">
        <v>5</v>
      </c>
    </row>
    <row r="56" spans="1:7">
      <c r="A56" s="6" t="s">
        <v>457</v>
      </c>
      <c r="B56" s="4"/>
      <c r="C56" s="4">
        <v>1</v>
      </c>
      <c r="D56" s="4">
        <v>1</v>
      </c>
      <c r="E56" s="4"/>
      <c r="F56" s="4"/>
      <c r="G56" s="4">
        <v>2</v>
      </c>
    </row>
    <row r="57" spans="1:7">
      <c r="A57" s="3" t="s">
        <v>144</v>
      </c>
      <c r="B57" s="530">
        <v>5</v>
      </c>
      <c r="C57" s="4">
        <v>12</v>
      </c>
      <c r="D57" s="4">
        <v>18</v>
      </c>
      <c r="E57" s="4">
        <v>3</v>
      </c>
      <c r="F57" s="4">
        <v>6</v>
      </c>
      <c r="G57" s="4">
        <v>44</v>
      </c>
    </row>
    <row r="58" spans="1:7">
      <c r="A58" s="6" t="s">
        <v>131</v>
      </c>
      <c r="B58" s="4">
        <v>1</v>
      </c>
      <c r="C58" s="4">
        <v>1</v>
      </c>
      <c r="D58" s="4">
        <v>4</v>
      </c>
      <c r="E58" s="4"/>
      <c r="F58" s="4"/>
      <c r="G58" s="4">
        <v>6</v>
      </c>
    </row>
    <row r="59" spans="1:7">
      <c r="A59" s="6" t="s">
        <v>212</v>
      </c>
      <c r="B59" s="4"/>
      <c r="C59" s="4">
        <v>1</v>
      </c>
      <c r="D59" s="4">
        <v>4</v>
      </c>
      <c r="E59" s="4"/>
      <c r="F59" s="4"/>
      <c r="G59" s="4">
        <v>5</v>
      </c>
    </row>
    <row r="60" spans="1:7">
      <c r="A60" s="6" t="s">
        <v>134</v>
      </c>
      <c r="B60" s="4">
        <v>3</v>
      </c>
      <c r="C60" s="4">
        <v>3</v>
      </c>
      <c r="D60" s="4">
        <v>2</v>
      </c>
      <c r="E60" s="4">
        <v>2</v>
      </c>
      <c r="F60" s="4">
        <v>4</v>
      </c>
      <c r="G60" s="4">
        <v>14</v>
      </c>
    </row>
    <row r="61" spans="1:7">
      <c r="A61" s="6" t="s">
        <v>218</v>
      </c>
      <c r="B61" s="4">
        <v>1</v>
      </c>
      <c r="C61" s="4">
        <v>2</v>
      </c>
      <c r="D61" s="4">
        <v>2</v>
      </c>
      <c r="E61" s="4">
        <v>1</v>
      </c>
      <c r="F61" s="4">
        <v>2</v>
      </c>
      <c r="G61" s="4">
        <v>8</v>
      </c>
    </row>
    <row r="62" spans="1:7">
      <c r="A62" s="6" t="s">
        <v>457</v>
      </c>
      <c r="B62" s="4"/>
      <c r="C62" s="4">
        <v>5</v>
      </c>
      <c r="D62" s="4">
        <v>6</v>
      </c>
      <c r="E62" s="4"/>
      <c r="F62" s="4"/>
      <c r="G62" s="4">
        <v>11</v>
      </c>
    </row>
    <row r="63" spans="1:7">
      <c r="A63" s="3" t="s">
        <v>1115</v>
      </c>
      <c r="B63" s="4">
        <v>10</v>
      </c>
      <c r="C63" s="4">
        <v>19</v>
      </c>
      <c r="D63" s="4">
        <v>25</v>
      </c>
      <c r="E63" s="4">
        <v>7</v>
      </c>
      <c r="F63" s="4">
        <v>7</v>
      </c>
      <c r="G63" s="4">
        <v>68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143C3-EEA8-4229-909A-775EA4C186E7}">
  <dimension ref="A3:N54"/>
  <sheetViews>
    <sheetView workbookViewId="0">
      <selection activeCell="A14" sqref="A14:A29"/>
    </sheetView>
  </sheetViews>
  <sheetFormatPr baseColWidth="10" defaultColWidth="11.3984375" defaultRowHeight="14.25"/>
  <cols>
    <col min="1" max="1" width="77.86328125" bestFit="1" customWidth="1"/>
    <col min="2" max="2" width="22.86328125" bestFit="1" customWidth="1"/>
    <col min="3" max="3" width="10" bestFit="1" customWidth="1"/>
    <col min="4" max="4" width="11.1328125" bestFit="1" customWidth="1"/>
    <col min="5" max="5" width="14.3984375" bestFit="1" customWidth="1"/>
    <col min="6" max="6" width="11.1328125" bestFit="1" customWidth="1"/>
    <col min="7" max="7" width="10.73046875" bestFit="1" customWidth="1"/>
    <col min="8" max="8" width="11.59765625" bestFit="1" customWidth="1"/>
    <col min="9" max="9" width="11.1328125" bestFit="1" customWidth="1"/>
    <col min="10" max="10" width="14.59765625" bestFit="1" customWidth="1"/>
    <col min="11" max="11" width="12.1328125" bestFit="1" customWidth="1"/>
    <col min="12" max="12" width="11.1328125" bestFit="1" customWidth="1"/>
    <col min="13" max="13" width="15.1328125" bestFit="1" customWidth="1"/>
    <col min="14" max="15" width="12.59765625" bestFit="1" customWidth="1"/>
    <col min="16" max="16" width="15.1328125" bestFit="1" customWidth="1"/>
    <col min="17" max="17" width="12.59765625" bestFit="1" customWidth="1"/>
    <col min="18" max="18" width="5.1328125" bestFit="1" customWidth="1"/>
    <col min="19" max="19" width="4.1328125" bestFit="1" customWidth="1"/>
    <col min="20" max="21" width="2.265625" bestFit="1" customWidth="1"/>
    <col min="22" max="22" width="8.86328125" bestFit="1" customWidth="1"/>
    <col min="23" max="23" width="13.73046875" bestFit="1" customWidth="1"/>
    <col min="24" max="24" width="13" bestFit="1" customWidth="1"/>
    <col min="25" max="25" width="5.1328125" bestFit="1" customWidth="1"/>
    <col min="26" max="26" width="4.1328125" bestFit="1" customWidth="1"/>
    <col min="27" max="28" width="5.1328125" bestFit="1" customWidth="1"/>
    <col min="29" max="29" width="2.265625" bestFit="1" customWidth="1"/>
    <col min="30" max="30" width="16.1328125" bestFit="1" customWidth="1"/>
    <col min="31" max="31" width="10.59765625" bestFit="1" customWidth="1"/>
    <col min="32" max="32" width="11.59765625" bestFit="1" customWidth="1"/>
    <col min="33" max="33" width="5.1328125" bestFit="1" customWidth="1"/>
    <col min="34" max="34" width="4.1328125" bestFit="1" customWidth="1"/>
    <col min="35" max="35" width="5.1328125" bestFit="1" customWidth="1"/>
    <col min="36" max="36" width="2.265625" bestFit="1" customWidth="1"/>
    <col min="37" max="37" width="4.1328125" bestFit="1" customWidth="1"/>
    <col min="38" max="39" width="2.265625" bestFit="1" customWidth="1"/>
    <col min="40" max="40" width="13.73046875" bestFit="1" customWidth="1"/>
    <col min="41" max="41" width="12.1328125" bestFit="1" customWidth="1"/>
    <col min="42" max="42" width="2.265625" bestFit="1" customWidth="1"/>
    <col min="43" max="43" width="15.1328125" bestFit="1" customWidth="1"/>
    <col min="44" max="44" width="13" bestFit="1" customWidth="1"/>
    <col min="45" max="45" width="5.1328125" bestFit="1" customWidth="1"/>
    <col min="46" max="46" width="2.265625" bestFit="1" customWidth="1"/>
    <col min="47" max="47" width="4.1328125" bestFit="1" customWidth="1"/>
    <col min="48" max="48" width="5.1328125" bestFit="1" customWidth="1"/>
    <col min="49" max="49" width="4.1328125" bestFit="1" customWidth="1"/>
    <col min="50" max="50" width="16.1328125" bestFit="1" customWidth="1"/>
    <col min="51" max="51" width="14.73046875" bestFit="1" customWidth="1"/>
    <col min="52" max="52" width="12.265625" bestFit="1" customWidth="1"/>
    <col min="53" max="53" width="2.265625" bestFit="1" customWidth="1"/>
    <col min="54" max="54" width="13.73046875" bestFit="1" customWidth="1"/>
    <col min="55" max="55" width="13" bestFit="1" customWidth="1"/>
    <col min="56" max="56" width="5.1328125" bestFit="1" customWidth="1"/>
    <col min="57" max="57" width="2.265625" bestFit="1" customWidth="1"/>
    <col min="58" max="58" width="4.1328125" bestFit="1" customWidth="1"/>
    <col min="59" max="59" width="5.1328125" bestFit="1" customWidth="1"/>
    <col min="60" max="60" width="2.265625" bestFit="1" customWidth="1"/>
    <col min="61" max="61" width="16.1328125" bestFit="1" customWidth="1"/>
    <col min="62" max="62" width="15.265625" bestFit="1" customWidth="1"/>
    <col min="63" max="63" width="12.59765625" bestFit="1" customWidth="1"/>
  </cols>
  <sheetData>
    <row r="3" spans="1:14">
      <c r="A3" s="2" t="s">
        <v>81</v>
      </c>
      <c r="B3" t="s">
        <v>143</v>
      </c>
    </row>
    <row r="4" spans="1:14">
      <c r="A4" s="2" t="s">
        <v>90</v>
      </c>
      <c r="B4" t="s">
        <v>1117</v>
      </c>
    </row>
    <row r="6" spans="1:14">
      <c r="A6" s="2" t="s">
        <v>1123</v>
      </c>
      <c r="B6" s="2" t="s">
        <v>1118</v>
      </c>
    </row>
    <row r="7" spans="1:14">
      <c r="B7" t="s">
        <v>140</v>
      </c>
      <c r="E7" t="s">
        <v>1124</v>
      </c>
      <c r="F7" t="s">
        <v>329</v>
      </c>
      <c r="G7" t="s">
        <v>1125</v>
      </c>
      <c r="H7" t="s">
        <v>328</v>
      </c>
      <c r="J7" t="s">
        <v>1126</v>
      </c>
      <c r="K7" t="s">
        <v>330</v>
      </c>
      <c r="M7" t="s">
        <v>1127</v>
      </c>
      <c r="N7" t="s">
        <v>1115</v>
      </c>
    </row>
    <row r="8" spans="1:14">
      <c r="A8" s="2" t="s">
        <v>1112</v>
      </c>
      <c r="B8" t="s">
        <v>179</v>
      </c>
      <c r="C8" t="s">
        <v>197</v>
      </c>
      <c r="D8" t="s">
        <v>144</v>
      </c>
      <c r="F8" t="s">
        <v>144</v>
      </c>
      <c r="H8" t="s">
        <v>179</v>
      </c>
      <c r="I8" t="s">
        <v>144</v>
      </c>
      <c r="K8" t="s">
        <v>179</v>
      </c>
      <c r="L8" t="s">
        <v>144</v>
      </c>
    </row>
    <row r="9" spans="1:14">
      <c r="A9" s="3" t="s">
        <v>763</v>
      </c>
      <c r="I9">
        <v>1</v>
      </c>
      <c r="J9">
        <v>1</v>
      </c>
      <c r="N9">
        <v>1</v>
      </c>
    </row>
    <row r="10" spans="1:14">
      <c r="A10" s="6" t="s">
        <v>131</v>
      </c>
      <c r="I10">
        <v>1</v>
      </c>
      <c r="J10">
        <v>1</v>
      </c>
      <c r="N10">
        <v>1</v>
      </c>
    </row>
    <row r="11" spans="1:14">
      <c r="A11" s="323" t="s">
        <v>150</v>
      </c>
      <c r="I11">
        <v>1</v>
      </c>
      <c r="J11">
        <v>1</v>
      </c>
      <c r="N11">
        <v>1</v>
      </c>
    </row>
    <row r="12" spans="1:14">
      <c r="A12" s="3" t="s">
        <v>139</v>
      </c>
      <c r="B12">
        <v>3</v>
      </c>
      <c r="C12">
        <v>1</v>
      </c>
      <c r="D12">
        <v>12</v>
      </c>
      <c r="E12">
        <v>16</v>
      </c>
      <c r="F12">
        <v>2</v>
      </c>
      <c r="G12">
        <v>2</v>
      </c>
      <c r="H12">
        <v>2</v>
      </c>
      <c r="I12">
        <v>2</v>
      </c>
      <c r="J12">
        <v>4</v>
      </c>
      <c r="K12">
        <v>2</v>
      </c>
      <c r="L12">
        <v>4</v>
      </c>
      <c r="M12">
        <v>6</v>
      </c>
      <c r="N12">
        <v>28</v>
      </c>
    </row>
    <row r="13" spans="1:14">
      <c r="A13" s="6" t="s">
        <v>131</v>
      </c>
      <c r="B13">
        <v>3</v>
      </c>
      <c r="C13">
        <v>1</v>
      </c>
      <c r="D13">
        <v>12</v>
      </c>
      <c r="E13">
        <v>16</v>
      </c>
      <c r="F13">
        <v>2</v>
      </c>
      <c r="G13">
        <v>2</v>
      </c>
      <c r="H13">
        <v>2</v>
      </c>
      <c r="I13">
        <v>2</v>
      </c>
      <c r="J13">
        <v>4</v>
      </c>
      <c r="K13">
        <v>2</v>
      </c>
      <c r="L13">
        <v>4</v>
      </c>
      <c r="M13">
        <v>6</v>
      </c>
      <c r="N13">
        <v>28</v>
      </c>
    </row>
    <row r="14" spans="1:14">
      <c r="A14" s="323" t="s">
        <v>133</v>
      </c>
      <c r="D14">
        <v>1</v>
      </c>
      <c r="E14">
        <v>1</v>
      </c>
      <c r="I14">
        <v>1</v>
      </c>
      <c r="J14">
        <v>1</v>
      </c>
      <c r="L14">
        <v>1</v>
      </c>
      <c r="M14">
        <v>1</v>
      </c>
      <c r="N14">
        <v>3</v>
      </c>
    </row>
    <row r="15" spans="1:14">
      <c r="A15" s="323" t="s">
        <v>150</v>
      </c>
      <c r="D15">
        <v>1</v>
      </c>
      <c r="E15">
        <v>1</v>
      </c>
      <c r="L15">
        <v>1</v>
      </c>
      <c r="M15">
        <v>1</v>
      </c>
      <c r="N15">
        <v>2</v>
      </c>
    </row>
    <row r="16" spans="1:14">
      <c r="A16" s="323" t="s">
        <v>163</v>
      </c>
      <c r="D16">
        <v>1</v>
      </c>
      <c r="E16">
        <v>1</v>
      </c>
      <c r="N16">
        <v>1</v>
      </c>
    </row>
    <row r="17" spans="1:14">
      <c r="A17" s="323" t="s">
        <v>183</v>
      </c>
      <c r="D17">
        <v>1</v>
      </c>
      <c r="E17">
        <v>1</v>
      </c>
      <c r="N17">
        <v>1</v>
      </c>
    </row>
    <row r="18" spans="1:14">
      <c r="A18" s="323" t="s">
        <v>794</v>
      </c>
      <c r="B18">
        <v>1</v>
      </c>
      <c r="E18">
        <v>1</v>
      </c>
      <c r="N18">
        <v>1</v>
      </c>
    </row>
    <row r="19" spans="1:14">
      <c r="A19" s="323" t="s">
        <v>168</v>
      </c>
      <c r="D19">
        <v>1</v>
      </c>
      <c r="E19">
        <v>1</v>
      </c>
      <c r="K19">
        <v>1</v>
      </c>
      <c r="M19">
        <v>1</v>
      </c>
      <c r="N19">
        <v>2</v>
      </c>
    </row>
    <row r="20" spans="1:14">
      <c r="A20" s="323" t="s">
        <v>506</v>
      </c>
      <c r="D20">
        <v>1</v>
      </c>
      <c r="E20">
        <v>1</v>
      </c>
      <c r="F20">
        <v>1</v>
      </c>
      <c r="G20">
        <v>1</v>
      </c>
      <c r="I20">
        <v>1</v>
      </c>
      <c r="J20">
        <v>1</v>
      </c>
      <c r="L20">
        <v>1</v>
      </c>
      <c r="M20">
        <v>1</v>
      </c>
      <c r="N20">
        <v>4</v>
      </c>
    </row>
    <row r="21" spans="1:14">
      <c r="A21" s="323" t="s">
        <v>419</v>
      </c>
      <c r="D21">
        <v>1</v>
      </c>
      <c r="E21">
        <v>1</v>
      </c>
      <c r="N21">
        <v>1</v>
      </c>
    </row>
    <row r="22" spans="1:14">
      <c r="A22" s="323" t="s">
        <v>171</v>
      </c>
      <c r="D22">
        <v>1</v>
      </c>
      <c r="E22">
        <v>1</v>
      </c>
      <c r="H22">
        <v>1</v>
      </c>
      <c r="J22">
        <v>1</v>
      </c>
      <c r="N22">
        <v>2</v>
      </c>
    </row>
    <row r="23" spans="1:14">
      <c r="A23" s="323" t="s">
        <v>188</v>
      </c>
      <c r="B23">
        <v>1</v>
      </c>
      <c r="E23">
        <v>1</v>
      </c>
      <c r="N23">
        <v>1</v>
      </c>
    </row>
    <row r="24" spans="1:14">
      <c r="A24" s="323" t="s">
        <v>193</v>
      </c>
      <c r="D24">
        <v>1</v>
      </c>
      <c r="E24">
        <v>1</v>
      </c>
      <c r="L24">
        <v>1</v>
      </c>
      <c r="M24">
        <v>1</v>
      </c>
      <c r="N24">
        <v>2</v>
      </c>
    </row>
    <row r="25" spans="1:14">
      <c r="A25" s="323" t="s">
        <v>195</v>
      </c>
      <c r="C25">
        <v>1</v>
      </c>
      <c r="E25">
        <v>1</v>
      </c>
      <c r="N25">
        <v>1</v>
      </c>
    </row>
    <row r="26" spans="1:14">
      <c r="A26" s="323" t="s">
        <v>200</v>
      </c>
      <c r="D26">
        <v>1</v>
      </c>
      <c r="E26">
        <v>1</v>
      </c>
      <c r="N26">
        <v>1</v>
      </c>
    </row>
    <row r="27" spans="1:14">
      <c r="A27" s="323" t="s">
        <v>176</v>
      </c>
      <c r="B27">
        <v>1</v>
      </c>
      <c r="D27">
        <v>1</v>
      </c>
      <c r="E27">
        <v>2</v>
      </c>
      <c r="N27">
        <v>2</v>
      </c>
    </row>
    <row r="28" spans="1:14">
      <c r="A28" s="323" t="s">
        <v>520</v>
      </c>
      <c r="F28">
        <v>1</v>
      </c>
      <c r="G28">
        <v>1</v>
      </c>
      <c r="H28">
        <v>1</v>
      </c>
      <c r="J28">
        <v>1</v>
      </c>
      <c r="K28">
        <v>1</v>
      </c>
      <c r="M28">
        <v>1</v>
      </c>
      <c r="N28">
        <v>3</v>
      </c>
    </row>
    <row r="29" spans="1:14">
      <c r="A29" s="323" t="s">
        <v>156</v>
      </c>
      <c r="D29">
        <v>1</v>
      </c>
      <c r="E29">
        <v>1</v>
      </c>
      <c r="N29">
        <v>1</v>
      </c>
    </row>
    <row r="30" spans="1:14">
      <c r="A30" s="3" t="s">
        <v>1115</v>
      </c>
      <c r="B30">
        <v>3</v>
      </c>
      <c r="C30">
        <v>1</v>
      </c>
      <c r="D30">
        <v>12</v>
      </c>
      <c r="E30">
        <v>16</v>
      </c>
      <c r="F30">
        <v>2</v>
      </c>
      <c r="G30">
        <v>2</v>
      </c>
      <c r="H30">
        <v>2</v>
      </c>
      <c r="I30">
        <v>3</v>
      </c>
      <c r="J30">
        <v>5</v>
      </c>
      <c r="K30">
        <v>2</v>
      </c>
      <c r="L30">
        <v>4</v>
      </c>
      <c r="M30">
        <v>6</v>
      </c>
      <c r="N30">
        <v>29</v>
      </c>
    </row>
    <row r="35" spans="1:13">
      <c r="A35" s="2" t="s">
        <v>81</v>
      </c>
      <c r="B35" t="s">
        <v>143</v>
      </c>
    </row>
    <row r="36" spans="1:13">
      <c r="A36" s="2" t="s">
        <v>90</v>
      </c>
      <c r="B36" t="s">
        <v>1117</v>
      </c>
    </row>
    <row r="37" spans="1:13">
      <c r="A37" s="2" t="s">
        <v>96</v>
      </c>
      <c r="B37" t="s">
        <v>45</v>
      </c>
    </row>
    <row r="39" spans="1:13">
      <c r="A39" s="2" t="s">
        <v>1123</v>
      </c>
      <c r="B39" s="2" t="s">
        <v>1118</v>
      </c>
    </row>
    <row r="40" spans="1:13">
      <c r="B40" t="s">
        <v>140</v>
      </c>
      <c r="C40" t="s">
        <v>1124</v>
      </c>
      <c r="D40" t="s">
        <v>329</v>
      </c>
      <c r="F40" t="s">
        <v>1125</v>
      </c>
      <c r="G40" t="s">
        <v>328</v>
      </c>
      <c r="I40" t="s">
        <v>1126</v>
      </c>
      <c r="J40" t="s">
        <v>330</v>
      </c>
      <c r="L40" t="s">
        <v>1127</v>
      </c>
      <c r="M40" t="s">
        <v>1115</v>
      </c>
    </row>
    <row r="41" spans="1:13">
      <c r="A41" s="2" t="s">
        <v>1112</v>
      </c>
      <c r="B41" t="s">
        <v>144</v>
      </c>
      <c r="D41" t="s">
        <v>179</v>
      </c>
      <c r="E41" t="s">
        <v>144</v>
      </c>
      <c r="G41" t="s">
        <v>179</v>
      </c>
      <c r="H41" t="s">
        <v>144</v>
      </c>
      <c r="J41" t="s">
        <v>179</v>
      </c>
      <c r="K41" t="s">
        <v>144</v>
      </c>
    </row>
    <row r="42" spans="1:13">
      <c r="A42" s="3" t="s">
        <v>131</v>
      </c>
      <c r="B42">
        <v>10</v>
      </c>
      <c r="C42">
        <v>10</v>
      </c>
      <c r="D42">
        <v>1</v>
      </c>
      <c r="E42">
        <v>10</v>
      </c>
      <c r="F42">
        <v>11</v>
      </c>
      <c r="G42">
        <v>2</v>
      </c>
      <c r="H42">
        <v>8</v>
      </c>
      <c r="I42">
        <v>10</v>
      </c>
      <c r="J42">
        <v>2</v>
      </c>
      <c r="K42">
        <v>8</v>
      </c>
      <c r="L42">
        <v>10</v>
      </c>
      <c r="M42">
        <v>41</v>
      </c>
    </row>
    <row r="43" spans="1:13">
      <c r="A43" s="6" t="s">
        <v>839</v>
      </c>
      <c r="B43">
        <v>1</v>
      </c>
      <c r="C43">
        <v>1</v>
      </c>
      <c r="E43">
        <v>1</v>
      </c>
      <c r="F43">
        <v>1</v>
      </c>
      <c r="H43">
        <v>1</v>
      </c>
      <c r="I43">
        <v>1</v>
      </c>
      <c r="K43">
        <v>1</v>
      </c>
      <c r="L43">
        <v>1</v>
      </c>
      <c r="M43">
        <v>4</v>
      </c>
    </row>
    <row r="44" spans="1:13">
      <c r="A44" s="6" t="s">
        <v>351</v>
      </c>
      <c r="B44">
        <v>1</v>
      </c>
      <c r="C44">
        <v>1</v>
      </c>
      <c r="E44">
        <v>1</v>
      </c>
      <c r="F44">
        <v>1</v>
      </c>
      <c r="H44">
        <v>1</v>
      </c>
      <c r="I44">
        <v>1</v>
      </c>
      <c r="K44">
        <v>1</v>
      </c>
      <c r="L44">
        <v>1</v>
      </c>
      <c r="M44">
        <v>4</v>
      </c>
    </row>
    <row r="45" spans="1:13">
      <c r="A45" s="6" t="s">
        <v>355</v>
      </c>
      <c r="B45">
        <v>1</v>
      </c>
      <c r="C45">
        <v>1</v>
      </c>
      <c r="E45">
        <v>1</v>
      </c>
      <c r="F45">
        <v>1</v>
      </c>
      <c r="H45">
        <v>1</v>
      </c>
      <c r="I45">
        <v>1</v>
      </c>
      <c r="K45">
        <v>1</v>
      </c>
      <c r="L45">
        <v>1</v>
      </c>
      <c r="M45">
        <v>4</v>
      </c>
    </row>
    <row r="46" spans="1:13">
      <c r="A46" s="6" t="s">
        <v>337</v>
      </c>
      <c r="B46">
        <v>1</v>
      </c>
      <c r="C46">
        <v>1</v>
      </c>
      <c r="D46">
        <v>1</v>
      </c>
      <c r="F46">
        <v>1</v>
      </c>
      <c r="G46">
        <v>1</v>
      </c>
      <c r="I46">
        <v>1</v>
      </c>
      <c r="J46">
        <v>1</v>
      </c>
      <c r="L46">
        <v>1</v>
      </c>
      <c r="M46">
        <v>4</v>
      </c>
    </row>
    <row r="47" spans="1:13">
      <c r="A47" s="6" t="s">
        <v>376</v>
      </c>
      <c r="B47">
        <v>1</v>
      </c>
      <c r="C47">
        <v>1</v>
      </c>
      <c r="E47">
        <v>1</v>
      </c>
      <c r="F47">
        <v>1</v>
      </c>
      <c r="H47">
        <v>1</v>
      </c>
      <c r="I47">
        <v>1</v>
      </c>
      <c r="K47">
        <v>1</v>
      </c>
      <c r="L47">
        <v>1</v>
      </c>
      <c r="M47">
        <v>4</v>
      </c>
    </row>
    <row r="48" spans="1:13">
      <c r="A48" s="6" t="s">
        <v>342</v>
      </c>
      <c r="B48">
        <v>1</v>
      </c>
      <c r="C48">
        <v>1</v>
      </c>
      <c r="E48">
        <v>1</v>
      </c>
      <c r="F48">
        <v>1</v>
      </c>
      <c r="H48">
        <v>1</v>
      </c>
      <c r="I48">
        <v>1</v>
      </c>
      <c r="K48">
        <v>1</v>
      </c>
      <c r="L48">
        <v>1</v>
      </c>
      <c r="M48">
        <v>4</v>
      </c>
    </row>
    <row r="49" spans="1:13">
      <c r="A49" s="6" t="s">
        <v>850</v>
      </c>
      <c r="E49">
        <v>1</v>
      </c>
      <c r="F49">
        <v>1</v>
      </c>
      <c r="M49">
        <v>1</v>
      </c>
    </row>
    <row r="50" spans="1:13">
      <c r="A50" s="6" t="s">
        <v>398</v>
      </c>
      <c r="B50">
        <v>1</v>
      </c>
      <c r="C50">
        <v>1</v>
      </c>
      <c r="E50">
        <v>1</v>
      </c>
      <c r="F50">
        <v>1</v>
      </c>
      <c r="H50">
        <v>1</v>
      </c>
      <c r="I50">
        <v>1</v>
      </c>
      <c r="K50">
        <v>1</v>
      </c>
      <c r="L50">
        <v>1</v>
      </c>
      <c r="M50">
        <v>4</v>
      </c>
    </row>
    <row r="51" spans="1:13">
      <c r="A51" s="6" t="s">
        <v>412</v>
      </c>
      <c r="B51">
        <v>1</v>
      </c>
      <c r="C51">
        <v>1</v>
      </c>
      <c r="E51">
        <v>1</v>
      </c>
      <c r="F51">
        <v>1</v>
      </c>
      <c r="H51">
        <v>1</v>
      </c>
      <c r="I51">
        <v>1</v>
      </c>
      <c r="K51">
        <v>1</v>
      </c>
      <c r="L51">
        <v>1</v>
      </c>
      <c r="M51">
        <v>4</v>
      </c>
    </row>
    <row r="52" spans="1:13">
      <c r="A52" s="6" t="s">
        <v>415</v>
      </c>
      <c r="B52">
        <v>1</v>
      </c>
      <c r="C52">
        <v>1</v>
      </c>
      <c r="E52">
        <v>1</v>
      </c>
      <c r="F52">
        <v>1</v>
      </c>
      <c r="H52">
        <v>1</v>
      </c>
      <c r="I52">
        <v>1</v>
      </c>
      <c r="K52">
        <v>1</v>
      </c>
      <c r="L52">
        <v>1</v>
      </c>
      <c r="M52">
        <v>4</v>
      </c>
    </row>
    <row r="53" spans="1:13">
      <c r="A53" s="6" t="s">
        <v>362</v>
      </c>
      <c r="B53">
        <v>1</v>
      </c>
      <c r="C53">
        <v>1</v>
      </c>
      <c r="E53">
        <v>1</v>
      </c>
      <c r="F53">
        <v>1</v>
      </c>
      <c r="G53">
        <v>1</v>
      </c>
      <c r="I53">
        <v>1</v>
      </c>
      <c r="J53">
        <v>1</v>
      </c>
      <c r="L53">
        <v>1</v>
      </c>
      <c r="M53">
        <v>4</v>
      </c>
    </row>
    <row r="54" spans="1:13">
      <c r="A54" s="3" t="s">
        <v>1115</v>
      </c>
      <c r="B54">
        <v>10</v>
      </c>
      <c r="C54">
        <v>10</v>
      </c>
      <c r="D54">
        <v>1</v>
      </c>
      <c r="E54">
        <v>10</v>
      </c>
      <c r="F54">
        <v>11</v>
      </c>
      <c r="G54">
        <v>2</v>
      </c>
      <c r="H54">
        <v>8</v>
      </c>
      <c r="I54">
        <v>10</v>
      </c>
      <c r="J54">
        <v>2</v>
      </c>
      <c r="K54">
        <v>8</v>
      </c>
      <c r="L54">
        <v>10</v>
      </c>
      <c r="M54">
        <v>41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94C9B-8C80-4DD6-A74E-CBB255C62543}">
  <dimension ref="A1:D129"/>
  <sheetViews>
    <sheetView workbookViewId="0">
      <selection activeCell="D115" sqref="D115"/>
    </sheetView>
  </sheetViews>
  <sheetFormatPr baseColWidth="10" defaultColWidth="11.3984375" defaultRowHeight="14.25"/>
  <cols>
    <col min="1" max="1" width="46.86328125" bestFit="1" customWidth="1"/>
    <col min="2" max="2" width="22.86328125" bestFit="1" customWidth="1"/>
    <col min="3" max="3" width="11.1328125" bestFit="1" customWidth="1"/>
    <col min="4" max="5" width="12.59765625" bestFit="1" customWidth="1"/>
    <col min="6" max="6" width="11.1328125" bestFit="1" customWidth="1"/>
    <col min="7" max="7" width="10.73046875" bestFit="1" customWidth="1"/>
    <col min="8" max="8" width="11.59765625" bestFit="1" customWidth="1"/>
    <col min="9" max="9" width="10" bestFit="1" customWidth="1"/>
    <col min="10" max="10" width="11.1328125" bestFit="1" customWidth="1"/>
    <col min="11" max="11" width="14.59765625" bestFit="1" customWidth="1"/>
    <col min="12" max="12" width="12.1328125" bestFit="1" customWidth="1"/>
    <col min="13" max="13" width="11.1328125" bestFit="1" customWidth="1"/>
    <col min="14" max="14" width="15.1328125" bestFit="1" customWidth="1"/>
    <col min="15" max="15" width="12.59765625" bestFit="1" customWidth="1"/>
  </cols>
  <sheetData>
    <row r="1" spans="1:4">
      <c r="A1" s="2" t="s">
        <v>81</v>
      </c>
      <c r="B1" t="s">
        <v>143</v>
      </c>
    </row>
    <row r="2" spans="1:4">
      <c r="A2" s="2" t="s">
        <v>90</v>
      </c>
      <c r="B2" t="s">
        <v>204</v>
      </c>
    </row>
    <row r="3" spans="1:4">
      <c r="A3" s="2" t="s">
        <v>94</v>
      </c>
      <c r="B3" t="s">
        <v>140</v>
      </c>
    </row>
    <row r="5" spans="1:4">
      <c r="A5" s="2" t="s">
        <v>1123</v>
      </c>
      <c r="B5" s="2" t="s">
        <v>1118</v>
      </c>
    </row>
    <row r="6" spans="1:4">
      <c r="A6" s="2" t="s">
        <v>1112</v>
      </c>
      <c r="B6" t="s">
        <v>179</v>
      </c>
      <c r="C6" t="s">
        <v>144</v>
      </c>
      <c r="D6" t="s">
        <v>1115</v>
      </c>
    </row>
    <row r="7" spans="1:4">
      <c r="A7" s="3" t="s">
        <v>134</v>
      </c>
      <c r="B7">
        <v>3</v>
      </c>
      <c r="C7">
        <v>2</v>
      </c>
      <c r="D7">
        <v>5</v>
      </c>
    </row>
    <row r="8" spans="1:4">
      <c r="A8" s="6" t="s">
        <v>798</v>
      </c>
      <c r="C8">
        <v>1</v>
      </c>
      <c r="D8">
        <v>1</v>
      </c>
    </row>
    <row r="9" spans="1:4">
      <c r="A9" s="6" t="s">
        <v>800</v>
      </c>
      <c r="B9">
        <v>1</v>
      </c>
      <c r="D9">
        <v>1</v>
      </c>
    </row>
    <row r="10" spans="1:4">
      <c r="A10" s="6" t="s">
        <v>792</v>
      </c>
      <c r="B10">
        <v>1</v>
      </c>
      <c r="D10">
        <v>1</v>
      </c>
    </row>
    <row r="11" spans="1:4">
      <c r="A11" s="6" t="s">
        <v>803</v>
      </c>
      <c r="C11">
        <v>1</v>
      </c>
      <c r="D11">
        <v>1</v>
      </c>
    </row>
    <row r="12" spans="1:4">
      <c r="A12" s="6" t="s">
        <v>812</v>
      </c>
      <c r="B12">
        <v>1</v>
      </c>
      <c r="D12">
        <v>1</v>
      </c>
    </row>
    <row r="13" spans="1:4">
      <c r="A13" s="3" t="s">
        <v>218</v>
      </c>
      <c r="B13">
        <v>1</v>
      </c>
      <c r="C13">
        <v>1</v>
      </c>
      <c r="D13">
        <v>2</v>
      </c>
    </row>
    <row r="14" spans="1:4">
      <c r="A14" s="6" t="s">
        <v>813</v>
      </c>
      <c r="C14">
        <v>1</v>
      </c>
      <c r="D14">
        <v>1</v>
      </c>
    </row>
    <row r="15" spans="1:4">
      <c r="A15" s="6" t="s">
        <v>802</v>
      </c>
      <c r="B15">
        <v>1</v>
      </c>
      <c r="D15">
        <v>1</v>
      </c>
    </row>
    <row r="16" spans="1:4">
      <c r="A16" s="3" t="s">
        <v>1115</v>
      </c>
      <c r="B16">
        <v>4</v>
      </c>
      <c r="C16">
        <v>3</v>
      </c>
      <c r="D16">
        <v>7</v>
      </c>
    </row>
    <row r="19" spans="1:4">
      <c r="A19" s="2" t="s">
        <v>81</v>
      </c>
      <c r="B19" t="s">
        <v>143</v>
      </c>
    </row>
    <row r="20" spans="1:4">
      <c r="A20" s="2" t="s">
        <v>90</v>
      </c>
      <c r="B20" t="s">
        <v>204</v>
      </c>
    </row>
    <row r="21" spans="1:4">
      <c r="A21" s="2" t="s">
        <v>94</v>
      </c>
      <c r="B21" t="s">
        <v>329</v>
      </c>
    </row>
    <row r="23" spans="1:4">
      <c r="A23" s="2" t="s">
        <v>1123</v>
      </c>
      <c r="B23" s="2" t="s">
        <v>1118</v>
      </c>
    </row>
    <row r="24" spans="1:4">
      <c r="A24" s="2" t="s">
        <v>1112</v>
      </c>
      <c r="B24" t="s">
        <v>179</v>
      </c>
      <c r="C24" t="s">
        <v>144</v>
      </c>
      <c r="D24" t="s">
        <v>1115</v>
      </c>
    </row>
    <row r="25" spans="1:4">
      <c r="A25" s="3" t="s">
        <v>131</v>
      </c>
      <c r="C25">
        <v>4</v>
      </c>
      <c r="D25">
        <v>4</v>
      </c>
    </row>
    <row r="26" spans="1:4">
      <c r="A26" s="6" t="s">
        <v>431</v>
      </c>
      <c r="C26">
        <v>1</v>
      </c>
      <c r="D26">
        <v>1</v>
      </c>
    </row>
    <row r="27" spans="1:4">
      <c r="A27" s="6" t="s">
        <v>866</v>
      </c>
      <c r="C27">
        <v>1</v>
      </c>
      <c r="D27">
        <v>1</v>
      </c>
    </row>
    <row r="28" spans="1:4">
      <c r="A28" s="6" t="s">
        <v>406</v>
      </c>
      <c r="C28">
        <v>1</v>
      </c>
      <c r="D28">
        <v>1</v>
      </c>
    </row>
    <row r="29" spans="1:4">
      <c r="A29" s="6" t="s">
        <v>437</v>
      </c>
      <c r="C29">
        <v>1</v>
      </c>
      <c r="D29">
        <v>1</v>
      </c>
    </row>
    <row r="30" spans="1:4">
      <c r="A30" s="3" t="s">
        <v>212</v>
      </c>
      <c r="B30">
        <v>1</v>
      </c>
      <c r="C30">
        <v>4</v>
      </c>
      <c r="D30">
        <v>5</v>
      </c>
    </row>
    <row r="31" spans="1:4">
      <c r="A31" s="6" t="s">
        <v>1022</v>
      </c>
      <c r="C31">
        <v>1</v>
      </c>
      <c r="D31">
        <v>1</v>
      </c>
    </row>
    <row r="32" spans="1:4">
      <c r="A32" s="6" t="s">
        <v>881</v>
      </c>
      <c r="C32">
        <v>1</v>
      </c>
      <c r="D32">
        <v>1</v>
      </c>
    </row>
    <row r="33" spans="1:4">
      <c r="A33" s="6" t="s">
        <v>883</v>
      </c>
      <c r="C33">
        <v>1</v>
      </c>
      <c r="D33">
        <v>1</v>
      </c>
    </row>
    <row r="34" spans="1:4">
      <c r="A34" s="6" t="s">
        <v>502</v>
      </c>
      <c r="B34">
        <v>1</v>
      </c>
      <c r="D34">
        <v>1</v>
      </c>
    </row>
    <row r="35" spans="1:4">
      <c r="A35" s="6" t="s">
        <v>1025</v>
      </c>
      <c r="C35">
        <v>1</v>
      </c>
      <c r="D35">
        <v>1</v>
      </c>
    </row>
    <row r="36" spans="1:4">
      <c r="A36" s="3" t="s">
        <v>134</v>
      </c>
      <c r="B36">
        <v>4</v>
      </c>
      <c r="C36">
        <v>2</v>
      </c>
      <c r="D36">
        <v>6</v>
      </c>
    </row>
    <row r="37" spans="1:4">
      <c r="A37" s="6" t="s">
        <v>863</v>
      </c>
      <c r="B37">
        <v>1</v>
      </c>
      <c r="D37">
        <v>1</v>
      </c>
    </row>
    <row r="38" spans="1:4">
      <c r="A38" s="6" t="s">
        <v>888</v>
      </c>
      <c r="B38">
        <v>1</v>
      </c>
      <c r="D38">
        <v>1</v>
      </c>
    </row>
    <row r="39" spans="1:4">
      <c r="A39" s="6" t="s">
        <v>896</v>
      </c>
      <c r="B39">
        <v>1</v>
      </c>
      <c r="D39">
        <v>1</v>
      </c>
    </row>
    <row r="40" spans="1:4">
      <c r="A40" s="6" t="s">
        <v>663</v>
      </c>
      <c r="B40">
        <v>1</v>
      </c>
      <c r="D40">
        <v>1</v>
      </c>
    </row>
    <row r="41" spans="1:4">
      <c r="A41" s="6" t="s">
        <v>906</v>
      </c>
      <c r="C41">
        <v>1</v>
      </c>
      <c r="D41">
        <v>1</v>
      </c>
    </row>
    <row r="42" spans="1:4">
      <c r="A42" s="6" t="s">
        <v>909</v>
      </c>
      <c r="C42">
        <v>1</v>
      </c>
      <c r="D42">
        <v>1</v>
      </c>
    </row>
    <row r="43" spans="1:4">
      <c r="A43" s="3" t="s">
        <v>218</v>
      </c>
      <c r="B43">
        <v>1</v>
      </c>
      <c r="C43">
        <v>2</v>
      </c>
      <c r="D43">
        <v>3</v>
      </c>
    </row>
    <row r="44" spans="1:4">
      <c r="A44" s="6" t="s">
        <v>885</v>
      </c>
      <c r="C44">
        <v>1</v>
      </c>
      <c r="D44">
        <v>1</v>
      </c>
    </row>
    <row r="45" spans="1:4">
      <c r="A45" s="6" t="s">
        <v>887</v>
      </c>
      <c r="B45">
        <v>1</v>
      </c>
      <c r="D45">
        <v>1</v>
      </c>
    </row>
    <row r="46" spans="1:4">
      <c r="A46" s="6" t="s">
        <v>889</v>
      </c>
      <c r="C46">
        <v>1</v>
      </c>
      <c r="D46">
        <v>1</v>
      </c>
    </row>
    <row r="47" spans="1:4">
      <c r="A47" s="3" t="s">
        <v>457</v>
      </c>
      <c r="B47">
        <v>1</v>
      </c>
      <c r="C47">
        <v>6</v>
      </c>
      <c r="D47">
        <v>7</v>
      </c>
    </row>
    <row r="48" spans="1:4">
      <c r="A48" s="6" t="s">
        <v>873</v>
      </c>
      <c r="C48">
        <v>1</v>
      </c>
      <c r="D48">
        <v>1</v>
      </c>
    </row>
    <row r="49" spans="1:4">
      <c r="A49" s="6" t="s">
        <v>878</v>
      </c>
      <c r="C49">
        <v>1</v>
      </c>
      <c r="D49">
        <v>1</v>
      </c>
    </row>
    <row r="50" spans="1:4">
      <c r="A50" s="6" t="s">
        <v>893</v>
      </c>
      <c r="C50">
        <v>1</v>
      </c>
      <c r="D50">
        <v>1</v>
      </c>
    </row>
    <row r="51" spans="1:4">
      <c r="A51" s="6" t="s">
        <v>898</v>
      </c>
      <c r="B51">
        <v>1</v>
      </c>
      <c r="D51">
        <v>1</v>
      </c>
    </row>
    <row r="52" spans="1:4">
      <c r="A52" s="6" t="s">
        <v>899</v>
      </c>
      <c r="C52">
        <v>1</v>
      </c>
      <c r="D52">
        <v>1</v>
      </c>
    </row>
    <row r="53" spans="1:4">
      <c r="A53" s="6" t="s">
        <v>901</v>
      </c>
      <c r="C53">
        <v>1</v>
      </c>
      <c r="D53">
        <v>1</v>
      </c>
    </row>
    <row r="54" spans="1:4">
      <c r="A54" s="6" t="s">
        <v>904</v>
      </c>
      <c r="C54">
        <v>1</v>
      </c>
      <c r="D54">
        <v>1</v>
      </c>
    </row>
    <row r="55" spans="1:4">
      <c r="A55" s="3" t="s">
        <v>1115</v>
      </c>
      <c r="B55">
        <v>7</v>
      </c>
      <c r="C55">
        <v>18</v>
      </c>
      <c r="D55">
        <v>25</v>
      </c>
    </row>
    <row r="58" spans="1:4">
      <c r="A58" s="2" t="s">
        <v>81</v>
      </c>
      <c r="B58" t="s">
        <v>143</v>
      </c>
    </row>
    <row r="59" spans="1:4">
      <c r="A59" s="2" t="s">
        <v>90</v>
      </c>
      <c r="B59" t="s">
        <v>204</v>
      </c>
    </row>
    <row r="60" spans="1:4">
      <c r="A60" s="2" t="s">
        <v>94</v>
      </c>
      <c r="B60" t="s">
        <v>328</v>
      </c>
    </row>
    <row r="62" spans="1:4">
      <c r="A62" s="2" t="s">
        <v>1123</v>
      </c>
      <c r="B62" s="2" t="s">
        <v>1118</v>
      </c>
    </row>
    <row r="63" spans="1:4">
      <c r="A63" s="2" t="s">
        <v>1112</v>
      </c>
      <c r="B63" t="s">
        <v>179</v>
      </c>
      <c r="C63" t="s">
        <v>144</v>
      </c>
      <c r="D63" t="s">
        <v>1115</v>
      </c>
    </row>
    <row r="64" spans="1:4">
      <c r="A64" s="3" t="s">
        <v>131</v>
      </c>
      <c r="C64">
        <v>1</v>
      </c>
      <c r="D64">
        <v>1</v>
      </c>
    </row>
    <row r="65" spans="1:4">
      <c r="A65" s="6" t="s">
        <v>756</v>
      </c>
      <c r="C65">
        <v>1</v>
      </c>
      <c r="D65">
        <v>1</v>
      </c>
    </row>
    <row r="66" spans="1:4">
      <c r="A66" s="3" t="s">
        <v>212</v>
      </c>
      <c r="B66">
        <v>1</v>
      </c>
      <c r="D66">
        <v>1</v>
      </c>
    </row>
    <row r="67" spans="1:4">
      <c r="A67" s="6" t="s">
        <v>502</v>
      </c>
      <c r="B67">
        <v>1</v>
      </c>
      <c r="D67">
        <v>1</v>
      </c>
    </row>
    <row r="68" spans="1:4">
      <c r="A68" s="3" t="s">
        <v>134</v>
      </c>
      <c r="B68">
        <v>3</v>
      </c>
      <c r="C68">
        <v>3</v>
      </c>
      <c r="D68">
        <v>6</v>
      </c>
    </row>
    <row r="69" spans="1:4">
      <c r="A69" s="6" t="s">
        <v>764</v>
      </c>
      <c r="C69">
        <v>1</v>
      </c>
      <c r="D69">
        <v>1</v>
      </c>
    </row>
    <row r="70" spans="1:4">
      <c r="A70" s="6" t="s">
        <v>770</v>
      </c>
      <c r="C70">
        <v>1</v>
      </c>
      <c r="D70">
        <v>1</v>
      </c>
    </row>
    <row r="71" spans="1:4">
      <c r="A71" s="6" t="s">
        <v>773</v>
      </c>
      <c r="B71">
        <v>1</v>
      </c>
      <c r="D71">
        <v>1</v>
      </c>
    </row>
    <row r="72" spans="1:4">
      <c r="A72" s="6" t="s">
        <v>792</v>
      </c>
      <c r="B72">
        <v>1</v>
      </c>
      <c r="D72">
        <v>1</v>
      </c>
    </row>
    <row r="73" spans="1:4">
      <c r="A73" s="6" t="s">
        <v>787</v>
      </c>
      <c r="C73">
        <v>1</v>
      </c>
      <c r="D73">
        <v>1</v>
      </c>
    </row>
    <row r="74" spans="1:4">
      <c r="A74" s="6" t="s">
        <v>200</v>
      </c>
      <c r="B74">
        <v>1</v>
      </c>
      <c r="D74">
        <v>1</v>
      </c>
    </row>
    <row r="75" spans="1:4">
      <c r="A75" s="3" t="s">
        <v>218</v>
      </c>
      <c r="B75">
        <v>1</v>
      </c>
      <c r="C75">
        <v>1</v>
      </c>
      <c r="D75">
        <v>2</v>
      </c>
    </row>
    <row r="76" spans="1:4">
      <c r="A76" s="6" t="s">
        <v>776</v>
      </c>
      <c r="B76">
        <v>1</v>
      </c>
      <c r="D76">
        <v>1</v>
      </c>
    </row>
    <row r="77" spans="1:4">
      <c r="A77" s="6" t="s">
        <v>784</v>
      </c>
      <c r="C77">
        <v>1</v>
      </c>
      <c r="D77">
        <v>1</v>
      </c>
    </row>
    <row r="78" spans="1:4">
      <c r="A78" s="3" t="s">
        <v>1115</v>
      </c>
      <c r="B78">
        <v>5</v>
      </c>
      <c r="C78">
        <v>5</v>
      </c>
      <c r="D78">
        <v>10</v>
      </c>
    </row>
    <row r="81" spans="1:4">
      <c r="A81" s="2" t="s">
        <v>81</v>
      </c>
      <c r="B81" t="s">
        <v>143</v>
      </c>
    </row>
    <row r="82" spans="1:4">
      <c r="A82" s="2" t="s">
        <v>90</v>
      </c>
      <c r="B82" t="s">
        <v>204</v>
      </c>
    </row>
    <row r="83" spans="1:4">
      <c r="A83" s="2" t="s">
        <v>94</v>
      </c>
      <c r="B83" t="s">
        <v>330</v>
      </c>
    </row>
    <row r="85" spans="1:4">
      <c r="A85" s="2" t="s">
        <v>1123</v>
      </c>
      <c r="B85" s="2" t="s">
        <v>1118</v>
      </c>
    </row>
    <row r="86" spans="1:4">
      <c r="A86" s="2" t="s">
        <v>1112</v>
      </c>
      <c r="B86" t="s">
        <v>179</v>
      </c>
      <c r="C86" t="s">
        <v>144</v>
      </c>
      <c r="D86" t="s">
        <v>1115</v>
      </c>
    </row>
    <row r="87" spans="1:4">
      <c r="A87" s="3" t="s">
        <v>131</v>
      </c>
      <c r="B87">
        <v>1</v>
      </c>
      <c r="C87">
        <v>1</v>
      </c>
      <c r="D87">
        <v>2</v>
      </c>
    </row>
    <row r="88" spans="1:4">
      <c r="A88" s="6" t="s">
        <v>334</v>
      </c>
      <c r="B88">
        <v>1</v>
      </c>
      <c r="D88">
        <v>1</v>
      </c>
    </row>
    <row r="89" spans="1:4">
      <c r="A89" s="6" t="s">
        <v>515</v>
      </c>
      <c r="C89">
        <v>1</v>
      </c>
      <c r="D89">
        <v>1</v>
      </c>
    </row>
    <row r="90" spans="1:4">
      <c r="A90" s="3" t="s">
        <v>212</v>
      </c>
      <c r="C90">
        <v>1</v>
      </c>
      <c r="D90">
        <v>1</v>
      </c>
    </row>
    <row r="91" spans="1:4">
      <c r="A91" s="6" t="s">
        <v>831</v>
      </c>
      <c r="C91">
        <v>1</v>
      </c>
      <c r="D91">
        <v>1</v>
      </c>
    </row>
    <row r="92" spans="1:4">
      <c r="A92" s="3" t="s">
        <v>134</v>
      </c>
      <c r="B92">
        <v>4</v>
      </c>
      <c r="C92">
        <v>3</v>
      </c>
      <c r="D92">
        <v>7</v>
      </c>
    </row>
    <row r="93" spans="1:4">
      <c r="A93" s="6" t="s">
        <v>1018</v>
      </c>
      <c r="C93">
        <v>1</v>
      </c>
      <c r="D93">
        <v>1</v>
      </c>
    </row>
    <row r="94" spans="1:4">
      <c r="A94" s="6" t="s">
        <v>980</v>
      </c>
      <c r="B94">
        <v>1</v>
      </c>
      <c r="D94">
        <v>1</v>
      </c>
    </row>
    <row r="95" spans="1:4">
      <c r="A95" s="6" t="s">
        <v>981</v>
      </c>
      <c r="B95">
        <v>1</v>
      </c>
      <c r="D95">
        <v>1</v>
      </c>
    </row>
    <row r="96" spans="1:4">
      <c r="A96" s="6" t="s">
        <v>792</v>
      </c>
      <c r="B96">
        <v>1</v>
      </c>
      <c r="D96">
        <v>1</v>
      </c>
    </row>
    <row r="97" spans="1:4">
      <c r="A97" s="6" t="s">
        <v>984</v>
      </c>
      <c r="C97">
        <v>1</v>
      </c>
      <c r="D97">
        <v>1</v>
      </c>
    </row>
    <row r="98" spans="1:4">
      <c r="A98" s="6" t="s">
        <v>989</v>
      </c>
      <c r="B98">
        <v>1</v>
      </c>
      <c r="D98">
        <v>1</v>
      </c>
    </row>
    <row r="99" spans="1:4">
      <c r="A99" s="6" t="s">
        <v>998</v>
      </c>
      <c r="C99">
        <v>1</v>
      </c>
      <c r="D99">
        <v>1</v>
      </c>
    </row>
    <row r="100" spans="1:4">
      <c r="A100" s="3" t="s">
        <v>218</v>
      </c>
      <c r="B100">
        <v>1</v>
      </c>
      <c r="C100">
        <v>2</v>
      </c>
      <c r="D100">
        <v>3</v>
      </c>
    </row>
    <row r="101" spans="1:4">
      <c r="A101" s="6" t="s">
        <v>983</v>
      </c>
      <c r="B101">
        <v>1</v>
      </c>
      <c r="D101">
        <v>1</v>
      </c>
    </row>
    <row r="102" spans="1:4">
      <c r="A102" s="6" t="s">
        <v>987</v>
      </c>
      <c r="C102">
        <v>1</v>
      </c>
      <c r="D102">
        <v>1</v>
      </c>
    </row>
    <row r="103" spans="1:4">
      <c r="A103" s="6" t="s">
        <v>996</v>
      </c>
      <c r="C103">
        <v>1</v>
      </c>
      <c r="D103">
        <v>1</v>
      </c>
    </row>
    <row r="104" spans="1:4">
      <c r="A104" s="3" t="s">
        <v>457</v>
      </c>
      <c r="B104">
        <v>1</v>
      </c>
      <c r="C104">
        <v>5</v>
      </c>
      <c r="D104">
        <v>6</v>
      </c>
    </row>
    <row r="105" spans="1:4">
      <c r="A105" s="6" t="s">
        <v>962</v>
      </c>
      <c r="C105">
        <v>1</v>
      </c>
      <c r="D105">
        <v>1</v>
      </c>
    </row>
    <row r="106" spans="1:4">
      <c r="A106" s="6" t="s">
        <v>964</v>
      </c>
      <c r="C106">
        <v>1</v>
      </c>
      <c r="D106">
        <v>1</v>
      </c>
    </row>
    <row r="107" spans="1:4">
      <c r="A107" s="6" t="s">
        <v>967</v>
      </c>
      <c r="C107">
        <v>1</v>
      </c>
      <c r="D107">
        <v>1</v>
      </c>
    </row>
    <row r="108" spans="1:4">
      <c r="A108" s="6" t="s">
        <v>971</v>
      </c>
      <c r="C108">
        <v>1</v>
      </c>
      <c r="D108">
        <v>1</v>
      </c>
    </row>
    <row r="109" spans="1:4">
      <c r="A109" s="6" t="s">
        <v>973</v>
      </c>
      <c r="B109">
        <v>1</v>
      </c>
      <c r="D109">
        <v>1</v>
      </c>
    </row>
    <row r="110" spans="1:4">
      <c r="A110" s="6" t="s">
        <v>976</v>
      </c>
      <c r="C110">
        <v>1</v>
      </c>
      <c r="D110">
        <v>1</v>
      </c>
    </row>
    <row r="111" spans="1:4">
      <c r="A111" s="3" t="s">
        <v>1115</v>
      </c>
      <c r="B111">
        <v>7</v>
      </c>
      <c r="C111">
        <v>12</v>
      </c>
      <c r="D111">
        <v>19</v>
      </c>
    </row>
    <row r="114" spans="1:4">
      <c r="A114" s="2" t="s">
        <v>81</v>
      </c>
      <c r="B114" t="s">
        <v>143</v>
      </c>
    </row>
    <row r="115" spans="1:4">
      <c r="A115" s="2" t="s">
        <v>90</v>
      </c>
      <c r="B115" t="s">
        <v>204</v>
      </c>
    </row>
    <row r="116" spans="1:4">
      <c r="A116" s="2" t="s">
        <v>94</v>
      </c>
      <c r="B116" t="s">
        <v>945</v>
      </c>
    </row>
    <row r="118" spans="1:4">
      <c r="A118" s="2" t="s">
        <v>1123</v>
      </c>
      <c r="B118" s="2" t="s">
        <v>1118</v>
      </c>
    </row>
    <row r="119" spans="1:4">
      <c r="A119" s="2" t="s">
        <v>1112</v>
      </c>
      <c r="B119" t="s">
        <v>179</v>
      </c>
      <c r="C119" t="s">
        <v>144</v>
      </c>
      <c r="D119" t="s">
        <v>1115</v>
      </c>
    </row>
    <row r="120" spans="1:4">
      <c r="A120" s="3" t="s">
        <v>134</v>
      </c>
      <c r="C120">
        <v>4</v>
      </c>
      <c r="D120">
        <v>4</v>
      </c>
    </row>
    <row r="121" spans="1:4">
      <c r="A121" s="6" t="s">
        <v>950</v>
      </c>
      <c r="C121">
        <v>1</v>
      </c>
      <c r="D121">
        <v>1</v>
      </c>
    </row>
    <row r="122" spans="1:4">
      <c r="A122" s="6" t="s">
        <v>952</v>
      </c>
      <c r="C122">
        <v>1</v>
      </c>
      <c r="D122">
        <v>1</v>
      </c>
    </row>
    <row r="123" spans="1:4">
      <c r="A123" s="6" t="s">
        <v>954</v>
      </c>
      <c r="C123">
        <v>1</v>
      </c>
      <c r="D123">
        <v>1</v>
      </c>
    </row>
    <row r="124" spans="1:4">
      <c r="A124" s="6" t="s">
        <v>960</v>
      </c>
      <c r="C124">
        <v>1</v>
      </c>
      <c r="D124">
        <v>1</v>
      </c>
    </row>
    <row r="125" spans="1:4">
      <c r="A125" s="3" t="s">
        <v>218</v>
      </c>
      <c r="B125">
        <v>1</v>
      </c>
      <c r="C125">
        <v>2</v>
      </c>
      <c r="D125">
        <v>3</v>
      </c>
    </row>
    <row r="126" spans="1:4">
      <c r="A126" s="6" t="s">
        <v>943</v>
      </c>
      <c r="C126">
        <v>1</v>
      </c>
      <c r="D126">
        <v>1</v>
      </c>
    </row>
    <row r="127" spans="1:4">
      <c r="A127" s="6" t="s">
        <v>949</v>
      </c>
      <c r="B127">
        <v>1</v>
      </c>
      <c r="D127">
        <v>1</v>
      </c>
    </row>
    <row r="128" spans="1:4">
      <c r="A128" s="6" t="s">
        <v>958</v>
      </c>
      <c r="C128">
        <v>1</v>
      </c>
      <c r="D128">
        <v>1</v>
      </c>
    </row>
    <row r="129" spans="1:4">
      <c r="A129" s="3" t="s">
        <v>1115</v>
      </c>
      <c r="B129">
        <v>1</v>
      </c>
      <c r="C129">
        <v>6</v>
      </c>
      <c r="D129">
        <v>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449576-5FCC-4793-A636-D938A57D3EAB}">
  <sheetPr>
    <tabColor rgb="FF00B050"/>
  </sheetPr>
  <dimension ref="B2:L84"/>
  <sheetViews>
    <sheetView topLeftCell="A28" zoomScale="85" zoomScaleNormal="85" workbookViewId="0">
      <selection activeCell="C59" sqref="C59"/>
    </sheetView>
  </sheetViews>
  <sheetFormatPr baseColWidth="10" defaultColWidth="11.3984375" defaultRowHeight="14.25"/>
  <cols>
    <col min="1" max="1" width="4.86328125" customWidth="1"/>
    <col min="2" max="2" width="17.86328125" bestFit="1" customWidth="1"/>
    <col min="3" max="3" width="21.1328125" style="4" bestFit="1" customWidth="1"/>
    <col min="4" max="4" width="14.3984375" style="4" bestFit="1" customWidth="1"/>
    <col min="5" max="5" width="10.265625" style="4" bestFit="1" customWidth="1"/>
    <col min="6" max="6" width="12.59765625" style="4" bestFit="1" customWidth="1"/>
    <col min="7" max="7" width="11.1328125" bestFit="1" customWidth="1"/>
    <col min="8" max="8" width="12.59765625" bestFit="1" customWidth="1"/>
    <col min="9" max="9" width="22.86328125" bestFit="1" customWidth="1"/>
    <col min="10" max="11" width="8.3984375" bestFit="1" customWidth="1"/>
    <col min="12" max="12" width="12.59765625" bestFit="1" customWidth="1"/>
    <col min="13" max="13" width="7.86328125" bestFit="1" customWidth="1"/>
    <col min="14" max="14" width="9" bestFit="1" customWidth="1"/>
    <col min="15" max="15" width="13" bestFit="1" customWidth="1"/>
    <col min="16" max="16" width="10.3984375" bestFit="1" customWidth="1"/>
    <col min="17" max="17" width="16.1328125" bestFit="1" customWidth="1"/>
    <col min="18" max="18" width="12.59765625" bestFit="1" customWidth="1"/>
    <col min="19" max="19" width="16.1328125" bestFit="1" customWidth="1"/>
    <col min="20" max="20" width="12.59765625" bestFit="1" customWidth="1"/>
  </cols>
  <sheetData>
    <row r="2" spans="2:8">
      <c r="B2" s="2" t="s">
        <v>84</v>
      </c>
      <c r="C2" s="4" t="s">
        <v>1117</v>
      </c>
    </row>
    <row r="4" spans="2:8">
      <c r="C4" s="419" t="s">
        <v>1118</v>
      </c>
      <c r="G4" s="4"/>
      <c r="H4" s="4"/>
    </row>
    <row r="5" spans="2:8">
      <c r="B5" s="2" t="s">
        <v>1112</v>
      </c>
      <c r="C5" t="s">
        <v>152</v>
      </c>
      <c r="D5" t="s">
        <v>145</v>
      </c>
      <c r="E5" t="s">
        <v>221</v>
      </c>
      <c r="F5" t="s">
        <v>320</v>
      </c>
      <c r="G5" t="s">
        <v>24</v>
      </c>
      <c r="H5" s="28" t="s">
        <v>1115</v>
      </c>
    </row>
    <row r="6" spans="2:8">
      <c r="B6" s="452" t="s">
        <v>146</v>
      </c>
      <c r="C6" s="28"/>
      <c r="D6" s="28"/>
      <c r="E6" s="28"/>
      <c r="F6" s="28"/>
      <c r="G6" s="28"/>
      <c r="H6" s="28"/>
    </row>
    <row r="7" spans="2:8">
      <c r="B7" s="3" t="s">
        <v>24</v>
      </c>
      <c r="C7" s="28"/>
      <c r="D7" s="28"/>
      <c r="E7" s="28"/>
      <c r="F7" s="28"/>
      <c r="G7" s="28"/>
      <c r="H7" s="28"/>
    </row>
    <row r="8" spans="2:8">
      <c r="B8" s="3" t="s">
        <v>136</v>
      </c>
      <c r="C8" s="28"/>
      <c r="D8" s="28"/>
      <c r="E8" s="28"/>
      <c r="F8" s="28"/>
      <c r="G8" s="28"/>
      <c r="H8" s="28"/>
    </row>
    <row r="9" spans="2:8">
      <c r="B9" s="3" t="s">
        <v>210</v>
      </c>
      <c r="C9" s="28"/>
      <c r="D9" s="28"/>
      <c r="E9" s="28"/>
      <c r="F9" s="28"/>
      <c r="G9" s="28"/>
      <c r="H9" s="28"/>
    </row>
    <row r="10" spans="2:8">
      <c r="B10" s="3" t="s">
        <v>1115</v>
      </c>
      <c r="C10" s="28"/>
      <c r="D10" s="28"/>
      <c r="E10" s="28"/>
      <c r="F10" s="28"/>
      <c r="G10" s="28"/>
      <c r="H10" s="28"/>
    </row>
    <row r="11" spans="2:8">
      <c r="C11"/>
      <c r="D11"/>
      <c r="E11"/>
      <c r="F11"/>
    </row>
    <row r="12" spans="2:8">
      <c r="C12"/>
      <c r="D12"/>
      <c r="E12"/>
      <c r="F12"/>
    </row>
    <row r="13" spans="2:8">
      <c r="B13" s="2" t="s">
        <v>83</v>
      </c>
      <c r="C13" t="s">
        <v>82</v>
      </c>
    </row>
    <row r="14" spans="2:8">
      <c r="B14" s="2" t="s">
        <v>84</v>
      </c>
      <c r="C14" t="s">
        <v>457</v>
      </c>
    </row>
    <row r="15" spans="2:8">
      <c r="B15" s="2" t="s">
        <v>99</v>
      </c>
      <c r="C15" t="s">
        <v>82</v>
      </c>
    </row>
    <row r="17" spans="2:7">
      <c r="B17" s="2" t="s">
        <v>1128</v>
      </c>
      <c r="C17" s="419" t="s">
        <v>1118</v>
      </c>
    </row>
    <row r="18" spans="2:7">
      <c r="B18" s="2" t="s">
        <v>1112</v>
      </c>
      <c r="C18" s="4" t="s">
        <v>206</v>
      </c>
      <c r="D18" s="4" t="s">
        <v>329</v>
      </c>
      <c r="E18" s="4" t="s">
        <v>330</v>
      </c>
      <c r="F18" s="4" t="s">
        <v>1115</v>
      </c>
    </row>
    <row r="19" spans="2:7">
      <c r="B19" s="3" t="s">
        <v>4</v>
      </c>
      <c r="C19" s="333">
        <v>98320</v>
      </c>
      <c r="D19" s="333"/>
      <c r="E19" s="333"/>
      <c r="F19" s="333">
        <v>98320</v>
      </c>
    </row>
    <row r="20" spans="2:7">
      <c r="B20" s="6" t="s">
        <v>17</v>
      </c>
      <c r="C20" s="333">
        <v>28920</v>
      </c>
      <c r="D20" s="333"/>
      <c r="E20" s="333"/>
      <c r="F20" s="333">
        <v>28920</v>
      </c>
    </row>
    <row r="21" spans="2:7">
      <c r="B21" s="6" t="s">
        <v>19</v>
      </c>
      <c r="C21" s="333">
        <v>27280</v>
      </c>
      <c r="D21" s="333"/>
      <c r="E21" s="333"/>
      <c r="F21" s="333">
        <v>27280</v>
      </c>
      <c r="G21" t="s">
        <v>1129</v>
      </c>
    </row>
    <row r="22" spans="2:7">
      <c r="B22" s="6" t="s">
        <v>37</v>
      </c>
      <c r="C22" s="333">
        <v>10800</v>
      </c>
      <c r="D22" s="333"/>
      <c r="E22" s="333"/>
      <c r="F22" s="333">
        <v>10800</v>
      </c>
      <c r="G22" t="s">
        <v>1129</v>
      </c>
    </row>
    <row r="23" spans="2:7">
      <c r="B23" s="6" t="s">
        <v>7</v>
      </c>
      <c r="C23" s="333">
        <v>8890</v>
      </c>
      <c r="D23" s="333"/>
      <c r="E23" s="333"/>
      <c r="F23" s="333">
        <v>8890</v>
      </c>
      <c r="G23" t="s">
        <v>1129</v>
      </c>
    </row>
    <row r="24" spans="2:7">
      <c r="B24" s="6" t="s">
        <v>35</v>
      </c>
      <c r="C24" s="333">
        <v>8640</v>
      </c>
      <c r="D24" s="333"/>
      <c r="E24" s="333"/>
      <c r="F24" s="333">
        <v>8640</v>
      </c>
      <c r="G24" t="s">
        <v>1129</v>
      </c>
    </row>
    <row r="25" spans="2:7">
      <c r="B25" s="6" t="s">
        <v>40</v>
      </c>
      <c r="C25" s="333">
        <v>5040</v>
      </c>
      <c r="D25" s="333"/>
      <c r="E25" s="333"/>
      <c r="F25" s="333">
        <v>5040</v>
      </c>
    </row>
    <row r="26" spans="2:7">
      <c r="B26" s="6" t="s">
        <v>25</v>
      </c>
      <c r="C26" s="333">
        <v>4800</v>
      </c>
      <c r="D26" s="333"/>
      <c r="E26" s="333"/>
      <c r="F26" s="333">
        <v>4800</v>
      </c>
    </row>
    <row r="27" spans="2:7">
      <c r="B27" s="6" t="s">
        <v>28</v>
      </c>
      <c r="C27" s="333">
        <v>3950</v>
      </c>
      <c r="D27" s="333"/>
      <c r="E27" s="333"/>
      <c r="F27" s="333">
        <v>3950</v>
      </c>
    </row>
    <row r="28" spans="2:7">
      <c r="B28" s="3" t="s">
        <v>72</v>
      </c>
      <c r="C28" s="333">
        <v>17240</v>
      </c>
      <c r="D28" s="333"/>
      <c r="E28" s="333"/>
      <c r="F28" s="333">
        <v>17240</v>
      </c>
    </row>
    <row r="29" spans="2:7">
      <c r="B29" s="6" t="s">
        <v>40</v>
      </c>
      <c r="C29" s="333">
        <v>8640</v>
      </c>
      <c r="D29" s="333"/>
      <c r="E29" s="333"/>
      <c r="F29" s="333">
        <v>8640</v>
      </c>
    </row>
    <row r="30" spans="2:7">
      <c r="B30" s="6" t="s">
        <v>17</v>
      </c>
      <c r="C30" s="333">
        <v>8600</v>
      </c>
      <c r="D30" s="333"/>
      <c r="E30" s="333"/>
      <c r="F30" s="333">
        <v>8600</v>
      </c>
    </row>
    <row r="31" spans="2:7">
      <c r="B31" s="3" t="s">
        <v>53</v>
      </c>
      <c r="C31" s="333">
        <v>70000</v>
      </c>
      <c r="D31" s="333"/>
      <c r="E31" s="333"/>
      <c r="F31" s="333">
        <v>70000</v>
      </c>
    </row>
    <row r="32" spans="2:7">
      <c r="B32" s="6" t="s">
        <v>59</v>
      </c>
      <c r="C32" s="333">
        <v>70000</v>
      </c>
      <c r="D32" s="333"/>
      <c r="E32" s="333"/>
      <c r="F32" s="333">
        <v>70000</v>
      </c>
    </row>
    <row r="33" spans="2:12">
      <c r="B33" s="3" t="s">
        <v>137</v>
      </c>
      <c r="C33" s="333"/>
      <c r="D33" s="333">
        <v>51600</v>
      </c>
      <c r="E33" s="333"/>
      <c r="F33" s="333">
        <v>51600</v>
      </c>
    </row>
    <row r="34" spans="2:12">
      <c r="B34" s="6" t="s">
        <v>665</v>
      </c>
      <c r="C34" s="333"/>
      <c r="D34" s="333">
        <v>51600</v>
      </c>
      <c r="E34" s="333"/>
      <c r="F34" s="333">
        <v>51600</v>
      </c>
    </row>
    <row r="35" spans="2:12">
      <c r="B35" s="3" t="s">
        <v>139</v>
      </c>
      <c r="C35" s="333"/>
      <c r="D35" s="333"/>
      <c r="E35" s="333">
        <v>5680</v>
      </c>
      <c r="F35" s="333">
        <v>5680</v>
      </c>
    </row>
    <row r="36" spans="2:12">
      <c r="B36" s="6" t="s">
        <v>835</v>
      </c>
      <c r="C36" s="333"/>
      <c r="D36" s="333"/>
      <c r="E36" s="333">
        <v>5680</v>
      </c>
      <c r="F36" s="333">
        <v>5680</v>
      </c>
    </row>
    <row r="37" spans="2:12">
      <c r="B37" s="3" t="s">
        <v>1115</v>
      </c>
      <c r="C37" s="333">
        <v>185560</v>
      </c>
      <c r="D37" s="333">
        <v>51600</v>
      </c>
      <c r="E37" s="333">
        <v>5680</v>
      </c>
      <c r="F37" s="333">
        <v>242840</v>
      </c>
    </row>
    <row r="38" spans="2:12">
      <c r="C38"/>
      <c r="D38"/>
      <c r="E38"/>
      <c r="F38"/>
    </row>
    <row r="39" spans="2:12">
      <c r="C39"/>
      <c r="D39"/>
      <c r="E39"/>
      <c r="F39"/>
    </row>
    <row r="40" spans="2:12">
      <c r="C40"/>
      <c r="D40"/>
      <c r="E40"/>
      <c r="F40"/>
      <c r="H40" s="2" t="s">
        <v>84</v>
      </c>
      <c r="I40" t="s">
        <v>457</v>
      </c>
    </row>
    <row r="41" spans="2:12">
      <c r="B41" s="2" t="s">
        <v>84</v>
      </c>
      <c r="C41" t="s">
        <v>457</v>
      </c>
      <c r="D41"/>
      <c r="E41"/>
      <c r="F41"/>
      <c r="H41" s="2" t="s">
        <v>94</v>
      </c>
      <c r="I41" t="s">
        <v>1117</v>
      </c>
    </row>
    <row r="42" spans="2:12">
      <c r="B42" s="2" t="s">
        <v>94</v>
      </c>
      <c r="C42" t="s">
        <v>1117</v>
      </c>
      <c r="D42"/>
      <c r="E42"/>
      <c r="F42"/>
      <c r="H42" s="2" t="s">
        <v>83</v>
      </c>
      <c r="I42" t="s">
        <v>1117</v>
      </c>
    </row>
    <row r="43" spans="2:12">
      <c r="B43" s="2" t="s">
        <v>83</v>
      </c>
      <c r="C43" t="s">
        <v>1117</v>
      </c>
      <c r="D43"/>
      <c r="E43"/>
      <c r="F43"/>
      <c r="H43" s="2" t="s">
        <v>81</v>
      </c>
      <c r="I43" t="s">
        <v>1117</v>
      </c>
    </row>
    <row r="44" spans="2:12">
      <c r="B44" s="2" t="s">
        <v>81</v>
      </c>
      <c r="C44" t="s">
        <v>208</v>
      </c>
      <c r="D44"/>
      <c r="E44"/>
      <c r="F44"/>
    </row>
    <row r="45" spans="2:12">
      <c r="C45"/>
      <c r="D45"/>
      <c r="E45"/>
      <c r="F45"/>
      <c r="I45" s="2" t="s">
        <v>1118</v>
      </c>
    </row>
    <row r="46" spans="2:12">
      <c r="B46" s="2" t="s">
        <v>1112</v>
      </c>
      <c r="C46" t="s">
        <v>1128</v>
      </c>
      <c r="D46" t="s">
        <v>1130</v>
      </c>
      <c r="E46"/>
      <c r="F46"/>
      <c r="I46" t="s">
        <v>145</v>
      </c>
      <c r="J46" t="s">
        <v>221</v>
      </c>
      <c r="K46" t="s">
        <v>320</v>
      </c>
      <c r="L46" t="s">
        <v>1115</v>
      </c>
    </row>
    <row r="47" spans="2:12">
      <c r="B47" s="3" t="s">
        <v>4</v>
      </c>
      <c r="C47" s="127">
        <v>54880</v>
      </c>
      <c r="D47" s="29">
        <v>0.76095396561286743</v>
      </c>
      <c r="E47"/>
      <c r="F47"/>
      <c r="H47" t="s">
        <v>1113</v>
      </c>
      <c r="I47" s="127">
        <v>33400</v>
      </c>
      <c r="J47" s="127">
        <v>90280</v>
      </c>
      <c r="K47" s="127">
        <v>18440</v>
      </c>
      <c r="L47" s="28">
        <v>142120</v>
      </c>
    </row>
    <row r="48" spans="2:12">
      <c r="B48" s="3" t="s">
        <v>72</v>
      </c>
      <c r="C48" s="127">
        <v>17240</v>
      </c>
      <c r="D48" s="29">
        <v>0.23904603438713257</v>
      </c>
      <c r="E48"/>
      <c r="F48"/>
    </row>
    <row r="49" spans="2:12">
      <c r="B49" s="3" t="s">
        <v>1115</v>
      </c>
      <c r="C49" s="127">
        <v>72120</v>
      </c>
      <c r="D49" s="29">
        <v>1</v>
      </c>
      <c r="E49"/>
      <c r="F49"/>
      <c r="H49" s="2" t="s">
        <v>84</v>
      </c>
      <c r="I49" t="s">
        <v>457</v>
      </c>
    </row>
    <row r="50" spans="2:12">
      <c r="C50"/>
      <c r="D50"/>
      <c r="E50"/>
      <c r="F50"/>
      <c r="H50" s="2" t="s">
        <v>94</v>
      </c>
      <c r="I50" t="s">
        <v>1117</v>
      </c>
    </row>
    <row r="51" spans="2:12">
      <c r="C51"/>
      <c r="D51"/>
      <c r="E51"/>
      <c r="F51"/>
      <c r="H51" s="2" t="s">
        <v>83</v>
      </c>
      <c r="I51" t="s">
        <v>1117</v>
      </c>
    </row>
    <row r="52" spans="2:12">
      <c r="C52"/>
      <c r="D52"/>
      <c r="E52"/>
      <c r="F52"/>
      <c r="H52" s="2" t="s">
        <v>81</v>
      </c>
      <c r="I52" t="s">
        <v>1117</v>
      </c>
    </row>
    <row r="53" spans="2:12">
      <c r="C53"/>
      <c r="D53"/>
      <c r="E53"/>
      <c r="F53"/>
    </row>
    <row r="54" spans="2:12">
      <c r="C54"/>
      <c r="D54"/>
      <c r="E54"/>
      <c r="F54"/>
      <c r="I54" s="2" t="s">
        <v>1118</v>
      </c>
    </row>
    <row r="55" spans="2:12">
      <c r="C55"/>
      <c r="D55"/>
      <c r="E55"/>
      <c r="F55"/>
      <c r="I55" t="s">
        <v>145</v>
      </c>
      <c r="J55" t="s">
        <v>221</v>
      </c>
      <c r="K55" t="s">
        <v>320</v>
      </c>
      <c r="L55" t="s">
        <v>1115</v>
      </c>
    </row>
    <row r="56" spans="2:12">
      <c r="C56"/>
      <c r="D56"/>
      <c r="E56"/>
      <c r="F56"/>
      <c r="H56" t="s">
        <v>1131</v>
      </c>
      <c r="I56" s="483">
        <v>6</v>
      </c>
      <c r="J56" s="483">
        <v>4</v>
      </c>
      <c r="K56" s="483">
        <v>3</v>
      </c>
      <c r="L56" s="28">
        <v>13</v>
      </c>
    </row>
    <row r="57" spans="2:12">
      <c r="C57"/>
      <c r="D57"/>
      <c r="E57"/>
      <c r="F57"/>
    </row>
    <row r="58" spans="2:12">
      <c r="C58"/>
      <c r="D58"/>
      <c r="E58"/>
      <c r="F58"/>
    </row>
    <row r="59" spans="2:12">
      <c r="C59"/>
      <c r="D59"/>
      <c r="E59"/>
      <c r="F59"/>
    </row>
    <row r="60" spans="2:12">
      <c r="C60"/>
      <c r="D60"/>
      <c r="E60"/>
      <c r="F60"/>
    </row>
    <row r="61" spans="2:12">
      <c r="C61"/>
      <c r="D61"/>
      <c r="E61"/>
      <c r="F61"/>
    </row>
    <row r="62" spans="2:12">
      <c r="C62"/>
      <c r="D62"/>
      <c r="E62"/>
      <c r="F62"/>
    </row>
    <row r="63" spans="2:12">
      <c r="C63"/>
      <c r="D63"/>
      <c r="E63"/>
      <c r="F63"/>
    </row>
    <row r="64" spans="2:12">
      <c r="C64"/>
      <c r="D64"/>
      <c r="E64"/>
      <c r="F64"/>
    </row>
    <row r="65" spans="2:4" customFormat="1"/>
    <row r="66" spans="2:4" customFormat="1"/>
    <row r="67" spans="2:4" customFormat="1"/>
    <row r="68" spans="2:4" customFormat="1"/>
    <row r="69" spans="2:4">
      <c r="C69"/>
      <c r="D69"/>
    </row>
    <row r="70" spans="2:4">
      <c r="C70"/>
      <c r="D70"/>
    </row>
    <row r="71" spans="2:4">
      <c r="C71"/>
      <c r="D71"/>
    </row>
    <row r="72" spans="2:4">
      <c r="C72"/>
      <c r="D72"/>
    </row>
    <row r="73" spans="2:4">
      <c r="C73"/>
      <c r="D73"/>
    </row>
    <row r="74" spans="2:4">
      <c r="C74"/>
      <c r="D74"/>
    </row>
    <row r="75" spans="2:4">
      <c r="B75" s="2" t="s">
        <v>84</v>
      </c>
      <c r="C75" t="s">
        <v>457</v>
      </c>
      <c r="D75"/>
    </row>
    <row r="76" spans="2:4">
      <c r="B76" s="2" t="s">
        <v>94</v>
      </c>
      <c r="C76" t="s">
        <v>1117</v>
      </c>
      <c r="D76"/>
    </row>
    <row r="77" spans="2:4">
      <c r="B77" s="2" t="s">
        <v>83</v>
      </c>
      <c r="C77" t="s">
        <v>1117</v>
      </c>
      <c r="D77"/>
    </row>
    <row r="78" spans="2:4">
      <c r="B78" s="2" t="s">
        <v>81</v>
      </c>
      <c r="C78" t="s">
        <v>143</v>
      </c>
      <c r="D78"/>
    </row>
    <row r="79" spans="2:4">
      <c r="C79"/>
      <c r="D79"/>
    </row>
    <row r="80" spans="2:4">
      <c r="B80" s="2" t="s">
        <v>1112</v>
      </c>
      <c r="C80" t="s">
        <v>1128</v>
      </c>
      <c r="D80" t="s">
        <v>1130</v>
      </c>
    </row>
    <row r="81" spans="2:4">
      <c r="B81" s="3" t="s">
        <v>53</v>
      </c>
      <c r="C81" s="127">
        <v>70000</v>
      </c>
      <c r="D81" s="29">
        <v>1</v>
      </c>
    </row>
    <row r="82" spans="2:4">
      <c r="B82" s="6" t="s">
        <v>59</v>
      </c>
      <c r="C82" s="127">
        <v>70000</v>
      </c>
      <c r="D82" s="29">
        <v>1</v>
      </c>
    </row>
    <row r="83" spans="2:4">
      <c r="B83" s="3" t="s">
        <v>1115</v>
      </c>
      <c r="C83" s="127">
        <v>70000</v>
      </c>
      <c r="D83" s="29">
        <v>1</v>
      </c>
    </row>
    <row r="84" spans="2:4">
      <c r="C84"/>
      <c r="D84"/>
    </row>
  </sheetData>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238695-42B9-468B-A2F6-D6EC81851661}">
  <dimension ref="A1:F27"/>
  <sheetViews>
    <sheetView zoomScaleNormal="100" workbookViewId="0">
      <selection activeCell="H7" sqref="H7"/>
    </sheetView>
  </sheetViews>
  <sheetFormatPr baseColWidth="10" defaultColWidth="11.3984375" defaultRowHeight="14.25"/>
  <cols>
    <col min="1" max="1" width="74.1328125" bestFit="1" customWidth="1"/>
    <col min="2" max="2" width="22.86328125" bestFit="1" customWidth="1"/>
    <col min="3" max="3" width="5.86328125" bestFit="1" customWidth="1"/>
    <col min="4" max="4" width="9.73046875" bestFit="1" customWidth="1"/>
    <col min="5" max="5" width="10.265625" bestFit="1" customWidth="1"/>
    <col min="6" max="6" width="12.59765625" bestFit="1" customWidth="1"/>
  </cols>
  <sheetData>
    <row r="1" spans="1:6">
      <c r="A1" s="2" t="s">
        <v>97</v>
      </c>
      <c r="B1" t="s">
        <v>1117</v>
      </c>
    </row>
    <row r="2" spans="1:6">
      <c r="A2" s="2" t="s">
        <v>84</v>
      </c>
      <c r="B2" t="s">
        <v>134</v>
      </c>
    </row>
    <row r="4" spans="1:6">
      <c r="A4" s="2" t="s">
        <v>1123</v>
      </c>
      <c r="B4" s="2" t="s">
        <v>1118</v>
      </c>
    </row>
    <row r="5" spans="1:6">
      <c r="A5" s="2" t="s">
        <v>1112</v>
      </c>
      <c r="B5" t="s">
        <v>140</v>
      </c>
      <c r="C5" t="s">
        <v>329</v>
      </c>
      <c r="D5" t="s">
        <v>328</v>
      </c>
      <c r="E5" t="s">
        <v>330</v>
      </c>
      <c r="F5" t="s">
        <v>1115</v>
      </c>
    </row>
    <row r="6" spans="1:6">
      <c r="A6" s="3" t="s">
        <v>204</v>
      </c>
      <c r="B6">
        <v>3</v>
      </c>
      <c r="C6">
        <v>4</v>
      </c>
      <c r="D6">
        <v>3</v>
      </c>
      <c r="E6">
        <v>4</v>
      </c>
      <c r="F6">
        <v>14</v>
      </c>
    </row>
    <row r="7" spans="1:6">
      <c r="A7" s="6" t="s">
        <v>792</v>
      </c>
      <c r="B7">
        <v>1</v>
      </c>
      <c r="D7">
        <v>1</v>
      </c>
      <c r="E7">
        <v>1</v>
      </c>
      <c r="F7">
        <v>3</v>
      </c>
    </row>
    <row r="8" spans="1:6">
      <c r="A8" s="6" t="s">
        <v>896</v>
      </c>
      <c r="C8">
        <v>1</v>
      </c>
      <c r="F8">
        <v>1</v>
      </c>
    </row>
    <row r="9" spans="1:6">
      <c r="A9" s="6" t="s">
        <v>888</v>
      </c>
      <c r="C9">
        <v>1</v>
      </c>
      <c r="F9">
        <v>1</v>
      </c>
    </row>
    <row r="10" spans="1:6">
      <c r="A10" s="6" t="s">
        <v>773</v>
      </c>
      <c r="D10">
        <v>1</v>
      </c>
      <c r="F10">
        <v>1</v>
      </c>
    </row>
    <row r="11" spans="1:6">
      <c r="A11" s="6" t="s">
        <v>980</v>
      </c>
      <c r="E11">
        <v>1</v>
      </c>
      <c r="F11">
        <v>1</v>
      </c>
    </row>
    <row r="12" spans="1:6">
      <c r="A12" s="6" t="s">
        <v>989</v>
      </c>
      <c r="E12">
        <v>1</v>
      </c>
      <c r="F12">
        <v>1</v>
      </c>
    </row>
    <row r="13" spans="1:6">
      <c r="A13" s="6" t="s">
        <v>981</v>
      </c>
      <c r="E13">
        <v>1</v>
      </c>
      <c r="F13">
        <v>1</v>
      </c>
    </row>
    <row r="14" spans="1:6">
      <c r="A14" s="6" t="s">
        <v>200</v>
      </c>
      <c r="D14">
        <v>1</v>
      </c>
      <c r="F14">
        <v>1</v>
      </c>
    </row>
    <row r="15" spans="1:6">
      <c r="A15" s="6" t="s">
        <v>663</v>
      </c>
      <c r="C15">
        <v>1</v>
      </c>
      <c r="F15">
        <v>1</v>
      </c>
    </row>
    <row r="16" spans="1:6">
      <c r="A16" s="6" t="s">
        <v>812</v>
      </c>
      <c r="B16">
        <v>1</v>
      </c>
      <c r="F16">
        <v>1</v>
      </c>
    </row>
    <row r="17" spans="1:6">
      <c r="A17" s="6" t="s">
        <v>800</v>
      </c>
      <c r="B17">
        <v>1</v>
      </c>
      <c r="F17">
        <v>1</v>
      </c>
    </row>
    <row r="18" spans="1:6">
      <c r="A18" s="6" t="s">
        <v>863</v>
      </c>
      <c r="C18">
        <v>1</v>
      </c>
      <c r="F18">
        <v>1</v>
      </c>
    </row>
    <row r="19" spans="1:6">
      <c r="A19" s="3" t="s">
        <v>137</v>
      </c>
      <c r="C19">
        <v>3</v>
      </c>
      <c r="D19">
        <v>1</v>
      </c>
      <c r="F19">
        <v>4</v>
      </c>
    </row>
    <row r="20" spans="1:6">
      <c r="A20" s="6" t="s">
        <v>766</v>
      </c>
      <c r="C20">
        <v>1</v>
      </c>
      <c r="F20">
        <v>1</v>
      </c>
    </row>
    <row r="21" spans="1:6">
      <c r="A21" s="6" t="s">
        <v>498</v>
      </c>
      <c r="C21">
        <v>1</v>
      </c>
      <c r="F21">
        <v>1</v>
      </c>
    </row>
    <row r="22" spans="1:6">
      <c r="A22" s="6" t="s">
        <v>859</v>
      </c>
      <c r="C22">
        <v>1</v>
      </c>
      <c r="F22">
        <v>1</v>
      </c>
    </row>
    <row r="23" spans="1:6">
      <c r="A23" s="6" t="s">
        <v>890</v>
      </c>
      <c r="D23">
        <v>1</v>
      </c>
      <c r="F23">
        <v>1</v>
      </c>
    </row>
    <row r="24" spans="1:6">
      <c r="A24" s="3" t="s">
        <v>781</v>
      </c>
      <c r="C24">
        <v>2</v>
      </c>
      <c r="F24">
        <v>2</v>
      </c>
    </row>
    <row r="25" spans="1:6">
      <c r="A25" s="6" t="s">
        <v>796</v>
      </c>
      <c r="C25">
        <v>1</v>
      </c>
      <c r="F25">
        <v>1</v>
      </c>
    </row>
    <row r="26" spans="1:6">
      <c r="A26" s="6" t="s">
        <v>890</v>
      </c>
      <c r="C26">
        <v>1</v>
      </c>
      <c r="F26">
        <v>1</v>
      </c>
    </row>
    <row r="27" spans="1:6">
      <c r="A27" s="3" t="s">
        <v>1115</v>
      </c>
      <c r="B27">
        <v>3</v>
      </c>
      <c r="C27">
        <v>9</v>
      </c>
      <c r="D27">
        <v>4</v>
      </c>
      <c r="E27">
        <v>4</v>
      </c>
      <c r="F27">
        <v>20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057BC-554E-4BB8-AB2A-087576AE6C76}">
  <dimension ref="A1:L25"/>
  <sheetViews>
    <sheetView workbookViewId="0"/>
  </sheetViews>
  <sheetFormatPr baseColWidth="10" defaultColWidth="11.3984375" defaultRowHeight="14.25"/>
  <cols>
    <col min="1" max="1" width="20.3984375" customWidth="1"/>
    <col min="2" max="2" width="62.59765625" bestFit="1" customWidth="1"/>
    <col min="3" max="3" width="15" customWidth="1"/>
    <col min="4" max="4" width="14.59765625" customWidth="1"/>
    <col min="7" max="7" width="29.86328125" bestFit="1" customWidth="1"/>
  </cols>
  <sheetData>
    <row r="1" spans="1:12">
      <c r="A1" s="577" t="s">
        <v>84</v>
      </c>
      <c r="B1" s="577" t="s">
        <v>1111</v>
      </c>
      <c r="C1" s="577" t="s">
        <v>81</v>
      </c>
      <c r="D1" s="577" t="s">
        <v>97</v>
      </c>
      <c r="E1" s="577" t="s">
        <v>113</v>
      </c>
      <c r="F1" s="577" t="s">
        <v>120</v>
      </c>
      <c r="G1" s="581" t="s">
        <v>1132</v>
      </c>
    </row>
    <row r="2" spans="1:12">
      <c r="A2" s="501" t="s">
        <v>218</v>
      </c>
      <c r="B2" s="501" t="s">
        <v>696</v>
      </c>
      <c r="C2" s="578" t="s">
        <v>143</v>
      </c>
      <c r="D2" s="580" t="s">
        <v>144</v>
      </c>
      <c r="E2" s="453">
        <v>45411</v>
      </c>
      <c r="F2" s="652">
        <v>45440</v>
      </c>
      <c r="G2" s="113" t="s">
        <v>1133</v>
      </c>
    </row>
    <row r="3" spans="1:12">
      <c r="A3" s="501" t="s">
        <v>218</v>
      </c>
      <c r="B3" s="501" t="s">
        <v>700</v>
      </c>
      <c r="C3" s="578" t="s">
        <v>143</v>
      </c>
      <c r="D3" s="579" t="s">
        <v>209</v>
      </c>
      <c r="E3" s="453">
        <v>45383</v>
      </c>
      <c r="F3" s="652">
        <v>45468</v>
      </c>
      <c r="G3" s="113" t="s">
        <v>1133</v>
      </c>
    </row>
    <row r="4" spans="1:12">
      <c r="A4" s="501" t="s">
        <v>218</v>
      </c>
      <c r="B4" s="501" t="s">
        <v>712</v>
      </c>
      <c r="C4" s="578" t="s">
        <v>143</v>
      </c>
      <c r="D4" s="579" t="s">
        <v>209</v>
      </c>
      <c r="E4" s="453">
        <v>45383</v>
      </c>
      <c r="F4" s="652">
        <v>45433</v>
      </c>
      <c r="G4" s="113" t="s">
        <v>1133</v>
      </c>
    </row>
    <row r="5" spans="1:12">
      <c r="A5" s="501" t="s">
        <v>218</v>
      </c>
      <c r="B5" s="653" t="s">
        <v>724</v>
      </c>
      <c r="C5" s="578" t="s">
        <v>143</v>
      </c>
      <c r="D5" s="578" t="s">
        <v>197</v>
      </c>
      <c r="E5" s="453">
        <v>45292</v>
      </c>
      <c r="F5" s="652">
        <v>45350</v>
      </c>
      <c r="G5" s="113" t="s">
        <v>1133</v>
      </c>
    </row>
    <row r="6" spans="1:12">
      <c r="A6" s="501" t="s">
        <v>218</v>
      </c>
      <c r="B6" s="501" t="s">
        <v>729</v>
      </c>
      <c r="C6" s="578" t="s">
        <v>143</v>
      </c>
      <c r="D6" s="578" t="s">
        <v>197</v>
      </c>
      <c r="E6" s="453">
        <v>45348</v>
      </c>
      <c r="F6" s="652">
        <v>45497</v>
      </c>
      <c r="G6" s="113" t="s">
        <v>1133</v>
      </c>
    </row>
    <row r="7" spans="1:12">
      <c r="A7" s="501" t="s">
        <v>218</v>
      </c>
      <c r="B7" s="501" t="s">
        <v>687</v>
      </c>
      <c r="C7" s="579" t="s">
        <v>208</v>
      </c>
      <c r="D7" s="654" t="s">
        <v>144</v>
      </c>
      <c r="E7" s="655" t="s">
        <v>678</v>
      </c>
      <c r="F7" s="655" t="s">
        <v>678</v>
      </c>
      <c r="G7" s="114" t="s">
        <v>1134</v>
      </c>
    </row>
    <row r="8" spans="1:12">
      <c r="A8" s="501" t="s">
        <v>134</v>
      </c>
      <c r="B8" s="501" t="s">
        <v>692</v>
      </c>
      <c r="C8" s="579" t="s">
        <v>208</v>
      </c>
      <c r="D8" s="654" t="s">
        <v>144</v>
      </c>
      <c r="E8" s="655" t="s">
        <v>678</v>
      </c>
      <c r="F8" s="655" t="s">
        <v>678</v>
      </c>
      <c r="G8" s="114" t="s">
        <v>1134</v>
      </c>
    </row>
    <row r="9" spans="1:12">
      <c r="A9" s="501" t="s">
        <v>457</v>
      </c>
      <c r="B9" s="501" t="s">
        <v>491</v>
      </c>
      <c r="C9" s="579" t="s">
        <v>208</v>
      </c>
      <c r="D9" s="654" t="s">
        <v>144</v>
      </c>
      <c r="E9" s="655" t="s">
        <v>678</v>
      </c>
      <c r="F9" s="655" t="s">
        <v>678</v>
      </c>
      <c r="G9" s="114" t="s">
        <v>1134</v>
      </c>
    </row>
    <row r="10" spans="1:12">
      <c r="A10" s="501" t="s">
        <v>134</v>
      </c>
      <c r="B10" s="501" t="s">
        <v>732</v>
      </c>
      <c r="C10" s="579" t="s">
        <v>208</v>
      </c>
      <c r="D10" s="654" t="s">
        <v>144</v>
      </c>
      <c r="E10" s="655" t="s">
        <v>678</v>
      </c>
      <c r="F10" s="655" t="s">
        <v>678</v>
      </c>
      <c r="G10" s="114" t="s">
        <v>1134</v>
      </c>
    </row>
    <row r="11" spans="1:12">
      <c r="A11" s="501" t="s">
        <v>134</v>
      </c>
      <c r="B11" s="501" t="s">
        <v>697</v>
      </c>
      <c r="C11" s="579" t="s">
        <v>208</v>
      </c>
      <c r="D11" s="654" t="s">
        <v>144</v>
      </c>
      <c r="E11" s="655" t="s">
        <v>678</v>
      </c>
      <c r="F11" s="655" t="s">
        <v>678</v>
      </c>
      <c r="G11" s="114" t="s">
        <v>1134</v>
      </c>
    </row>
    <row r="12" spans="1:12">
      <c r="A12" s="501" t="s">
        <v>218</v>
      </c>
      <c r="B12" s="501" t="s">
        <v>494</v>
      </c>
      <c r="C12" s="579" t="s">
        <v>208</v>
      </c>
      <c r="D12" s="654" t="s">
        <v>144</v>
      </c>
      <c r="E12" s="655" t="s">
        <v>678</v>
      </c>
      <c r="F12" s="655" t="s">
        <v>678</v>
      </c>
      <c r="G12" s="114" t="s">
        <v>1134</v>
      </c>
      <c r="L12" s="453"/>
    </row>
    <row r="13" spans="1:12">
      <c r="A13" s="501" t="s">
        <v>218</v>
      </c>
      <c r="B13" s="501" t="s">
        <v>702</v>
      </c>
      <c r="C13" s="579" t="s">
        <v>208</v>
      </c>
      <c r="D13" s="654" t="s">
        <v>144</v>
      </c>
      <c r="E13" s="655" t="s">
        <v>678</v>
      </c>
      <c r="F13" s="655" t="s">
        <v>678</v>
      </c>
      <c r="G13" s="114" t="s">
        <v>1134</v>
      </c>
    </row>
    <row r="14" spans="1:12">
      <c r="A14" s="501" t="s">
        <v>218</v>
      </c>
      <c r="B14" s="653" t="s">
        <v>496</v>
      </c>
      <c r="C14" s="579" t="s">
        <v>208</v>
      </c>
      <c r="D14" s="654" t="s">
        <v>144</v>
      </c>
      <c r="E14" s="655" t="s">
        <v>678</v>
      </c>
      <c r="F14" s="655" t="s">
        <v>678</v>
      </c>
      <c r="G14" s="114" t="s">
        <v>1134</v>
      </c>
    </row>
    <row r="15" spans="1:12">
      <c r="A15" s="501" t="s">
        <v>134</v>
      </c>
      <c r="B15" s="501" t="s">
        <v>705</v>
      </c>
      <c r="C15" s="579" t="s">
        <v>208</v>
      </c>
      <c r="D15" s="654" t="s">
        <v>144</v>
      </c>
      <c r="E15" s="655" t="s">
        <v>678</v>
      </c>
      <c r="F15" s="655" t="s">
        <v>678</v>
      </c>
      <c r="G15" s="114" t="s">
        <v>1134</v>
      </c>
    </row>
    <row r="16" spans="1:12">
      <c r="A16" s="501" t="s">
        <v>134</v>
      </c>
      <c r="B16" s="501" t="s">
        <v>708</v>
      </c>
      <c r="C16" s="579" t="s">
        <v>208</v>
      </c>
      <c r="D16" s="654" t="s">
        <v>144</v>
      </c>
      <c r="E16" s="655" t="s">
        <v>678</v>
      </c>
      <c r="F16" s="655" t="s">
        <v>678</v>
      </c>
      <c r="G16" s="114" t="s">
        <v>1134</v>
      </c>
    </row>
    <row r="17" spans="1:7" ht="23.25">
      <c r="A17" s="501" t="s">
        <v>134</v>
      </c>
      <c r="B17" s="653" t="s">
        <v>710</v>
      </c>
      <c r="C17" s="579" t="s">
        <v>208</v>
      </c>
      <c r="D17" s="654" t="s">
        <v>144</v>
      </c>
      <c r="E17" s="655" t="s">
        <v>678</v>
      </c>
      <c r="F17" s="655" t="s">
        <v>678</v>
      </c>
      <c r="G17" s="114" t="s">
        <v>1134</v>
      </c>
    </row>
    <row r="18" spans="1:7">
      <c r="A18" s="501" t="s">
        <v>218</v>
      </c>
      <c r="B18" s="501" t="s">
        <v>714</v>
      </c>
      <c r="C18" s="579" t="s">
        <v>208</v>
      </c>
      <c r="D18" s="654" t="s">
        <v>144</v>
      </c>
      <c r="E18" s="655" t="s">
        <v>678</v>
      </c>
      <c r="F18" s="655" t="s">
        <v>678</v>
      </c>
      <c r="G18" s="114" t="s">
        <v>1134</v>
      </c>
    </row>
    <row r="19" spans="1:7">
      <c r="A19" s="501" t="s">
        <v>134</v>
      </c>
      <c r="B19" s="501" t="s">
        <v>716</v>
      </c>
      <c r="C19" s="579" t="s">
        <v>208</v>
      </c>
      <c r="D19" s="654" t="s">
        <v>144</v>
      </c>
      <c r="E19" s="655" t="s">
        <v>678</v>
      </c>
      <c r="F19" s="655" t="s">
        <v>678</v>
      </c>
      <c r="G19" s="114" t="s">
        <v>1134</v>
      </c>
    </row>
    <row r="20" spans="1:7">
      <c r="A20" s="501" t="s">
        <v>134</v>
      </c>
      <c r="B20" s="653" t="s">
        <v>718</v>
      </c>
      <c r="C20" s="579" t="s">
        <v>208</v>
      </c>
      <c r="D20" s="654" t="s">
        <v>144</v>
      </c>
      <c r="E20" s="655" t="s">
        <v>678</v>
      </c>
      <c r="F20" s="655" t="s">
        <v>678</v>
      </c>
      <c r="G20" s="114" t="s">
        <v>1134</v>
      </c>
    </row>
    <row r="21" spans="1:7">
      <c r="A21" s="501" t="s">
        <v>134</v>
      </c>
      <c r="B21" s="501" t="s">
        <v>720</v>
      </c>
      <c r="C21" s="579" t="s">
        <v>208</v>
      </c>
      <c r="D21" s="654" t="s">
        <v>144</v>
      </c>
      <c r="E21" s="655" t="s">
        <v>678</v>
      </c>
      <c r="F21" s="655" t="s">
        <v>678</v>
      </c>
      <c r="G21" s="114" t="s">
        <v>1134</v>
      </c>
    </row>
    <row r="22" spans="1:7">
      <c r="A22" s="501" t="s">
        <v>134</v>
      </c>
      <c r="B22" s="501" t="s">
        <v>727</v>
      </c>
      <c r="C22" s="579" t="s">
        <v>208</v>
      </c>
      <c r="D22" s="654" t="s">
        <v>144</v>
      </c>
      <c r="E22" s="655" t="s">
        <v>678</v>
      </c>
      <c r="F22" s="655" t="s">
        <v>678</v>
      </c>
      <c r="G22" s="114" t="s">
        <v>1134</v>
      </c>
    </row>
    <row r="23" spans="1:7">
      <c r="A23" s="501" t="s">
        <v>457</v>
      </c>
      <c r="B23" s="501" t="s">
        <v>925</v>
      </c>
      <c r="C23" s="580" t="s">
        <v>298</v>
      </c>
      <c r="D23" s="654" t="s">
        <v>144</v>
      </c>
      <c r="E23" s="655" t="s">
        <v>678</v>
      </c>
      <c r="F23" s="655" t="s">
        <v>678</v>
      </c>
      <c r="G23" s="33" t="s">
        <v>1135</v>
      </c>
    </row>
    <row r="24" spans="1:7">
      <c r="A24" s="501" t="s">
        <v>457</v>
      </c>
      <c r="B24" s="501" t="s">
        <v>927</v>
      </c>
      <c r="C24" s="580" t="s">
        <v>298</v>
      </c>
      <c r="D24" s="654" t="s">
        <v>144</v>
      </c>
      <c r="E24" s="655" t="s">
        <v>678</v>
      </c>
      <c r="F24" s="655" t="s">
        <v>678</v>
      </c>
      <c r="G24" s="33" t="s">
        <v>1135</v>
      </c>
    </row>
    <row r="25" spans="1:7">
      <c r="A25" s="501" t="s">
        <v>457</v>
      </c>
      <c r="B25" s="501" t="s">
        <v>929</v>
      </c>
      <c r="C25" s="580" t="s">
        <v>298</v>
      </c>
      <c r="D25" s="654" t="s">
        <v>144</v>
      </c>
      <c r="E25" s="655" t="s">
        <v>678</v>
      </c>
      <c r="F25" s="655" t="s">
        <v>678</v>
      </c>
      <c r="G25" s="33" t="s">
        <v>1135</v>
      </c>
    </row>
  </sheetData>
  <autoFilter ref="A1:F25" xr:uid="{271057BC-554E-4BB8-AB2A-087576AE6C76}">
    <sortState xmlns:xlrd2="http://schemas.microsoft.com/office/spreadsheetml/2017/richdata2" ref="A2:F25">
      <sortCondition ref="C1"/>
    </sortState>
  </autoFilter>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89"/>
  <sheetViews>
    <sheetView showGridLines="0" zoomScaleNormal="100" workbookViewId="0">
      <selection activeCell="P130" sqref="P130"/>
    </sheetView>
  </sheetViews>
  <sheetFormatPr baseColWidth="10" defaultColWidth="11.3984375" defaultRowHeight="14.25"/>
  <cols>
    <col min="1" max="1" width="18.86328125" bestFit="1" customWidth="1"/>
    <col min="2" max="2" width="22.86328125" bestFit="1" customWidth="1"/>
    <col min="3" max="3" width="9.73046875" bestFit="1" customWidth="1"/>
    <col min="4" max="4" width="10.265625" bestFit="1" customWidth="1"/>
    <col min="5" max="5" width="9.59765625" bestFit="1" customWidth="1"/>
    <col min="6" max="6" width="9.3984375" style="28" bestFit="1" customWidth="1"/>
    <col min="7" max="7" width="12.59765625" style="28" bestFit="1" customWidth="1"/>
    <col min="8" max="8" width="2.1328125" customWidth="1"/>
    <col min="9" max="9" width="17.86328125" bestFit="1" customWidth="1"/>
    <col min="10" max="10" width="22.86328125" bestFit="1" customWidth="1"/>
    <col min="11" max="11" width="11.1328125" bestFit="1" customWidth="1"/>
    <col min="12" max="12" width="18.86328125" bestFit="1" customWidth="1"/>
    <col min="13" max="13" width="22.86328125" bestFit="1" customWidth="1"/>
    <col min="14" max="14" width="9.73046875" bestFit="1" customWidth="1"/>
    <col min="15" max="15" width="10.265625" bestFit="1" customWidth="1"/>
    <col min="16" max="16" width="9.59765625" bestFit="1" customWidth="1"/>
    <col min="17" max="17" width="12.59765625" customWidth="1"/>
    <col min="18" max="18" width="19.73046875" bestFit="1" customWidth="1"/>
  </cols>
  <sheetData>
    <row r="1" spans="1:16">
      <c r="F1"/>
      <c r="G1"/>
    </row>
    <row r="2" spans="1:16">
      <c r="F2"/>
      <c r="G2"/>
    </row>
    <row r="3" spans="1:16">
      <c r="A3" s="2" t="s">
        <v>83</v>
      </c>
      <c r="B3" t="s">
        <v>1117</v>
      </c>
      <c r="F3"/>
      <c r="G3"/>
    </row>
    <row r="4" spans="1:16">
      <c r="A4" s="2" t="s">
        <v>1136</v>
      </c>
      <c r="B4" t="s">
        <v>1117</v>
      </c>
      <c r="F4"/>
      <c r="G4"/>
      <c r="L4" s="2" t="s">
        <v>83</v>
      </c>
      <c r="M4" t="s">
        <v>1117</v>
      </c>
    </row>
    <row r="5" spans="1:16">
      <c r="A5" s="2" t="s">
        <v>81</v>
      </c>
      <c r="B5" t="s">
        <v>143</v>
      </c>
      <c r="F5"/>
      <c r="G5"/>
      <c r="I5" s="2" t="s">
        <v>83</v>
      </c>
      <c r="J5" t="s">
        <v>1117</v>
      </c>
      <c r="L5" s="2" t="s">
        <v>1136</v>
      </c>
      <c r="M5" t="s">
        <v>1117</v>
      </c>
    </row>
    <row r="6" spans="1:16">
      <c r="F6"/>
      <c r="G6"/>
      <c r="I6" s="2" t="s">
        <v>81</v>
      </c>
      <c r="J6" t="s">
        <v>1117</v>
      </c>
      <c r="L6" s="2" t="s">
        <v>81</v>
      </c>
      <c r="M6" t="s">
        <v>1117</v>
      </c>
    </row>
    <row r="7" spans="1:16">
      <c r="A7" s="2" t="s">
        <v>1113</v>
      </c>
      <c r="B7" s="2" t="s">
        <v>1118</v>
      </c>
      <c r="F7"/>
      <c r="G7"/>
    </row>
    <row r="8" spans="1:16">
      <c r="A8" s="2" t="s">
        <v>1112</v>
      </c>
      <c r="B8" t="s">
        <v>206</v>
      </c>
      <c r="C8" t="s">
        <v>328</v>
      </c>
      <c r="D8" t="s">
        <v>330</v>
      </c>
      <c r="E8" t="s">
        <v>140</v>
      </c>
      <c r="F8" t="s">
        <v>329</v>
      </c>
      <c r="G8" t="s">
        <v>1115</v>
      </c>
      <c r="I8" s="2" t="s">
        <v>1113</v>
      </c>
      <c r="J8" s="2" t="s">
        <v>1118</v>
      </c>
      <c r="L8" s="2" t="s">
        <v>1113</v>
      </c>
      <c r="M8" s="2" t="s">
        <v>1118</v>
      </c>
    </row>
    <row r="9" spans="1:16" ht="19.5" customHeight="1">
      <c r="A9" s="481" t="s">
        <v>131</v>
      </c>
      <c r="B9" s="455">
        <v>269049.71999999997</v>
      </c>
      <c r="C9" s="455">
        <v>65578.36</v>
      </c>
      <c r="D9" s="455">
        <v>53452.04</v>
      </c>
      <c r="E9" s="455">
        <v>92418.16</v>
      </c>
      <c r="F9" s="455">
        <v>120099.72</v>
      </c>
      <c r="G9" s="455">
        <v>600597.99999999988</v>
      </c>
      <c r="I9" s="2" t="s">
        <v>1112</v>
      </c>
      <c r="J9" t="s">
        <v>206</v>
      </c>
      <c r="L9" s="2" t="s">
        <v>1112</v>
      </c>
      <c r="M9" t="s">
        <v>206</v>
      </c>
      <c r="N9" t="s">
        <v>328</v>
      </c>
      <c r="O9" t="s">
        <v>330</v>
      </c>
      <c r="P9" t="s">
        <v>140</v>
      </c>
    </row>
    <row r="10" spans="1:16">
      <c r="A10" s="3" t="s">
        <v>212</v>
      </c>
      <c r="B10" s="127">
        <v>297560</v>
      </c>
      <c r="C10" s="127">
        <v>45630</v>
      </c>
      <c r="D10" s="127">
        <v>0</v>
      </c>
      <c r="E10" s="127"/>
      <c r="F10" s="127">
        <v>38195</v>
      </c>
      <c r="G10" s="127">
        <v>381385</v>
      </c>
      <c r="I10" s="3" t="s">
        <v>53</v>
      </c>
      <c r="J10" s="127">
        <v>165110</v>
      </c>
      <c r="L10" s="481" t="s">
        <v>131</v>
      </c>
      <c r="M10" s="455"/>
      <c r="N10" s="455">
        <v>7240</v>
      </c>
      <c r="O10" s="455">
        <v>2840</v>
      </c>
      <c r="P10" s="455">
        <v>2840</v>
      </c>
    </row>
    <row r="11" spans="1:16">
      <c r="A11" s="3" t="s">
        <v>218</v>
      </c>
      <c r="B11" s="127">
        <v>37240</v>
      </c>
      <c r="C11" s="127">
        <v>19640</v>
      </c>
      <c r="D11" s="127">
        <v>23280</v>
      </c>
      <c r="E11" s="127">
        <v>17180</v>
      </c>
      <c r="F11" s="127">
        <v>16580</v>
      </c>
      <c r="G11" s="127">
        <v>113920</v>
      </c>
      <c r="I11" s="3" t="s">
        <v>4</v>
      </c>
      <c r="J11" s="127">
        <v>287495</v>
      </c>
      <c r="L11" s="3" t="s">
        <v>671</v>
      </c>
      <c r="M11" s="127">
        <v>31440</v>
      </c>
      <c r="N11" s="127"/>
      <c r="O11" s="127"/>
      <c r="P11" s="127"/>
    </row>
    <row r="12" spans="1:16">
      <c r="A12" s="3" t="s">
        <v>457</v>
      </c>
      <c r="B12" s="471">
        <v>70000</v>
      </c>
      <c r="C12" s="127"/>
      <c r="D12" s="127">
        <v>5680</v>
      </c>
      <c r="E12" s="127"/>
      <c r="F12" s="127">
        <v>51600</v>
      </c>
      <c r="G12" s="127">
        <v>127280</v>
      </c>
      <c r="I12" s="3" t="s">
        <v>139</v>
      </c>
      <c r="J12" s="127">
        <v>179636</v>
      </c>
      <c r="L12" s="3" t="s">
        <v>134</v>
      </c>
      <c r="M12" s="127">
        <v>580</v>
      </c>
      <c r="N12" s="127"/>
      <c r="O12" s="127"/>
      <c r="P12" s="127"/>
    </row>
    <row r="13" spans="1:16">
      <c r="A13" s="3" t="s">
        <v>134</v>
      </c>
      <c r="B13" s="127">
        <v>88580</v>
      </c>
      <c r="C13" s="127">
        <v>32500</v>
      </c>
      <c r="D13" s="127">
        <v>53900</v>
      </c>
      <c r="E13" s="127">
        <v>50690</v>
      </c>
      <c r="F13" s="127">
        <v>53750</v>
      </c>
      <c r="G13" s="127">
        <v>279420</v>
      </c>
      <c r="I13" s="3" t="s">
        <v>72</v>
      </c>
      <c r="J13" s="127">
        <v>46940</v>
      </c>
      <c r="L13" s="3" t="s">
        <v>212</v>
      </c>
      <c r="M13" s="127">
        <v>39800</v>
      </c>
      <c r="N13" s="127"/>
      <c r="O13" s="127"/>
      <c r="P13" s="127"/>
    </row>
    <row r="14" spans="1:16">
      <c r="A14" s="3" t="s">
        <v>1115</v>
      </c>
      <c r="B14" s="127">
        <v>762429.72</v>
      </c>
      <c r="C14" s="127">
        <v>163348.35999999999</v>
      </c>
      <c r="D14" s="127">
        <v>136312.04</v>
      </c>
      <c r="E14" s="127">
        <v>160288.16</v>
      </c>
      <c r="F14" s="127">
        <v>280224.71999999997</v>
      </c>
      <c r="G14" s="127">
        <v>1502603</v>
      </c>
      <c r="I14" s="3" t="s">
        <v>1115</v>
      </c>
      <c r="J14" s="127">
        <v>679181</v>
      </c>
      <c r="L14" s="3" t="s">
        <v>218</v>
      </c>
      <c r="M14" s="127">
        <v>2240</v>
      </c>
      <c r="N14" s="127"/>
      <c r="O14" s="127"/>
      <c r="P14" s="127"/>
    </row>
    <row r="15" spans="1:16">
      <c r="F15"/>
      <c r="G15"/>
      <c r="L15" s="3" t="s">
        <v>457</v>
      </c>
      <c r="M15" s="127">
        <v>43440</v>
      </c>
      <c r="N15" s="127"/>
      <c r="O15" s="127"/>
      <c r="P15" s="127"/>
    </row>
    <row r="16" spans="1:16">
      <c r="F16"/>
      <c r="G16"/>
      <c r="L16" s="3" t="s">
        <v>1115</v>
      </c>
      <c r="M16" s="127">
        <v>117500</v>
      </c>
      <c r="N16" s="127">
        <v>7240</v>
      </c>
      <c r="O16" s="127">
        <v>2840</v>
      </c>
      <c r="P16" s="127">
        <v>2840</v>
      </c>
    </row>
    <row r="17" spans="1:10">
      <c r="F17"/>
      <c r="G17"/>
      <c r="I17" s="2" t="s">
        <v>83</v>
      </c>
      <c r="J17" t="s">
        <v>1117</v>
      </c>
    </row>
    <row r="18" spans="1:10">
      <c r="A18" s="2" t="s">
        <v>83</v>
      </c>
      <c r="B18" t="s">
        <v>1117</v>
      </c>
      <c r="F18"/>
      <c r="G18"/>
      <c r="I18" s="2" t="s">
        <v>81</v>
      </c>
      <c r="J18" t="s">
        <v>1117</v>
      </c>
    </row>
    <row r="19" spans="1:10">
      <c r="A19" s="2" t="s">
        <v>1136</v>
      </c>
      <c r="B19" t="s">
        <v>1117</v>
      </c>
      <c r="F19"/>
      <c r="G19"/>
    </row>
    <row r="20" spans="1:10">
      <c r="A20" s="2" t="s">
        <v>81</v>
      </c>
      <c r="B20" t="s">
        <v>1117</v>
      </c>
      <c r="F20"/>
      <c r="G20"/>
      <c r="I20" s="2" t="s">
        <v>1113</v>
      </c>
      <c r="J20" s="2" t="s">
        <v>1118</v>
      </c>
    </row>
    <row r="21" spans="1:10">
      <c r="F21"/>
      <c r="G21"/>
      <c r="I21" s="2" t="s">
        <v>1112</v>
      </c>
      <c r="J21" t="s">
        <v>206</v>
      </c>
    </row>
    <row r="22" spans="1:10">
      <c r="A22" s="2" t="s">
        <v>1113</v>
      </c>
      <c r="B22" s="2" t="s">
        <v>1118</v>
      </c>
      <c r="F22"/>
      <c r="G22"/>
      <c r="I22" s="3" t="s">
        <v>212</v>
      </c>
      <c r="J22" s="127">
        <v>631961</v>
      </c>
    </row>
    <row r="23" spans="1:10">
      <c r="A23" s="2" t="s">
        <v>1112</v>
      </c>
      <c r="B23" t="s">
        <v>206</v>
      </c>
      <c r="C23" t="s">
        <v>328</v>
      </c>
      <c r="D23" t="s">
        <v>330</v>
      </c>
      <c r="E23" t="s">
        <v>140</v>
      </c>
      <c r="F23" t="s">
        <v>329</v>
      </c>
      <c r="G23" t="s">
        <v>1115</v>
      </c>
      <c r="I23" s="3" t="s">
        <v>134</v>
      </c>
      <c r="J23" s="127">
        <v>244260</v>
      </c>
    </row>
    <row r="24" spans="1:10">
      <c r="A24" s="481" t="s">
        <v>131</v>
      </c>
      <c r="B24" s="455">
        <v>269049.71999999997</v>
      </c>
      <c r="C24" s="455">
        <v>65578.36</v>
      </c>
      <c r="D24" s="455">
        <v>53452.04</v>
      </c>
      <c r="E24" s="455">
        <v>92418.16</v>
      </c>
      <c r="F24" s="455">
        <v>120099.72</v>
      </c>
      <c r="G24" s="455">
        <v>600597.99999999988</v>
      </c>
      <c r="I24" s="3" t="s">
        <v>218</v>
      </c>
      <c r="J24" s="127">
        <v>151660</v>
      </c>
    </row>
    <row r="25" spans="1:10">
      <c r="A25" s="3" t="s">
        <v>212</v>
      </c>
      <c r="B25" s="127">
        <v>631321</v>
      </c>
      <c r="C25" s="127">
        <v>45630</v>
      </c>
      <c r="D25" s="127">
        <v>0</v>
      </c>
      <c r="E25" s="127"/>
      <c r="F25" s="127">
        <v>38195</v>
      </c>
      <c r="G25" s="127">
        <v>715146</v>
      </c>
      <c r="I25" s="3" t="s">
        <v>457</v>
      </c>
      <c r="J25" s="127">
        <v>142120</v>
      </c>
    </row>
    <row r="26" spans="1:10">
      <c r="A26" s="3" t="s">
        <v>218</v>
      </c>
      <c r="B26" s="127">
        <v>151020</v>
      </c>
      <c r="C26" s="127">
        <v>19640</v>
      </c>
      <c r="D26" s="127">
        <v>23280</v>
      </c>
      <c r="E26" s="127">
        <v>17180</v>
      </c>
      <c r="F26" s="127">
        <v>16580</v>
      </c>
      <c r="G26" s="127">
        <v>227700</v>
      </c>
      <c r="I26" s="3" t="s">
        <v>1115</v>
      </c>
      <c r="J26" s="127">
        <v>1170001</v>
      </c>
    </row>
    <row r="27" spans="1:10">
      <c r="A27" s="3" t="s">
        <v>457</v>
      </c>
      <c r="B27" s="471">
        <v>142120</v>
      </c>
      <c r="C27" s="127"/>
      <c r="D27" s="127">
        <v>5680</v>
      </c>
      <c r="E27" s="127"/>
      <c r="F27" s="127">
        <v>51600</v>
      </c>
      <c r="G27" s="127">
        <v>199400</v>
      </c>
    </row>
    <row r="28" spans="1:10">
      <c r="A28" s="3" t="s">
        <v>1079</v>
      </c>
      <c r="B28" s="127">
        <v>0</v>
      </c>
      <c r="C28" s="127"/>
      <c r="D28" s="127"/>
      <c r="E28" s="127"/>
      <c r="F28" s="127"/>
      <c r="G28" s="127">
        <v>0</v>
      </c>
    </row>
    <row r="29" spans="1:10">
      <c r="A29" s="3" t="s">
        <v>134</v>
      </c>
      <c r="B29" s="127">
        <v>244260</v>
      </c>
      <c r="C29" s="127">
        <v>32500</v>
      </c>
      <c r="D29" s="127">
        <v>53900</v>
      </c>
      <c r="E29" s="127">
        <v>50690</v>
      </c>
      <c r="F29" s="127">
        <v>53750</v>
      </c>
      <c r="G29" s="127">
        <v>435100</v>
      </c>
    </row>
    <row r="30" spans="1:10">
      <c r="A30" s="3" t="s">
        <v>1115</v>
      </c>
      <c r="B30" s="127">
        <v>1437770.72</v>
      </c>
      <c r="C30" s="127">
        <v>163348.35999999999</v>
      </c>
      <c r="D30" s="127">
        <v>136312.04</v>
      </c>
      <c r="E30" s="127">
        <v>160288.16</v>
      </c>
      <c r="F30" s="127">
        <v>280224.71999999997</v>
      </c>
      <c r="G30" s="127">
        <v>2177944</v>
      </c>
    </row>
    <row r="31" spans="1:10">
      <c r="F31"/>
      <c r="G31"/>
    </row>
    <row r="32" spans="1:10">
      <c r="F32"/>
      <c r="G32"/>
    </row>
    <row r="33" spans="6:7">
      <c r="F33"/>
      <c r="G33"/>
    </row>
    <row r="34" spans="6:7">
      <c r="F34"/>
      <c r="G34"/>
    </row>
    <row r="35" spans="6:7">
      <c r="F35"/>
      <c r="G35"/>
    </row>
    <row r="36" spans="6:7">
      <c r="F36"/>
      <c r="G36"/>
    </row>
    <row r="37" spans="6:7">
      <c r="F37"/>
      <c r="G37"/>
    </row>
    <row r="38" spans="6:7">
      <c r="F38"/>
      <c r="G38"/>
    </row>
    <row r="39" spans="6:7">
      <c r="F39"/>
      <c r="G39"/>
    </row>
    <row r="40" spans="6:7">
      <c r="F40"/>
      <c r="G40"/>
    </row>
    <row r="41" spans="6:7">
      <c r="F41"/>
      <c r="G41"/>
    </row>
    <row r="42" spans="6:7">
      <c r="F42"/>
      <c r="G42"/>
    </row>
    <row r="43" spans="6:7">
      <c r="F43"/>
      <c r="G43"/>
    </row>
    <row r="44" spans="6:7">
      <c r="F44"/>
      <c r="G44"/>
    </row>
    <row r="45" spans="6:7">
      <c r="F45"/>
      <c r="G45"/>
    </row>
    <row r="46" spans="6:7">
      <c r="F46"/>
      <c r="G46"/>
    </row>
    <row r="47" spans="6:7">
      <c r="F47"/>
      <c r="G47"/>
    </row>
    <row r="48" spans="6:7">
      <c r="F48"/>
      <c r="G48"/>
    </row>
    <row r="49" spans="4:7">
      <c r="F49"/>
      <c r="G49"/>
    </row>
    <row r="50" spans="4:7">
      <c r="F50"/>
      <c r="G50"/>
    </row>
    <row r="51" spans="4:7">
      <c r="F51"/>
      <c r="G51"/>
    </row>
    <row r="52" spans="4:7">
      <c r="F52"/>
      <c r="G52"/>
    </row>
    <row r="53" spans="4:7">
      <c r="F53"/>
      <c r="G53"/>
    </row>
    <row r="54" spans="4:7">
      <c r="F54"/>
      <c r="G54"/>
    </row>
    <row r="55" spans="4:7">
      <c r="F55"/>
      <c r="G55"/>
    </row>
    <row r="56" spans="4:7">
      <c r="F56"/>
      <c r="G56"/>
    </row>
    <row r="57" spans="4:7">
      <c r="F57"/>
      <c r="G57"/>
    </row>
    <row r="58" spans="4:7">
      <c r="F58"/>
      <c r="G58"/>
    </row>
    <row r="59" spans="4:7">
      <c r="F59"/>
      <c r="G59"/>
    </row>
    <row r="60" spans="4:7">
      <c r="F60"/>
      <c r="G60"/>
    </row>
    <row r="61" spans="4:7">
      <c r="F61"/>
      <c r="G61"/>
    </row>
    <row r="62" spans="4:7">
      <c r="F62"/>
      <c r="G62"/>
    </row>
    <row r="63" spans="4:7">
      <c r="F63"/>
      <c r="G63"/>
    </row>
    <row r="64" spans="4:7">
      <c r="F64"/>
      <c r="G64"/>
    </row>
    <row r="65" spans="6:7">
      <c r="F65"/>
      <c r="G65"/>
    </row>
    <row r="66" spans="6:7">
      <c r="F66"/>
      <c r="G66"/>
    </row>
    <row r="67" spans="6:7">
      <c r="F67"/>
      <c r="G67"/>
    </row>
    <row r="68" spans="6:7">
      <c r="F68"/>
      <c r="G68"/>
    </row>
    <row r="69" spans="6:7">
      <c r="F69"/>
      <c r="G69"/>
    </row>
    <row r="70" spans="6:7">
      <c r="F70"/>
      <c r="G70"/>
    </row>
    <row r="71" spans="6:7">
      <c r="F71"/>
      <c r="G71"/>
    </row>
    <row r="72" spans="6:7">
      <c r="F72"/>
      <c r="G72"/>
    </row>
    <row r="73" spans="6:7">
      <c r="F73"/>
      <c r="G73"/>
    </row>
    <row r="74" spans="6:7">
      <c r="F74"/>
      <c r="G74"/>
    </row>
    <row r="75" spans="6:7">
      <c r="F75"/>
      <c r="G75"/>
    </row>
    <row r="76" spans="6:7">
      <c r="F76"/>
      <c r="G76"/>
    </row>
    <row r="77" spans="6:7">
      <c r="F77"/>
      <c r="G77"/>
    </row>
    <row r="78" spans="6:7">
      <c r="F78"/>
      <c r="G78"/>
    </row>
    <row r="79" spans="6:7">
      <c r="F79"/>
      <c r="G79"/>
    </row>
    <row r="80" spans="6:7">
      <c r="F80"/>
      <c r="G80"/>
    </row>
    <row r="81" spans="6:7">
      <c r="F81"/>
      <c r="G81"/>
    </row>
    <row r="82" spans="6:7">
      <c r="F82"/>
      <c r="G82"/>
    </row>
    <row r="83" spans="6:7">
      <c r="F83"/>
      <c r="G83"/>
    </row>
    <row r="84" spans="6:7">
      <c r="F84"/>
      <c r="G84"/>
    </row>
    <row r="85" spans="6:7">
      <c r="F85"/>
      <c r="G85"/>
    </row>
    <row r="86" spans="6:7">
      <c r="F86"/>
      <c r="G86"/>
    </row>
    <row r="87" spans="6:7">
      <c r="F87"/>
      <c r="G87"/>
    </row>
    <row r="88" spans="6:7">
      <c r="F88"/>
      <c r="G88"/>
    </row>
    <row r="89" spans="6:7">
      <c r="F89"/>
      <c r="G89"/>
    </row>
    <row r="90" spans="6:7">
      <c r="F90"/>
      <c r="G90"/>
    </row>
    <row r="91" spans="6:7">
      <c r="F91"/>
      <c r="G91"/>
    </row>
    <row r="92" spans="6:7">
      <c r="F92"/>
      <c r="G92"/>
    </row>
    <row r="93" spans="6:7">
      <c r="F93"/>
      <c r="G93"/>
    </row>
    <row r="94" spans="6:7">
      <c r="F94"/>
      <c r="G94"/>
    </row>
    <row r="95" spans="6:7">
      <c r="F95"/>
      <c r="G95"/>
    </row>
    <row r="96" spans="6:7">
      <c r="F96"/>
      <c r="G96"/>
    </row>
    <row r="97" spans="6:13">
      <c r="F97"/>
      <c r="G97"/>
    </row>
    <row r="98" spans="6:13">
      <c r="F98"/>
      <c r="G98"/>
    </row>
    <row r="99" spans="6:13">
      <c r="F99"/>
      <c r="G99"/>
    </row>
    <row r="100" spans="6:13">
      <c r="F100"/>
      <c r="G100"/>
    </row>
    <row r="101" spans="6:13">
      <c r="F101"/>
      <c r="G101"/>
    </row>
    <row r="102" spans="6:13">
      <c r="F102"/>
      <c r="G102"/>
    </row>
    <row r="103" spans="6:13">
      <c r="F103"/>
      <c r="G103"/>
    </row>
    <row r="104" spans="6:13">
      <c r="F104"/>
      <c r="G104"/>
    </row>
    <row r="105" spans="6:13">
      <c r="F105"/>
      <c r="G105"/>
    </row>
    <row r="106" spans="6:13">
      <c r="F106"/>
      <c r="G106"/>
    </row>
    <row r="107" spans="6:13">
      <c r="F107"/>
      <c r="G107"/>
    </row>
    <row r="108" spans="6:13">
      <c r="F108"/>
      <c r="G108"/>
    </row>
    <row r="109" spans="6:13">
      <c r="F109"/>
      <c r="G109"/>
    </row>
    <row r="110" spans="6:13">
      <c r="F110"/>
      <c r="G110"/>
    </row>
    <row r="111" spans="6:13">
      <c r="F111"/>
      <c r="G111"/>
      <c r="L111" s="2" t="s">
        <v>83</v>
      </c>
      <c r="M111" t="s">
        <v>1117</v>
      </c>
    </row>
    <row r="112" spans="6:13">
      <c r="F112"/>
      <c r="G112"/>
      <c r="L112" s="2" t="s">
        <v>81</v>
      </c>
      <c r="M112" t="s">
        <v>1117</v>
      </c>
    </row>
    <row r="113" spans="6:17">
      <c r="F113"/>
      <c r="G113"/>
      <c r="L113" s="2" t="s">
        <v>94</v>
      </c>
      <c r="M113" t="s">
        <v>1117</v>
      </c>
    </row>
    <row r="114" spans="6:17">
      <c r="F114"/>
      <c r="G114"/>
      <c r="L114" s="2" t="s">
        <v>1111</v>
      </c>
      <c r="M114" t="s">
        <v>1117</v>
      </c>
    </row>
    <row r="115" spans="6:17">
      <c r="F115"/>
      <c r="G115"/>
    </row>
    <row r="116" spans="6:17">
      <c r="F116"/>
      <c r="G116"/>
      <c r="L116" s="2" t="s">
        <v>1113</v>
      </c>
      <c r="M116" s="2" t="s">
        <v>1118</v>
      </c>
    </row>
    <row r="117" spans="6:17">
      <c r="L117" s="2" t="s">
        <v>1112</v>
      </c>
      <c r="M117" s="4" t="s">
        <v>134</v>
      </c>
      <c r="N117" s="4" t="s">
        <v>218</v>
      </c>
      <c r="O117" s="4" t="s">
        <v>212</v>
      </c>
      <c r="P117" s="4" t="s">
        <v>457</v>
      </c>
      <c r="Q117" s="4" t="s">
        <v>1115</v>
      </c>
    </row>
    <row r="118" spans="6:17">
      <c r="L118" s="3" t="s">
        <v>4</v>
      </c>
      <c r="M118" s="333">
        <v>26760</v>
      </c>
      <c r="N118" s="333">
        <v>42980</v>
      </c>
      <c r="O118" s="333">
        <v>160645</v>
      </c>
      <c r="P118" s="333">
        <v>54880</v>
      </c>
      <c r="Q118" s="333">
        <v>285265</v>
      </c>
    </row>
    <row r="119" spans="6:17">
      <c r="L119" s="6" t="s">
        <v>11</v>
      </c>
      <c r="M119" s="333"/>
      <c r="N119" s="333">
        <v>21840</v>
      </c>
      <c r="O119" s="333">
        <v>66800</v>
      </c>
      <c r="P119" s="333"/>
      <c r="Q119" s="333">
        <v>88640</v>
      </c>
    </row>
    <row r="120" spans="6:17">
      <c r="L120" s="6" t="s">
        <v>43</v>
      </c>
      <c r="M120" s="333"/>
      <c r="N120" s="333"/>
      <c r="O120" s="333">
        <v>52885</v>
      </c>
      <c r="P120" s="333"/>
      <c r="Q120" s="333">
        <v>52885</v>
      </c>
    </row>
    <row r="121" spans="6:17">
      <c r="L121" s="6" t="s">
        <v>45</v>
      </c>
      <c r="M121" s="333"/>
      <c r="N121" s="333"/>
      <c r="O121" s="333">
        <v>38400</v>
      </c>
      <c r="P121" s="333"/>
      <c r="Q121" s="333">
        <v>38400</v>
      </c>
    </row>
    <row r="122" spans="6:17">
      <c r="L122" s="6" t="s">
        <v>5</v>
      </c>
      <c r="M122" s="333">
        <v>16740</v>
      </c>
      <c r="N122" s="333">
        <v>16660</v>
      </c>
      <c r="O122" s="333"/>
      <c r="P122" s="333"/>
      <c r="Q122" s="333">
        <v>33400</v>
      </c>
    </row>
    <row r="123" spans="6:17">
      <c r="L123" s="6" t="s">
        <v>17</v>
      </c>
      <c r="M123" s="333">
        <v>4460</v>
      </c>
      <c r="N123" s="333"/>
      <c r="O123" s="333"/>
      <c r="P123" s="333">
        <v>9400</v>
      </c>
      <c r="Q123" s="333">
        <v>13860</v>
      </c>
    </row>
    <row r="124" spans="6:17">
      <c r="L124" s="6" t="s">
        <v>37</v>
      </c>
      <c r="M124" s="333"/>
      <c r="N124" s="333"/>
      <c r="O124" s="333">
        <v>0</v>
      </c>
      <c r="P124" s="333">
        <v>10800</v>
      </c>
      <c r="Q124" s="333">
        <v>10800</v>
      </c>
    </row>
    <row r="125" spans="6:17">
      <c r="L125" s="6" t="s">
        <v>7</v>
      </c>
      <c r="M125" s="333"/>
      <c r="N125" s="333"/>
      <c r="O125" s="333"/>
      <c r="P125" s="333">
        <v>8890</v>
      </c>
      <c r="Q125" s="333">
        <v>8890</v>
      </c>
    </row>
    <row r="126" spans="6:17">
      <c r="L126" s="6" t="s">
        <v>35</v>
      </c>
      <c r="M126" s="333"/>
      <c r="N126" s="333"/>
      <c r="O126" s="333"/>
      <c r="P126" s="333">
        <v>8640</v>
      </c>
      <c r="Q126" s="333">
        <v>8640</v>
      </c>
    </row>
    <row r="127" spans="6:17">
      <c r="L127" s="6" t="s">
        <v>19</v>
      </c>
      <c r="M127" s="333"/>
      <c r="N127" s="333"/>
      <c r="O127" s="333"/>
      <c r="P127" s="333">
        <v>8400</v>
      </c>
      <c r="Q127" s="333">
        <v>8400</v>
      </c>
    </row>
    <row r="128" spans="6:17">
      <c r="L128" s="6" t="s">
        <v>25</v>
      </c>
      <c r="M128" s="333">
        <v>1680</v>
      </c>
      <c r="N128" s="333"/>
      <c r="O128" s="333"/>
      <c r="P128" s="333">
        <v>4800</v>
      </c>
      <c r="Q128" s="333">
        <v>6480</v>
      </c>
    </row>
    <row r="129" spans="12:17">
      <c r="L129" s="6" t="s">
        <v>32</v>
      </c>
      <c r="M129" s="333"/>
      <c r="N129" s="333">
        <v>4480</v>
      </c>
      <c r="O129" s="333"/>
      <c r="P129" s="333"/>
      <c r="Q129" s="333">
        <v>4480</v>
      </c>
    </row>
    <row r="130" spans="12:17">
      <c r="L130" s="6" t="s">
        <v>28</v>
      </c>
      <c r="M130" s="333"/>
      <c r="N130" s="333"/>
      <c r="O130" s="333"/>
      <c r="P130" s="333">
        <v>3950</v>
      </c>
      <c r="Q130" s="333">
        <v>3950</v>
      </c>
    </row>
    <row r="131" spans="12:17">
      <c r="L131" s="6" t="s">
        <v>22</v>
      </c>
      <c r="M131" s="333">
        <v>3880</v>
      </c>
      <c r="N131" s="333"/>
      <c r="O131" s="333"/>
      <c r="P131" s="333"/>
      <c r="Q131" s="333">
        <v>3880</v>
      </c>
    </row>
    <row r="132" spans="12:17">
      <c r="L132" s="6" t="s">
        <v>9</v>
      </c>
      <c r="M132" s="333"/>
      <c r="N132" s="333"/>
      <c r="O132" s="333">
        <v>2560</v>
      </c>
      <c r="P132" s="333"/>
      <c r="Q132" s="333">
        <v>2560</v>
      </c>
    </row>
    <row r="133" spans="12:17">
      <c r="L133" s="3" t="s">
        <v>53</v>
      </c>
      <c r="M133" s="333">
        <v>94150</v>
      </c>
      <c r="N133" s="333">
        <v>67120</v>
      </c>
      <c r="O133" s="333"/>
      <c r="P133" s="333"/>
      <c r="Q133" s="333">
        <v>161270</v>
      </c>
    </row>
    <row r="134" spans="12:17">
      <c r="L134" s="6" t="s">
        <v>61</v>
      </c>
      <c r="M134" s="333">
        <v>90820</v>
      </c>
      <c r="N134" s="333">
        <v>67120</v>
      </c>
      <c r="O134" s="333"/>
      <c r="P134" s="333"/>
      <c r="Q134" s="333">
        <v>157940</v>
      </c>
    </row>
    <row r="135" spans="12:17">
      <c r="L135" s="6" t="s">
        <v>56</v>
      </c>
      <c r="M135" s="333">
        <v>3330</v>
      </c>
      <c r="N135" s="333"/>
      <c r="O135" s="333"/>
      <c r="P135" s="333"/>
      <c r="Q135" s="333">
        <v>3330</v>
      </c>
    </row>
    <row r="136" spans="12:17">
      <c r="L136" s="3" t="s">
        <v>72</v>
      </c>
      <c r="M136" s="333"/>
      <c r="N136" s="333"/>
      <c r="O136" s="333">
        <v>29700</v>
      </c>
      <c r="P136" s="333">
        <v>17240</v>
      </c>
      <c r="Q136" s="333">
        <v>46940</v>
      </c>
    </row>
    <row r="137" spans="12:17">
      <c r="L137" s="6" t="s">
        <v>11</v>
      </c>
      <c r="M137" s="333"/>
      <c r="N137" s="333"/>
      <c r="O137" s="333">
        <v>11000</v>
      </c>
      <c r="P137" s="333"/>
      <c r="Q137" s="333">
        <v>11000</v>
      </c>
    </row>
    <row r="138" spans="12:17">
      <c r="L138" s="6" t="s">
        <v>73</v>
      </c>
      <c r="M138" s="333"/>
      <c r="N138" s="333"/>
      <c r="O138" s="333">
        <v>9900</v>
      </c>
      <c r="P138" s="333"/>
      <c r="Q138" s="333">
        <v>9900</v>
      </c>
    </row>
    <row r="139" spans="12:17">
      <c r="L139" s="6" t="s">
        <v>40</v>
      </c>
      <c r="M139" s="333"/>
      <c r="N139" s="333"/>
      <c r="O139" s="333"/>
      <c r="P139" s="333">
        <v>8640</v>
      </c>
      <c r="Q139" s="333">
        <v>8640</v>
      </c>
    </row>
    <row r="140" spans="12:17">
      <c r="L140" s="6" t="s">
        <v>17</v>
      </c>
      <c r="M140" s="333"/>
      <c r="N140" s="333"/>
      <c r="O140" s="333"/>
      <c r="P140" s="333">
        <v>8600</v>
      </c>
      <c r="Q140" s="333">
        <v>8600</v>
      </c>
    </row>
    <row r="141" spans="12:17">
      <c r="L141" s="6" t="s">
        <v>77</v>
      </c>
      <c r="M141" s="333"/>
      <c r="N141" s="333"/>
      <c r="O141" s="333">
        <v>6600</v>
      </c>
      <c r="P141" s="333"/>
      <c r="Q141" s="333">
        <v>6600</v>
      </c>
    </row>
    <row r="142" spans="12:17">
      <c r="L142" s="6" t="s">
        <v>74</v>
      </c>
      <c r="M142" s="333"/>
      <c r="N142" s="333"/>
      <c r="O142" s="333">
        <v>2200</v>
      </c>
      <c r="P142" s="333"/>
      <c r="Q142" s="333">
        <v>2200</v>
      </c>
    </row>
    <row r="143" spans="12:17">
      <c r="L143" s="3" t="s">
        <v>139</v>
      </c>
      <c r="M143" s="333">
        <v>32540</v>
      </c>
      <c r="N143" s="333">
        <v>3680</v>
      </c>
      <c r="O143" s="333">
        <v>26200</v>
      </c>
      <c r="P143" s="333"/>
      <c r="Q143" s="333">
        <v>62420</v>
      </c>
    </row>
    <row r="144" spans="12:17">
      <c r="L144" s="6" t="s">
        <v>139</v>
      </c>
      <c r="M144" s="333">
        <v>32540</v>
      </c>
      <c r="N144" s="333">
        <v>3680</v>
      </c>
      <c r="O144" s="333">
        <v>26200</v>
      </c>
      <c r="P144" s="333"/>
      <c r="Q144" s="333">
        <v>62420</v>
      </c>
    </row>
    <row r="145" spans="12:17">
      <c r="L145" s="3" t="s">
        <v>1115</v>
      </c>
      <c r="M145" s="333">
        <v>153450</v>
      </c>
      <c r="N145" s="333">
        <v>113780</v>
      </c>
      <c r="O145" s="333">
        <v>216545</v>
      </c>
      <c r="P145" s="333">
        <v>72120</v>
      </c>
      <c r="Q145" s="333">
        <v>555895</v>
      </c>
    </row>
    <row r="149" spans="12:17">
      <c r="L149" s="2" t="s">
        <v>83</v>
      </c>
      <c r="M149" t="s">
        <v>1117</v>
      </c>
    </row>
    <row r="150" spans="12:17">
      <c r="L150" s="2" t="s">
        <v>81</v>
      </c>
      <c r="M150" t="s">
        <v>1117</v>
      </c>
    </row>
    <row r="152" spans="12:17">
      <c r="L152" s="2" t="s">
        <v>1113</v>
      </c>
      <c r="M152" s="2" t="s">
        <v>1118</v>
      </c>
    </row>
    <row r="153" spans="12:17">
      <c r="L153" s="2" t="s">
        <v>1112</v>
      </c>
      <c r="M153" t="s">
        <v>206</v>
      </c>
      <c r="N153" s="4" t="s">
        <v>1115</v>
      </c>
    </row>
    <row r="154" spans="12:17">
      <c r="L154" s="4" t="s">
        <v>134</v>
      </c>
      <c r="M154" s="333">
        <v>155680</v>
      </c>
      <c r="N154" s="333">
        <v>155680</v>
      </c>
    </row>
    <row r="155" spans="12:17">
      <c r="L155" s="6" t="s">
        <v>61</v>
      </c>
      <c r="M155" s="333">
        <v>90820</v>
      </c>
      <c r="N155" s="333">
        <v>90820</v>
      </c>
    </row>
    <row r="156" spans="12:17">
      <c r="L156" s="6" t="s">
        <v>139</v>
      </c>
      <c r="M156" s="333">
        <v>32540</v>
      </c>
      <c r="N156" s="333">
        <v>32540</v>
      </c>
    </row>
    <row r="157" spans="12:17">
      <c r="L157" s="6" t="s">
        <v>5</v>
      </c>
      <c r="M157" s="333">
        <v>18970</v>
      </c>
      <c r="N157" s="333">
        <v>18970</v>
      </c>
    </row>
    <row r="158" spans="12:17">
      <c r="L158" s="6" t="s">
        <v>17</v>
      </c>
      <c r="M158" s="333">
        <v>4460</v>
      </c>
      <c r="N158" s="333">
        <v>4460</v>
      </c>
    </row>
    <row r="159" spans="12:17">
      <c r="L159" s="6" t="s">
        <v>22</v>
      </c>
      <c r="M159" s="333">
        <v>3880</v>
      </c>
      <c r="N159" s="333">
        <v>3880</v>
      </c>
    </row>
    <row r="160" spans="12:17">
      <c r="L160" s="6" t="s">
        <v>56</v>
      </c>
      <c r="M160" s="333">
        <v>3330</v>
      </c>
      <c r="N160" s="333">
        <v>3330</v>
      </c>
    </row>
    <row r="161" spans="12:14">
      <c r="L161" s="6" t="s">
        <v>25</v>
      </c>
      <c r="M161" s="333">
        <v>1680</v>
      </c>
      <c r="N161" s="333">
        <v>1680</v>
      </c>
    </row>
    <row r="162" spans="12:14">
      <c r="L162" s="4" t="s">
        <v>218</v>
      </c>
      <c r="M162" s="333">
        <v>114420</v>
      </c>
      <c r="N162" s="333">
        <v>114420</v>
      </c>
    </row>
    <row r="163" spans="12:14">
      <c r="L163" s="6" t="s">
        <v>61</v>
      </c>
      <c r="M163" s="333">
        <v>67120</v>
      </c>
      <c r="N163" s="333">
        <v>67120</v>
      </c>
    </row>
    <row r="164" spans="12:14">
      <c r="L164" s="6" t="s">
        <v>11</v>
      </c>
      <c r="M164" s="333">
        <v>21840</v>
      </c>
      <c r="N164" s="333">
        <v>21840</v>
      </c>
    </row>
    <row r="165" spans="12:14">
      <c r="L165" s="6" t="s">
        <v>5</v>
      </c>
      <c r="M165" s="333">
        <v>16660</v>
      </c>
      <c r="N165" s="333">
        <v>16660</v>
      </c>
    </row>
    <row r="166" spans="12:14">
      <c r="L166" s="6" t="s">
        <v>32</v>
      </c>
      <c r="M166" s="333">
        <v>4480</v>
      </c>
      <c r="N166" s="333">
        <v>4480</v>
      </c>
    </row>
    <row r="167" spans="12:14">
      <c r="L167" s="6" t="s">
        <v>139</v>
      </c>
      <c r="M167" s="333">
        <v>3680</v>
      </c>
      <c r="N167" s="333">
        <v>3680</v>
      </c>
    </row>
    <row r="168" spans="12:14">
      <c r="L168" s="6" t="s">
        <v>24</v>
      </c>
      <c r="M168" s="333">
        <v>640</v>
      </c>
      <c r="N168" s="333">
        <v>640</v>
      </c>
    </row>
    <row r="169" spans="12:14">
      <c r="L169" s="4" t="s">
        <v>212</v>
      </c>
      <c r="M169" s="333">
        <v>334401</v>
      </c>
      <c r="N169" s="333">
        <v>334401</v>
      </c>
    </row>
    <row r="170" spans="12:14">
      <c r="L170" s="6" t="s">
        <v>139</v>
      </c>
      <c r="M170" s="333">
        <v>143416</v>
      </c>
      <c r="N170" s="333">
        <v>143416</v>
      </c>
    </row>
    <row r="171" spans="12:14">
      <c r="L171" s="6" t="s">
        <v>11</v>
      </c>
      <c r="M171" s="333">
        <v>77800</v>
      </c>
      <c r="N171" s="333">
        <v>77800</v>
      </c>
    </row>
    <row r="172" spans="12:14">
      <c r="L172" s="6" t="s">
        <v>43</v>
      </c>
      <c r="M172" s="333">
        <v>52885</v>
      </c>
      <c r="N172" s="333">
        <v>52885</v>
      </c>
    </row>
    <row r="173" spans="12:14">
      <c r="L173" s="6" t="s">
        <v>45</v>
      </c>
      <c r="M173" s="333">
        <v>38400</v>
      </c>
      <c r="N173" s="333">
        <v>38400</v>
      </c>
    </row>
    <row r="174" spans="12:14">
      <c r="L174" s="6" t="s">
        <v>73</v>
      </c>
      <c r="M174" s="333">
        <v>9900</v>
      </c>
      <c r="N174" s="333">
        <v>9900</v>
      </c>
    </row>
    <row r="175" spans="12:14">
      <c r="L175" s="6" t="s">
        <v>77</v>
      </c>
      <c r="M175" s="333">
        <v>6600</v>
      </c>
      <c r="N175" s="333">
        <v>6600</v>
      </c>
    </row>
    <row r="176" spans="12:14">
      <c r="L176" s="6" t="s">
        <v>9</v>
      </c>
      <c r="M176" s="333">
        <v>2560</v>
      </c>
      <c r="N176" s="333">
        <v>2560</v>
      </c>
    </row>
    <row r="177" spans="12:14">
      <c r="L177" s="6" t="s">
        <v>74</v>
      </c>
      <c r="M177" s="333">
        <v>2200</v>
      </c>
      <c r="N177" s="333">
        <v>2200</v>
      </c>
    </row>
    <row r="178" spans="12:14">
      <c r="L178" s="6" t="s">
        <v>32</v>
      </c>
      <c r="M178" s="333">
        <v>640</v>
      </c>
      <c r="N178" s="333">
        <v>640</v>
      </c>
    </row>
    <row r="179" spans="12:14">
      <c r="L179" s="6" t="s">
        <v>37</v>
      </c>
      <c r="M179" s="333">
        <v>0</v>
      </c>
      <c r="N179" s="333">
        <v>0</v>
      </c>
    </row>
    <row r="180" spans="12:14">
      <c r="L180" s="4" t="s">
        <v>457</v>
      </c>
      <c r="M180" s="333">
        <v>72120</v>
      </c>
      <c r="N180" s="333">
        <v>72120</v>
      </c>
    </row>
    <row r="181" spans="12:14">
      <c r="L181" s="6" t="s">
        <v>17</v>
      </c>
      <c r="M181" s="333">
        <v>18000</v>
      </c>
      <c r="N181" s="333">
        <v>18000</v>
      </c>
    </row>
    <row r="182" spans="12:14">
      <c r="L182" s="6" t="s">
        <v>37</v>
      </c>
      <c r="M182" s="333">
        <v>10800</v>
      </c>
      <c r="N182" s="333">
        <v>10800</v>
      </c>
    </row>
    <row r="183" spans="12:14">
      <c r="L183" s="6" t="s">
        <v>7</v>
      </c>
      <c r="M183" s="333">
        <v>8890</v>
      </c>
      <c r="N183" s="333">
        <v>8890</v>
      </c>
    </row>
    <row r="184" spans="12:14">
      <c r="L184" s="6" t="s">
        <v>40</v>
      </c>
      <c r="M184" s="333">
        <v>8640</v>
      </c>
      <c r="N184" s="333">
        <v>8640</v>
      </c>
    </row>
    <row r="185" spans="12:14">
      <c r="L185" s="6" t="s">
        <v>35</v>
      </c>
      <c r="M185" s="333">
        <v>8640</v>
      </c>
      <c r="N185" s="333">
        <v>8640</v>
      </c>
    </row>
    <row r="186" spans="12:14">
      <c r="L186" s="6" t="s">
        <v>19</v>
      </c>
      <c r="M186" s="333">
        <v>8400</v>
      </c>
      <c r="N186" s="333">
        <v>8400</v>
      </c>
    </row>
    <row r="187" spans="12:14">
      <c r="L187" s="6" t="s">
        <v>25</v>
      </c>
      <c r="M187" s="333">
        <v>4800</v>
      </c>
      <c r="N187" s="333">
        <v>4800</v>
      </c>
    </row>
    <row r="188" spans="12:14">
      <c r="L188" s="6" t="s">
        <v>28</v>
      </c>
      <c r="M188" s="333">
        <v>3950</v>
      </c>
      <c r="N188" s="333">
        <v>3950</v>
      </c>
    </row>
    <row r="189" spans="12:14">
      <c r="L189" s="3" t="s">
        <v>1115</v>
      </c>
      <c r="M189" s="333">
        <v>676621</v>
      </c>
      <c r="N189" s="333">
        <v>676621</v>
      </c>
    </row>
  </sheetData>
  <pageMargins left="0.7" right="0.7" top="0.75" bottom="0.75" header="0.3" footer="0.3"/>
  <pageSetup paperSize="9" orientation="portrait" r:id="rId8"/>
  <legacyDrawing r:id="rId9"/>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192E9-787C-4BE4-A1D1-7A71606B238D}">
  <sheetPr>
    <tabColor theme="8" tint="0.79998168889431442"/>
  </sheetPr>
  <dimension ref="A1:G75"/>
  <sheetViews>
    <sheetView topLeftCell="A24" zoomScale="128" zoomScaleNormal="128" workbookViewId="0">
      <selection activeCell="A39" sqref="A39"/>
    </sheetView>
  </sheetViews>
  <sheetFormatPr baseColWidth="10" defaultColWidth="11.3984375" defaultRowHeight="14.25"/>
  <cols>
    <col min="1" max="1" width="22.73046875" bestFit="1" customWidth="1"/>
    <col min="2" max="2" width="25.1328125" style="28" bestFit="1" customWidth="1"/>
    <col min="3" max="3" width="9.73046875" style="28" bestFit="1" customWidth="1"/>
    <col min="4" max="4" width="10.265625" style="28" bestFit="1" customWidth="1"/>
    <col min="5" max="5" width="10.1328125" style="28" bestFit="1" customWidth="1"/>
    <col min="6" max="6" width="9.59765625" style="28" bestFit="1" customWidth="1"/>
    <col min="7" max="7" width="12.59765625" style="28" bestFit="1" customWidth="1"/>
    <col min="8" max="8" width="14.73046875" bestFit="1" customWidth="1"/>
    <col min="9" max="9" width="15.86328125" bestFit="1" customWidth="1"/>
    <col min="10" max="10" width="19.73046875" bestFit="1" customWidth="1"/>
    <col min="11" max="11" width="20.86328125" bestFit="1" customWidth="1"/>
  </cols>
  <sheetData>
    <row r="1" spans="1:7">
      <c r="A1" s="2" t="s">
        <v>83</v>
      </c>
      <c r="B1" t="s">
        <v>130</v>
      </c>
    </row>
    <row r="2" spans="1:7">
      <c r="A2" s="2" t="s">
        <v>96</v>
      </c>
      <c r="B2" t="s">
        <v>1117</v>
      </c>
    </row>
    <row r="4" spans="1:7">
      <c r="B4" s="420" t="s">
        <v>1118</v>
      </c>
      <c r="G4"/>
    </row>
    <row r="5" spans="1:7">
      <c r="A5" s="2" t="s">
        <v>1112</v>
      </c>
      <c r="B5" s="28" t="s">
        <v>152</v>
      </c>
      <c r="C5" s="28" t="s">
        <v>145</v>
      </c>
      <c r="D5" s="28" t="s">
        <v>221</v>
      </c>
      <c r="E5" s="28" t="s">
        <v>320</v>
      </c>
      <c r="F5" s="28" t="s">
        <v>1115</v>
      </c>
      <c r="G5"/>
    </row>
    <row r="6" spans="1:7">
      <c r="A6" s="3" t="s">
        <v>131</v>
      </c>
      <c r="B6" s="4"/>
      <c r="C6" s="4"/>
      <c r="D6" s="4"/>
      <c r="E6" s="4"/>
      <c r="F6" s="4"/>
      <c r="G6"/>
    </row>
    <row r="7" spans="1:7">
      <c r="A7" s="3" t="s">
        <v>212</v>
      </c>
      <c r="B7" s="4"/>
      <c r="C7" s="4"/>
      <c r="D7" s="4"/>
      <c r="E7" s="4"/>
      <c r="F7" s="4"/>
      <c r="G7"/>
    </row>
    <row r="8" spans="1:7">
      <c r="A8" s="3" t="s">
        <v>218</v>
      </c>
      <c r="B8" s="4"/>
      <c r="C8" s="4"/>
      <c r="D8" s="4"/>
      <c r="E8" s="4"/>
      <c r="F8" s="4"/>
      <c r="G8"/>
    </row>
    <row r="9" spans="1:7">
      <c r="A9" s="3" t="s">
        <v>457</v>
      </c>
      <c r="B9" s="4"/>
      <c r="C9" s="4"/>
      <c r="D9" s="4"/>
      <c r="E9" s="4"/>
      <c r="F9" s="4"/>
      <c r="G9"/>
    </row>
    <row r="10" spans="1:7">
      <c r="A10" s="3" t="s">
        <v>134</v>
      </c>
      <c r="B10" s="4"/>
      <c r="C10" s="4"/>
      <c r="D10" s="4"/>
      <c r="E10" s="4"/>
      <c r="F10" s="4"/>
      <c r="G10"/>
    </row>
    <row r="11" spans="1:7">
      <c r="A11" s="3" t="s">
        <v>1115</v>
      </c>
      <c r="B11" s="4"/>
      <c r="C11" s="4"/>
      <c r="D11" s="4"/>
      <c r="E11" s="4"/>
      <c r="F11" s="4"/>
      <c r="G11"/>
    </row>
    <row r="12" spans="1:7">
      <c r="B12"/>
      <c r="C12"/>
      <c r="D12"/>
      <c r="E12"/>
      <c r="F12"/>
      <c r="G12"/>
    </row>
    <row r="13" spans="1:7" hidden="1">
      <c r="A13" s="2" t="s">
        <v>83</v>
      </c>
      <c r="B13" t="s">
        <v>130</v>
      </c>
      <c r="G13"/>
    </row>
    <row r="14" spans="1:7" hidden="1">
      <c r="A14" s="2" t="s">
        <v>96</v>
      </c>
      <c r="B14" t="s">
        <v>1117</v>
      </c>
      <c r="G14"/>
    </row>
    <row r="15" spans="1:7" hidden="1">
      <c r="G15"/>
    </row>
    <row r="16" spans="1:7" hidden="1">
      <c r="B16" s="420" t="s">
        <v>1118</v>
      </c>
      <c r="G16"/>
    </row>
    <row r="17" spans="1:7" hidden="1">
      <c r="B17" s="28" t="s">
        <v>152</v>
      </c>
      <c r="C17" s="28" t="s">
        <v>145</v>
      </c>
      <c r="D17" s="28" t="s">
        <v>221</v>
      </c>
      <c r="E17" s="28" t="s">
        <v>320</v>
      </c>
      <c r="F17" s="28" t="s">
        <v>1115</v>
      </c>
      <c r="G17"/>
    </row>
    <row r="18" spans="1:7">
      <c r="A18" t="s">
        <v>1113</v>
      </c>
      <c r="B18" s="519">
        <v>6600</v>
      </c>
      <c r="C18" s="519">
        <v>109120</v>
      </c>
      <c r="D18" s="519">
        <v>66800</v>
      </c>
      <c r="E18" s="519">
        <v>28260</v>
      </c>
      <c r="F18" s="519">
        <v>210780</v>
      </c>
      <c r="G18"/>
    </row>
    <row r="19" spans="1:7">
      <c r="B19"/>
      <c r="C19"/>
      <c r="D19"/>
      <c r="E19"/>
      <c r="F19"/>
      <c r="G19"/>
    </row>
    <row r="20" spans="1:7">
      <c r="B20"/>
      <c r="C20"/>
      <c r="D20"/>
      <c r="E20"/>
      <c r="F20"/>
      <c r="G20"/>
    </row>
    <row r="21" spans="1:7">
      <c r="B21"/>
      <c r="C21"/>
      <c r="D21"/>
      <c r="E21"/>
      <c r="F21"/>
      <c r="G21"/>
    </row>
    <row r="22" spans="1:7">
      <c r="B22"/>
      <c r="C22"/>
      <c r="D22"/>
      <c r="E22"/>
      <c r="F22"/>
      <c r="G22"/>
    </row>
    <row r="23" spans="1:7">
      <c r="B23"/>
      <c r="C23"/>
      <c r="D23"/>
      <c r="E23"/>
      <c r="F23"/>
      <c r="G23"/>
    </row>
    <row r="24" spans="1:7">
      <c r="B24"/>
      <c r="C24"/>
      <c r="D24"/>
      <c r="E24"/>
      <c r="F24"/>
      <c r="G24"/>
    </row>
    <row r="25" spans="1:7">
      <c r="A25" s="2" t="s">
        <v>83</v>
      </c>
      <c r="B25" t="s">
        <v>1117</v>
      </c>
    </row>
    <row r="26" spans="1:7">
      <c r="A26" s="2" t="s">
        <v>84</v>
      </c>
      <c r="B26" t="s">
        <v>1117</v>
      </c>
    </row>
    <row r="27" spans="1:7">
      <c r="A27" s="2" t="s">
        <v>99</v>
      </c>
      <c r="B27" t="s">
        <v>82</v>
      </c>
    </row>
    <row r="29" spans="1:7">
      <c r="A29" s="2" t="s">
        <v>1128</v>
      </c>
      <c r="B29" s="420" t="s">
        <v>1118</v>
      </c>
    </row>
    <row r="30" spans="1:7">
      <c r="A30" s="2" t="s">
        <v>1112</v>
      </c>
      <c r="B30" s="28" t="s">
        <v>206</v>
      </c>
      <c r="C30" s="28" t="s">
        <v>328</v>
      </c>
      <c r="D30" s="28" t="s">
        <v>330</v>
      </c>
      <c r="E30" s="28" t="s">
        <v>329</v>
      </c>
      <c r="F30" s="28" t="s">
        <v>140</v>
      </c>
      <c r="G30" s="28" t="s">
        <v>1115</v>
      </c>
    </row>
    <row r="31" spans="1:7">
      <c r="A31" s="3" t="s">
        <v>4</v>
      </c>
      <c r="B31" s="127">
        <v>198950</v>
      </c>
      <c r="C31" s="127">
        <v>30600</v>
      </c>
      <c r="D31" s="127">
        <v>34540</v>
      </c>
      <c r="E31" s="127">
        <v>54520</v>
      </c>
      <c r="F31" s="127">
        <v>30600</v>
      </c>
      <c r="G31" s="127">
        <v>349210</v>
      </c>
    </row>
    <row r="32" spans="1:7">
      <c r="A32" s="3" t="s">
        <v>53</v>
      </c>
      <c r="B32" s="127">
        <v>14020</v>
      </c>
      <c r="C32" s="127"/>
      <c r="D32" s="127"/>
      <c r="E32" s="127"/>
      <c r="F32" s="127"/>
      <c r="G32" s="127">
        <v>14020</v>
      </c>
    </row>
    <row r="33" spans="1:7">
      <c r="A33" s="6" t="s">
        <v>70</v>
      </c>
      <c r="B33" s="127">
        <v>14020</v>
      </c>
      <c r="C33" s="127"/>
      <c r="D33" s="127"/>
      <c r="E33" s="127"/>
      <c r="F33" s="127"/>
      <c r="G33" s="127">
        <v>14020</v>
      </c>
    </row>
    <row r="34" spans="1:7">
      <c r="A34" s="3" t="s">
        <v>24</v>
      </c>
      <c r="B34" s="127">
        <v>2840</v>
      </c>
      <c r="C34" s="127"/>
      <c r="D34" s="127"/>
      <c r="E34" s="127"/>
      <c r="F34" s="127"/>
      <c r="G34" s="127">
        <v>2840</v>
      </c>
    </row>
    <row r="35" spans="1:7">
      <c r="A35" s="6" t="s">
        <v>80</v>
      </c>
      <c r="B35" s="127">
        <v>2840</v>
      </c>
      <c r="C35" s="127"/>
      <c r="D35" s="127"/>
      <c r="E35" s="127"/>
      <c r="F35" s="127"/>
      <c r="G35" s="127">
        <v>2840</v>
      </c>
    </row>
    <row r="36" spans="1:7">
      <c r="A36" s="3" t="s">
        <v>139</v>
      </c>
      <c r="B36" s="127">
        <v>56079.72</v>
      </c>
      <c r="C36" s="127">
        <v>42218.36</v>
      </c>
      <c r="D36" s="127">
        <v>21752.04</v>
      </c>
      <c r="E36" s="127">
        <v>65579.72</v>
      </c>
      <c r="F36" s="127">
        <v>64658.16</v>
      </c>
      <c r="G36" s="127">
        <v>250288</v>
      </c>
    </row>
    <row r="37" spans="1:7">
      <c r="A37" s="6" t="s">
        <v>139</v>
      </c>
      <c r="B37" s="127">
        <v>56079.72</v>
      </c>
      <c r="C37" s="127">
        <v>42218.36</v>
      </c>
      <c r="D37" s="127">
        <v>21752.04</v>
      </c>
      <c r="E37" s="127">
        <v>65579.72</v>
      </c>
      <c r="F37" s="127">
        <v>64658.16</v>
      </c>
      <c r="G37" s="127">
        <v>250288</v>
      </c>
    </row>
    <row r="38" spans="1:7">
      <c r="A38" s="3" t="s">
        <v>1115</v>
      </c>
      <c r="B38" s="127">
        <v>271889.71999999997</v>
      </c>
      <c r="C38" s="127">
        <v>72818.36</v>
      </c>
      <c r="D38" s="127">
        <v>56292.04</v>
      </c>
      <c r="E38" s="127">
        <v>120099.72</v>
      </c>
      <c r="F38" s="127">
        <v>95258.16</v>
      </c>
      <c r="G38" s="127">
        <v>616358</v>
      </c>
    </row>
    <row r="39" spans="1:7">
      <c r="B39"/>
      <c r="C39"/>
      <c r="D39"/>
      <c r="E39"/>
      <c r="F39"/>
      <c r="G39"/>
    </row>
    <row r="40" spans="1:7">
      <c r="B40"/>
      <c r="C40"/>
      <c r="D40"/>
      <c r="E40"/>
      <c r="F40"/>
      <c r="G40"/>
    </row>
    <row r="41" spans="1:7">
      <c r="B41"/>
      <c r="C41"/>
      <c r="D41"/>
      <c r="E41"/>
      <c r="F41"/>
      <c r="G41"/>
    </row>
    <row r="42" spans="1:7">
      <c r="B42"/>
      <c r="C42"/>
      <c r="D42"/>
      <c r="E42"/>
      <c r="F42"/>
      <c r="G42"/>
    </row>
    <row r="43" spans="1:7">
      <c r="B43"/>
      <c r="C43"/>
      <c r="D43"/>
      <c r="E43"/>
      <c r="F43"/>
      <c r="G43"/>
    </row>
    <row r="44" spans="1:7">
      <c r="B44"/>
      <c r="C44"/>
      <c r="D44"/>
      <c r="E44"/>
      <c r="F44"/>
      <c r="G44"/>
    </row>
    <row r="45" spans="1:7">
      <c r="B45"/>
      <c r="C45"/>
      <c r="D45"/>
      <c r="E45"/>
      <c r="F45"/>
      <c r="G45"/>
    </row>
    <row r="46" spans="1:7">
      <c r="B46"/>
      <c r="C46"/>
      <c r="D46"/>
      <c r="E46"/>
      <c r="F46"/>
      <c r="G46"/>
    </row>
    <row r="47" spans="1:7">
      <c r="B47"/>
      <c r="C47"/>
      <c r="D47"/>
      <c r="E47"/>
      <c r="F47"/>
      <c r="G47"/>
    </row>
    <row r="48" spans="1:7">
      <c r="B48"/>
      <c r="C48"/>
      <c r="D48"/>
      <c r="E48"/>
      <c r="F48"/>
      <c r="G48"/>
    </row>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sheetData>
  <pageMargins left="0.7" right="0.7" top="0.75" bottom="0.75" header="0.3" footer="0.3"/>
  <pageSetup paperSize="9" orientation="portrait"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252B-7657-4707-99B4-8F27E1DE0970}">
  <dimension ref="A1:AL6"/>
  <sheetViews>
    <sheetView workbookViewId="0"/>
  </sheetViews>
  <sheetFormatPr baseColWidth="10" defaultColWidth="11.3984375" defaultRowHeight="14.25"/>
  <cols>
    <col min="2" max="2" width="23.1328125" bestFit="1" customWidth="1"/>
    <col min="3" max="3" width="12.265625" bestFit="1" customWidth="1"/>
    <col min="4" max="4" width="85.1328125" bestFit="1" customWidth="1"/>
    <col min="5" max="5" width="12.59765625" bestFit="1" customWidth="1"/>
    <col min="6" max="6" width="79.59765625" bestFit="1" customWidth="1"/>
    <col min="7" max="7" width="11.59765625" bestFit="1" customWidth="1"/>
    <col min="8" max="8" width="29.59765625" bestFit="1" customWidth="1"/>
    <col min="11" max="11" width="14.73046875" bestFit="1" customWidth="1"/>
    <col min="12" max="12" width="10.73046875" bestFit="1" customWidth="1"/>
    <col min="13" max="13" width="13.86328125" bestFit="1" customWidth="1"/>
    <col min="14" max="14" width="11.265625" bestFit="1" customWidth="1"/>
    <col min="15" max="15" width="18.59765625" bestFit="1" customWidth="1"/>
    <col min="16" max="16" width="14.1328125" bestFit="1" customWidth="1"/>
    <col min="17" max="17" width="64.5976562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27.265625" bestFit="1" customWidth="1"/>
  </cols>
  <sheetData>
    <row r="1" spans="1:38" ht="71.25">
      <c r="A1" s="485" t="s">
        <v>1137</v>
      </c>
    </row>
    <row r="3" spans="1:38" ht="28.5">
      <c r="A3" t="s">
        <v>83</v>
      </c>
      <c r="B3" s="329" t="s">
        <v>1138</v>
      </c>
      <c r="C3" t="s">
        <v>84</v>
      </c>
      <c r="D3" t="s">
        <v>1111</v>
      </c>
      <c r="E3" t="s">
        <v>1139</v>
      </c>
      <c r="F3" t="s">
        <v>88</v>
      </c>
      <c r="G3" t="s">
        <v>89</v>
      </c>
      <c r="H3" t="s">
        <v>1140</v>
      </c>
      <c r="I3" t="s">
        <v>1</v>
      </c>
      <c r="J3" t="s">
        <v>94</v>
      </c>
      <c r="K3" t="s">
        <v>3</v>
      </c>
      <c r="L3" t="s">
        <v>96</v>
      </c>
      <c r="M3" t="s">
        <v>81</v>
      </c>
      <c r="N3" t="s">
        <v>97</v>
      </c>
      <c r="O3" t="s">
        <v>98</v>
      </c>
      <c r="P3" s="329" t="s">
        <v>99</v>
      </c>
      <c r="Q3" t="s">
        <v>100</v>
      </c>
      <c r="R3" t="s">
        <v>101</v>
      </c>
      <c r="S3" t="s">
        <v>102</v>
      </c>
      <c r="T3" s="329" t="s">
        <v>103</v>
      </c>
      <c r="U3" s="329" t="s">
        <v>106</v>
      </c>
      <c r="V3" s="329" t="s">
        <v>107</v>
      </c>
      <c r="W3" s="329" t="s">
        <v>108</v>
      </c>
      <c r="X3" t="s">
        <v>109</v>
      </c>
      <c r="Y3" s="329" t="s">
        <v>110</v>
      </c>
      <c r="Z3" t="s">
        <v>111</v>
      </c>
      <c r="AA3" t="s">
        <v>113</v>
      </c>
      <c r="AB3" t="s">
        <v>114</v>
      </c>
      <c r="AC3" t="s">
        <v>115</v>
      </c>
      <c r="AD3" t="s">
        <v>116</v>
      </c>
      <c r="AE3" t="s">
        <v>117</v>
      </c>
      <c r="AF3" t="s">
        <v>118</v>
      </c>
      <c r="AG3" t="s">
        <v>119</v>
      </c>
      <c r="AH3" t="s">
        <v>120</v>
      </c>
      <c r="AI3" t="s">
        <v>124</v>
      </c>
      <c r="AJ3" t="s">
        <v>125</v>
      </c>
      <c r="AK3" t="s">
        <v>126</v>
      </c>
      <c r="AL3" t="s">
        <v>127</v>
      </c>
    </row>
    <row r="4" spans="1:38">
      <c r="A4" t="s">
        <v>130</v>
      </c>
      <c r="C4" t="s">
        <v>134</v>
      </c>
      <c r="D4" t="s">
        <v>528</v>
      </c>
      <c r="F4" t="s">
        <v>529</v>
      </c>
      <c r="H4" t="s">
        <v>220</v>
      </c>
      <c r="I4" t="s">
        <v>139</v>
      </c>
      <c r="J4" t="s">
        <v>206</v>
      </c>
      <c r="K4" t="s">
        <v>530</v>
      </c>
      <c r="L4" t="s">
        <v>139</v>
      </c>
      <c r="M4" t="s">
        <v>143</v>
      </c>
      <c r="N4" t="s">
        <v>144</v>
      </c>
      <c r="P4" t="s">
        <v>152</v>
      </c>
      <c r="R4" t="s">
        <v>136</v>
      </c>
      <c r="S4">
        <v>1</v>
      </c>
      <c r="T4">
        <v>20</v>
      </c>
      <c r="U4">
        <v>8</v>
      </c>
      <c r="V4">
        <v>550</v>
      </c>
      <c r="X4">
        <v>88000</v>
      </c>
      <c r="AA4" s="1">
        <v>45306</v>
      </c>
      <c r="AB4" s="1">
        <v>45501</v>
      </c>
      <c r="AC4" s="1" t="e">
        <v>#REF!</v>
      </c>
      <c r="AD4" s="1">
        <v>45502</v>
      </c>
      <c r="AE4" s="1">
        <v>45516</v>
      </c>
      <c r="AF4" s="1">
        <v>364030</v>
      </c>
      <c r="AG4" s="1">
        <v>45361</v>
      </c>
      <c r="AH4" s="1">
        <v>45657</v>
      </c>
      <c r="AI4">
        <v>296</v>
      </c>
      <c r="AJ4" t="s">
        <v>532</v>
      </c>
    </row>
    <row r="5" spans="1:38">
      <c r="A5" t="s">
        <v>130</v>
      </c>
      <c r="C5" t="s">
        <v>134</v>
      </c>
      <c r="D5" t="s">
        <v>710</v>
      </c>
      <c r="F5" s="329" t="s">
        <v>711</v>
      </c>
      <c r="H5" t="s">
        <v>694</v>
      </c>
      <c r="I5" t="s">
        <v>4</v>
      </c>
      <c r="J5" t="s">
        <v>206</v>
      </c>
      <c r="K5" t="s">
        <v>6</v>
      </c>
      <c r="L5" t="s">
        <v>5</v>
      </c>
      <c r="M5" t="s">
        <v>208</v>
      </c>
      <c r="N5" t="s">
        <v>144</v>
      </c>
      <c r="O5">
        <v>1</v>
      </c>
      <c r="P5" t="s">
        <v>152</v>
      </c>
      <c r="R5" t="s">
        <v>210</v>
      </c>
      <c r="S5">
        <v>1</v>
      </c>
      <c r="T5">
        <v>1</v>
      </c>
      <c r="U5">
        <v>2</v>
      </c>
      <c r="V5">
        <v>550</v>
      </c>
      <c r="X5">
        <v>1600</v>
      </c>
      <c r="AA5" s="1">
        <v>45376</v>
      </c>
      <c r="AB5" s="1">
        <v>45390</v>
      </c>
      <c r="AC5" s="1">
        <v>14</v>
      </c>
      <c r="AD5" s="1">
        <v>45391</v>
      </c>
      <c r="AE5" s="1">
        <v>45405</v>
      </c>
      <c r="AF5" s="1">
        <v>363142</v>
      </c>
      <c r="AG5" s="1">
        <v>45406</v>
      </c>
      <c r="AH5" s="1">
        <v>45420</v>
      </c>
      <c r="AI5">
        <v>14</v>
      </c>
    </row>
    <row r="6" spans="1:38">
      <c r="A6" t="s">
        <v>130</v>
      </c>
      <c r="C6" t="s">
        <v>134</v>
      </c>
      <c r="D6" t="s">
        <v>720</v>
      </c>
      <c r="F6" t="s">
        <v>721</v>
      </c>
      <c r="H6" t="s">
        <v>694</v>
      </c>
      <c r="I6" t="s">
        <v>4</v>
      </c>
      <c r="J6" t="s">
        <v>206</v>
      </c>
      <c r="K6" t="s">
        <v>6</v>
      </c>
      <c r="L6" t="s">
        <v>5</v>
      </c>
      <c r="M6" t="s">
        <v>208</v>
      </c>
      <c r="N6" t="s">
        <v>144</v>
      </c>
      <c r="O6">
        <v>1</v>
      </c>
      <c r="P6" t="s">
        <v>152</v>
      </c>
      <c r="Q6" t="s">
        <v>722</v>
      </c>
      <c r="R6" t="s">
        <v>210</v>
      </c>
      <c r="S6">
        <v>1</v>
      </c>
      <c r="T6">
        <v>4</v>
      </c>
      <c r="U6">
        <v>1</v>
      </c>
      <c r="V6">
        <v>550</v>
      </c>
      <c r="X6">
        <v>2700</v>
      </c>
      <c r="AA6" s="1">
        <v>45376</v>
      </c>
      <c r="AB6" s="1">
        <v>45404</v>
      </c>
      <c r="AC6">
        <v>28</v>
      </c>
      <c r="AD6" s="1">
        <v>45405</v>
      </c>
      <c r="AE6" s="1">
        <v>45419</v>
      </c>
      <c r="AF6" s="1">
        <v>363254</v>
      </c>
      <c r="AG6" s="1">
        <v>45420</v>
      </c>
      <c r="AH6" s="1">
        <v>45434</v>
      </c>
      <c r="AI6">
        <v>14</v>
      </c>
    </row>
  </sheetData>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DE9CC-18D7-4C4A-A9F6-BB397D97E4EB}">
  <dimension ref="A1:AL6"/>
  <sheetViews>
    <sheetView workbookViewId="0"/>
  </sheetViews>
  <sheetFormatPr baseColWidth="10" defaultColWidth="11.3984375" defaultRowHeight="14.25"/>
  <cols>
    <col min="2" max="2" width="23.1328125" bestFit="1" customWidth="1"/>
    <col min="3" max="3" width="12.265625" bestFit="1" customWidth="1"/>
    <col min="4" max="4" width="85.1328125" bestFit="1" customWidth="1"/>
    <col min="5" max="5" width="12.59765625" bestFit="1" customWidth="1"/>
    <col min="6" max="6" width="79.59765625" bestFit="1" customWidth="1"/>
    <col min="7" max="7" width="11.59765625" bestFit="1" customWidth="1"/>
    <col min="8" max="8" width="29.59765625" bestFit="1" customWidth="1"/>
    <col min="11" max="11" width="14.73046875" bestFit="1" customWidth="1"/>
    <col min="12" max="12" width="10.73046875" bestFit="1" customWidth="1"/>
    <col min="13" max="13" width="13.86328125" bestFit="1" customWidth="1"/>
    <col min="14" max="14" width="11.265625" bestFit="1" customWidth="1"/>
    <col min="15" max="15" width="18.59765625" bestFit="1" customWidth="1"/>
    <col min="16" max="16" width="14.1328125" bestFit="1" customWidth="1"/>
    <col min="17" max="17" width="64.5976562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27.265625" bestFit="1" customWidth="1"/>
  </cols>
  <sheetData>
    <row r="1" spans="1:38" ht="71.25">
      <c r="A1" s="485" t="s">
        <v>1137</v>
      </c>
    </row>
    <row r="3" spans="1:38" ht="28.5">
      <c r="A3" t="s">
        <v>83</v>
      </c>
      <c r="B3" s="329" t="s">
        <v>1138</v>
      </c>
      <c r="C3" t="s">
        <v>84</v>
      </c>
      <c r="D3" t="s">
        <v>1111</v>
      </c>
      <c r="E3" t="s">
        <v>1139</v>
      </c>
      <c r="F3" t="s">
        <v>88</v>
      </c>
      <c r="G3" t="s">
        <v>89</v>
      </c>
      <c r="H3" t="s">
        <v>1140</v>
      </c>
      <c r="I3" t="s">
        <v>1</v>
      </c>
      <c r="J3" t="s">
        <v>94</v>
      </c>
      <c r="K3" t="s">
        <v>3</v>
      </c>
      <c r="L3" t="s">
        <v>96</v>
      </c>
      <c r="M3" t="s">
        <v>81</v>
      </c>
      <c r="N3" t="s">
        <v>97</v>
      </c>
      <c r="O3" t="s">
        <v>98</v>
      </c>
      <c r="P3" s="329" t="s">
        <v>99</v>
      </c>
      <c r="Q3" t="s">
        <v>100</v>
      </c>
      <c r="R3" t="s">
        <v>101</v>
      </c>
      <c r="S3" t="s">
        <v>102</v>
      </c>
      <c r="T3" s="329" t="s">
        <v>103</v>
      </c>
      <c r="U3" s="329" t="s">
        <v>106</v>
      </c>
      <c r="V3" s="329" t="s">
        <v>107</v>
      </c>
      <c r="W3" s="329" t="s">
        <v>108</v>
      </c>
      <c r="X3" t="s">
        <v>109</v>
      </c>
      <c r="Y3" s="329" t="s">
        <v>110</v>
      </c>
      <c r="Z3" t="s">
        <v>111</v>
      </c>
      <c r="AA3" t="s">
        <v>113</v>
      </c>
      <c r="AB3" t="s">
        <v>114</v>
      </c>
      <c r="AC3" t="s">
        <v>115</v>
      </c>
      <c r="AD3" t="s">
        <v>116</v>
      </c>
      <c r="AE3" t="s">
        <v>117</v>
      </c>
      <c r="AF3" t="s">
        <v>118</v>
      </c>
      <c r="AG3" t="s">
        <v>119</v>
      </c>
      <c r="AH3" t="s">
        <v>120</v>
      </c>
      <c r="AI3" t="s">
        <v>124</v>
      </c>
      <c r="AJ3" t="s">
        <v>125</v>
      </c>
      <c r="AK3" t="s">
        <v>126</v>
      </c>
      <c r="AL3" t="s">
        <v>127</v>
      </c>
    </row>
    <row r="4" spans="1:38">
      <c r="A4" t="s">
        <v>130</v>
      </c>
      <c r="C4" t="s">
        <v>134</v>
      </c>
      <c r="D4" t="s">
        <v>528</v>
      </c>
      <c r="F4" t="s">
        <v>529</v>
      </c>
      <c r="H4" t="s">
        <v>220</v>
      </c>
      <c r="I4" t="s">
        <v>139</v>
      </c>
      <c r="J4" t="s">
        <v>206</v>
      </c>
      <c r="K4" t="s">
        <v>530</v>
      </c>
      <c r="L4" t="s">
        <v>139</v>
      </c>
      <c r="M4" t="s">
        <v>143</v>
      </c>
      <c r="N4" t="s">
        <v>144</v>
      </c>
      <c r="P4" t="s">
        <v>152</v>
      </c>
      <c r="R4" t="s">
        <v>136</v>
      </c>
      <c r="S4">
        <v>1</v>
      </c>
      <c r="T4">
        <v>20</v>
      </c>
      <c r="U4">
        <v>8</v>
      </c>
      <c r="V4">
        <v>550</v>
      </c>
      <c r="X4">
        <v>88000</v>
      </c>
      <c r="AA4" s="1">
        <v>45306</v>
      </c>
      <c r="AB4" s="1">
        <v>45501</v>
      </c>
      <c r="AC4" s="1" t="e">
        <v>#REF!</v>
      </c>
      <c r="AD4" s="1">
        <v>45502</v>
      </c>
      <c r="AE4" s="1">
        <v>45516</v>
      </c>
      <c r="AF4" s="1">
        <v>364030</v>
      </c>
      <c r="AG4" s="1">
        <v>45361</v>
      </c>
      <c r="AH4" s="1">
        <v>45657</v>
      </c>
      <c r="AI4">
        <v>296</v>
      </c>
      <c r="AJ4" t="s">
        <v>532</v>
      </c>
    </row>
    <row r="5" spans="1:38">
      <c r="A5" t="s">
        <v>130</v>
      </c>
      <c r="C5" t="s">
        <v>134</v>
      </c>
      <c r="D5" t="s">
        <v>710</v>
      </c>
      <c r="F5" s="329" t="s">
        <v>711</v>
      </c>
      <c r="H5" t="s">
        <v>694</v>
      </c>
      <c r="I5" t="s">
        <v>4</v>
      </c>
      <c r="J5" t="s">
        <v>206</v>
      </c>
      <c r="K5" t="s">
        <v>6</v>
      </c>
      <c r="L5" t="s">
        <v>5</v>
      </c>
      <c r="M5" t="s">
        <v>208</v>
      </c>
      <c r="N5" t="s">
        <v>144</v>
      </c>
      <c r="O5">
        <v>1</v>
      </c>
      <c r="P5" t="s">
        <v>152</v>
      </c>
      <c r="R5" t="s">
        <v>210</v>
      </c>
      <c r="S5">
        <v>1</v>
      </c>
      <c r="T5">
        <v>1</v>
      </c>
      <c r="U5">
        <v>2</v>
      </c>
      <c r="V5">
        <v>550</v>
      </c>
      <c r="X5">
        <v>1600</v>
      </c>
      <c r="AA5" s="1">
        <v>45376</v>
      </c>
      <c r="AB5" s="1">
        <v>45390</v>
      </c>
      <c r="AC5" s="1">
        <v>14</v>
      </c>
      <c r="AD5" s="1">
        <v>45391</v>
      </c>
      <c r="AE5" s="1">
        <v>45405</v>
      </c>
      <c r="AF5" s="1">
        <v>363142</v>
      </c>
      <c r="AG5" s="1">
        <v>45406</v>
      </c>
      <c r="AH5" s="1">
        <v>45420</v>
      </c>
      <c r="AI5">
        <v>14</v>
      </c>
    </row>
    <row r="6" spans="1:38">
      <c r="A6" t="s">
        <v>130</v>
      </c>
      <c r="C6" t="s">
        <v>134</v>
      </c>
      <c r="D6" t="s">
        <v>720</v>
      </c>
      <c r="F6" t="s">
        <v>721</v>
      </c>
      <c r="H6" t="s">
        <v>694</v>
      </c>
      <c r="I6" t="s">
        <v>4</v>
      </c>
      <c r="J6" t="s">
        <v>206</v>
      </c>
      <c r="K6" t="s">
        <v>6</v>
      </c>
      <c r="L6" t="s">
        <v>5</v>
      </c>
      <c r="M6" t="s">
        <v>208</v>
      </c>
      <c r="N6" t="s">
        <v>144</v>
      </c>
      <c r="O6">
        <v>1</v>
      </c>
      <c r="P6" t="s">
        <v>152</v>
      </c>
      <c r="Q6" t="s">
        <v>722</v>
      </c>
      <c r="R6" t="s">
        <v>210</v>
      </c>
      <c r="S6">
        <v>1</v>
      </c>
      <c r="T6">
        <v>4</v>
      </c>
      <c r="U6">
        <v>1</v>
      </c>
      <c r="V6">
        <v>550</v>
      </c>
      <c r="X6">
        <v>2700</v>
      </c>
      <c r="AA6" s="1">
        <v>45376</v>
      </c>
      <c r="AB6" s="1">
        <v>45404</v>
      </c>
      <c r="AC6">
        <v>28</v>
      </c>
      <c r="AD6" s="1">
        <v>45405</v>
      </c>
      <c r="AE6" s="1">
        <v>45419</v>
      </c>
      <c r="AF6" s="1">
        <v>363254</v>
      </c>
      <c r="AG6" s="1">
        <v>45420</v>
      </c>
      <c r="AH6" s="1">
        <v>45434</v>
      </c>
      <c r="AI6">
        <v>14</v>
      </c>
    </row>
  </sheetData>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9A2412-D4B0-4780-9B58-6046A2FABC4D}">
  <dimension ref="A1:AL4"/>
  <sheetViews>
    <sheetView workbookViewId="0"/>
  </sheetViews>
  <sheetFormatPr baseColWidth="10" defaultColWidth="9.1328125" defaultRowHeight="14.25"/>
  <cols>
    <col min="2" max="2" width="23.1328125" bestFit="1" customWidth="1"/>
    <col min="3" max="3" width="12.265625" bestFit="1" customWidth="1"/>
    <col min="4" max="4" width="49.1328125" bestFit="1" customWidth="1"/>
    <col min="5" max="5" width="12.59765625" bestFit="1" customWidth="1"/>
    <col min="6" max="6" width="14.1328125" bestFit="1" customWidth="1"/>
    <col min="7" max="7" width="11.59765625" bestFit="1" customWidth="1"/>
    <col min="8" max="8" width="17.265625" bestFit="1" customWidth="1"/>
    <col min="11" max="11" width="11.86328125" bestFit="1" customWidth="1"/>
    <col min="13" max="13" width="13.86328125" bestFit="1" customWidth="1"/>
    <col min="14" max="14" width="11.265625" bestFit="1" customWidth="1"/>
    <col min="15" max="15" width="18.59765625" bestFit="1" customWidth="1"/>
    <col min="16" max="16" width="14.1328125" bestFit="1" customWidth="1"/>
    <col min="17" max="17" width="15.7304687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16.86328125" bestFit="1" customWidth="1"/>
  </cols>
  <sheetData>
    <row r="1" spans="1:38">
      <c r="A1" s="101" t="s">
        <v>1141</v>
      </c>
    </row>
    <row r="3" spans="1:38" ht="28.5">
      <c r="A3" t="s">
        <v>83</v>
      </c>
      <c r="B3" s="329" t="s">
        <v>1138</v>
      </c>
      <c r="C3" t="s">
        <v>84</v>
      </c>
      <c r="D3" t="s">
        <v>1111</v>
      </c>
      <c r="E3" t="s">
        <v>1139</v>
      </c>
      <c r="F3" t="s">
        <v>88</v>
      </c>
      <c r="G3" t="s">
        <v>89</v>
      </c>
      <c r="H3" t="s">
        <v>1140</v>
      </c>
      <c r="I3" t="s">
        <v>1</v>
      </c>
      <c r="J3" t="s">
        <v>94</v>
      </c>
      <c r="K3" t="s">
        <v>3</v>
      </c>
      <c r="L3" t="s">
        <v>96</v>
      </c>
      <c r="M3" t="s">
        <v>81</v>
      </c>
      <c r="N3" t="s">
        <v>97</v>
      </c>
      <c r="O3" t="s">
        <v>98</v>
      </c>
      <c r="P3" s="329" t="s">
        <v>99</v>
      </c>
      <c r="Q3" t="s">
        <v>100</v>
      </c>
      <c r="R3" t="s">
        <v>101</v>
      </c>
      <c r="S3" t="s">
        <v>102</v>
      </c>
      <c r="T3" s="329" t="s">
        <v>103</v>
      </c>
      <c r="U3" s="329" t="s">
        <v>106</v>
      </c>
      <c r="V3" s="329" t="s">
        <v>107</v>
      </c>
      <c r="W3" s="329" t="s">
        <v>108</v>
      </c>
      <c r="X3" t="s">
        <v>109</v>
      </c>
      <c r="Y3" s="329" t="s">
        <v>110</v>
      </c>
      <c r="Z3" t="s">
        <v>111</v>
      </c>
      <c r="AA3" t="s">
        <v>113</v>
      </c>
      <c r="AB3" t="s">
        <v>114</v>
      </c>
      <c r="AC3" t="s">
        <v>115</v>
      </c>
      <c r="AD3" t="s">
        <v>116</v>
      </c>
      <c r="AE3" t="s">
        <v>117</v>
      </c>
      <c r="AF3" t="s">
        <v>118</v>
      </c>
      <c r="AG3" t="s">
        <v>119</v>
      </c>
      <c r="AH3" t="s">
        <v>120</v>
      </c>
      <c r="AI3" t="s">
        <v>124</v>
      </c>
      <c r="AJ3" t="s">
        <v>125</v>
      </c>
      <c r="AK3" t="s">
        <v>126</v>
      </c>
      <c r="AL3" t="s">
        <v>127</v>
      </c>
    </row>
    <row r="4" spans="1:38">
      <c r="A4">
        <v>2024</v>
      </c>
      <c r="C4" t="s">
        <v>134</v>
      </c>
      <c r="D4" t="s">
        <v>545</v>
      </c>
      <c r="H4" t="s">
        <v>139</v>
      </c>
      <c r="I4" t="s">
        <v>4</v>
      </c>
      <c r="J4" t="s">
        <v>206</v>
      </c>
      <c r="K4" t="s">
        <v>64</v>
      </c>
      <c r="L4" t="s">
        <v>139</v>
      </c>
      <c r="M4" t="s">
        <v>208</v>
      </c>
      <c r="N4" t="s">
        <v>144</v>
      </c>
      <c r="P4" t="s">
        <v>145</v>
      </c>
      <c r="T4">
        <v>12</v>
      </c>
      <c r="U4">
        <v>3</v>
      </c>
      <c r="V4">
        <v>550</v>
      </c>
      <c r="X4">
        <v>19800</v>
      </c>
      <c r="AA4" s="1">
        <v>45446</v>
      </c>
      <c r="AB4" s="1">
        <v>45474</v>
      </c>
      <c r="AC4" s="1">
        <v>45436</v>
      </c>
      <c r="AD4" s="1">
        <v>45475</v>
      </c>
      <c r="AE4" s="1">
        <v>45489</v>
      </c>
      <c r="AF4" s="1">
        <v>45465</v>
      </c>
      <c r="AG4" s="1">
        <v>45490</v>
      </c>
      <c r="AH4" s="1">
        <v>45504</v>
      </c>
      <c r="AI4">
        <v>14</v>
      </c>
    </row>
  </sheetData>
  <pageMargins left="0.7" right="0.7" top="0.75" bottom="0.75" header="0.3" footer="0.3"/>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B1F43-7ABD-40C2-A862-434812811F6B}">
  <dimension ref="A1:AL4"/>
  <sheetViews>
    <sheetView workbookViewId="0"/>
  </sheetViews>
  <sheetFormatPr baseColWidth="10" defaultColWidth="9.1328125" defaultRowHeight="14.25"/>
  <cols>
    <col min="2" max="2" width="23.1328125" bestFit="1" customWidth="1"/>
    <col min="3" max="3" width="12.265625" bestFit="1" customWidth="1"/>
    <col min="4" max="4" width="48.59765625" bestFit="1" customWidth="1"/>
    <col min="5" max="5" width="12.59765625" bestFit="1" customWidth="1"/>
    <col min="6" max="6" width="14.1328125" bestFit="1" customWidth="1"/>
    <col min="7" max="7" width="11.59765625" bestFit="1" customWidth="1"/>
    <col min="8" max="8" width="31.73046875" bestFit="1" customWidth="1"/>
    <col min="11" max="11" width="14.265625" bestFit="1" customWidth="1"/>
    <col min="13" max="13" width="13.86328125" bestFit="1" customWidth="1"/>
    <col min="14" max="14" width="11.265625" bestFit="1" customWidth="1"/>
    <col min="15" max="15" width="18.59765625" bestFit="1" customWidth="1"/>
    <col min="16" max="16" width="14.1328125" bestFit="1" customWidth="1"/>
    <col min="17" max="17" width="15.7304687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16.86328125" bestFit="1" customWidth="1"/>
  </cols>
  <sheetData>
    <row r="1" spans="1:38">
      <c r="A1" s="101" t="s">
        <v>1142</v>
      </c>
    </row>
    <row r="3" spans="1:38" ht="28.5">
      <c r="A3" t="s">
        <v>83</v>
      </c>
      <c r="B3" s="329" t="s">
        <v>1138</v>
      </c>
      <c r="C3" t="s">
        <v>84</v>
      </c>
      <c r="D3" t="s">
        <v>1111</v>
      </c>
      <c r="E3" t="s">
        <v>1139</v>
      </c>
      <c r="F3" t="s">
        <v>88</v>
      </c>
      <c r="G3" t="s">
        <v>89</v>
      </c>
      <c r="H3" t="s">
        <v>1140</v>
      </c>
      <c r="I3" t="s">
        <v>1</v>
      </c>
      <c r="J3" t="s">
        <v>94</v>
      </c>
      <c r="K3" t="s">
        <v>3</v>
      </c>
      <c r="L3" t="s">
        <v>96</v>
      </c>
      <c r="M3" t="s">
        <v>81</v>
      </c>
      <c r="N3" t="s">
        <v>97</v>
      </c>
      <c r="O3" t="s">
        <v>98</v>
      </c>
      <c r="P3" s="329" t="s">
        <v>99</v>
      </c>
      <c r="Q3" t="s">
        <v>100</v>
      </c>
      <c r="R3" t="s">
        <v>101</v>
      </c>
      <c r="S3" t="s">
        <v>102</v>
      </c>
      <c r="T3" s="329" t="s">
        <v>103</v>
      </c>
      <c r="U3" s="329" t="s">
        <v>106</v>
      </c>
      <c r="V3" s="329" t="s">
        <v>107</v>
      </c>
      <c r="W3" s="329" t="s">
        <v>108</v>
      </c>
      <c r="X3" t="s">
        <v>109</v>
      </c>
      <c r="Y3" s="329" t="s">
        <v>110</v>
      </c>
      <c r="Z3" t="s">
        <v>111</v>
      </c>
      <c r="AA3" t="s">
        <v>113</v>
      </c>
      <c r="AB3" t="s">
        <v>114</v>
      </c>
      <c r="AC3" t="s">
        <v>115</v>
      </c>
      <c r="AD3" t="s">
        <v>116</v>
      </c>
      <c r="AE3" t="s">
        <v>117</v>
      </c>
      <c r="AF3" t="s">
        <v>118</v>
      </c>
      <c r="AG3" t="s">
        <v>119</v>
      </c>
      <c r="AH3" t="s">
        <v>120</v>
      </c>
      <c r="AI3" t="s">
        <v>124</v>
      </c>
      <c r="AJ3" t="s">
        <v>125</v>
      </c>
      <c r="AK3" t="s">
        <v>126</v>
      </c>
      <c r="AL3" t="s">
        <v>127</v>
      </c>
    </row>
    <row r="4" spans="1:38">
      <c r="A4" t="s">
        <v>130</v>
      </c>
      <c r="C4" t="s">
        <v>134</v>
      </c>
      <c r="D4" t="s">
        <v>535</v>
      </c>
      <c r="H4" t="s">
        <v>500</v>
      </c>
      <c r="I4" t="s">
        <v>139</v>
      </c>
      <c r="J4" t="s">
        <v>206</v>
      </c>
      <c r="K4" t="s">
        <v>530</v>
      </c>
      <c r="L4" t="s">
        <v>139</v>
      </c>
      <c r="M4" t="s">
        <v>208</v>
      </c>
      <c r="N4" t="s">
        <v>144</v>
      </c>
      <c r="P4" t="s">
        <v>145</v>
      </c>
      <c r="R4" t="s">
        <v>136</v>
      </c>
      <c r="T4">
        <v>4</v>
      </c>
      <c r="U4">
        <v>1</v>
      </c>
      <c r="V4">
        <v>550</v>
      </c>
      <c r="X4">
        <v>2700</v>
      </c>
      <c r="AA4" s="1">
        <v>45383</v>
      </c>
      <c r="AB4" s="1">
        <v>45411</v>
      </c>
      <c r="AC4" t="e">
        <v>#REF!</v>
      </c>
      <c r="AD4" s="1">
        <v>45412</v>
      </c>
      <c r="AE4" s="1">
        <v>45426</v>
      </c>
      <c r="AF4" s="1">
        <v>363310</v>
      </c>
      <c r="AG4" s="1">
        <v>45427</v>
      </c>
      <c r="AH4" s="1">
        <v>45441</v>
      </c>
      <c r="AI4">
        <v>14</v>
      </c>
    </row>
  </sheetData>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09205-CD4D-4A1F-A3D2-87BFFAF005F9}">
  <dimension ref="A1:AL5"/>
  <sheetViews>
    <sheetView topLeftCell="B1" workbookViewId="0">
      <selection activeCell="H16" sqref="H16"/>
    </sheetView>
  </sheetViews>
  <sheetFormatPr baseColWidth="10" defaultColWidth="9.1328125" defaultRowHeight="14.25"/>
  <cols>
    <col min="2" max="2" width="23.1328125" bestFit="1" customWidth="1"/>
    <col min="3" max="3" width="12.265625" bestFit="1" customWidth="1"/>
    <col min="4" max="4" width="49.1328125" bestFit="1" customWidth="1"/>
    <col min="5" max="5" width="12.59765625" bestFit="1" customWidth="1"/>
    <col min="6" max="6" width="14.1328125" bestFit="1" customWidth="1"/>
    <col min="7" max="7" width="11.59765625" bestFit="1" customWidth="1"/>
    <col min="8" max="8" width="17.265625" bestFit="1" customWidth="1"/>
    <col min="11" max="11" width="14.265625" bestFit="1" customWidth="1"/>
    <col min="13" max="13" width="13.86328125" bestFit="1" customWidth="1"/>
    <col min="14" max="14" width="11.265625" bestFit="1" customWidth="1"/>
    <col min="15" max="15" width="18.59765625" bestFit="1" customWidth="1"/>
    <col min="16" max="16" width="14.1328125" bestFit="1" customWidth="1"/>
    <col min="17" max="17" width="15.7304687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16.86328125" bestFit="1" customWidth="1"/>
  </cols>
  <sheetData>
    <row r="1" spans="1:38">
      <c r="A1" s="101" t="s">
        <v>1143</v>
      </c>
    </row>
    <row r="3" spans="1:38">
      <c r="A3" t="s">
        <v>83</v>
      </c>
      <c r="B3" t="s">
        <v>1138</v>
      </c>
      <c r="C3" t="s">
        <v>84</v>
      </c>
      <c r="D3" t="s">
        <v>1111</v>
      </c>
      <c r="E3" t="s">
        <v>1139</v>
      </c>
      <c r="F3" t="s">
        <v>88</v>
      </c>
      <c r="G3" t="s">
        <v>89</v>
      </c>
      <c r="H3" t="s">
        <v>1140</v>
      </c>
      <c r="I3" t="s">
        <v>1</v>
      </c>
      <c r="J3" t="s">
        <v>94</v>
      </c>
      <c r="K3" t="s">
        <v>3</v>
      </c>
      <c r="L3" t="s">
        <v>96</v>
      </c>
      <c r="M3" t="s">
        <v>81</v>
      </c>
      <c r="N3" t="s">
        <v>97</v>
      </c>
      <c r="O3" t="s">
        <v>98</v>
      </c>
      <c r="P3" t="s">
        <v>99</v>
      </c>
      <c r="Q3" t="s">
        <v>100</v>
      </c>
      <c r="R3" t="s">
        <v>101</v>
      </c>
      <c r="S3" t="s">
        <v>102</v>
      </c>
      <c r="T3" t="s">
        <v>103</v>
      </c>
      <c r="U3" t="s">
        <v>106</v>
      </c>
      <c r="V3" t="s">
        <v>107</v>
      </c>
      <c r="W3" t="s">
        <v>108</v>
      </c>
      <c r="X3" t="s">
        <v>109</v>
      </c>
      <c r="Y3" t="s">
        <v>110</v>
      </c>
      <c r="Z3" t="s">
        <v>111</v>
      </c>
      <c r="AA3" t="s">
        <v>113</v>
      </c>
      <c r="AB3" t="s">
        <v>114</v>
      </c>
      <c r="AC3" t="s">
        <v>115</v>
      </c>
      <c r="AD3" t="s">
        <v>116</v>
      </c>
      <c r="AE3" t="s">
        <v>117</v>
      </c>
      <c r="AF3" t="s">
        <v>118</v>
      </c>
      <c r="AG3" t="s">
        <v>119</v>
      </c>
      <c r="AH3" t="s">
        <v>120</v>
      </c>
      <c r="AI3" t="s">
        <v>124</v>
      </c>
      <c r="AJ3" t="s">
        <v>125</v>
      </c>
      <c r="AK3" t="s">
        <v>126</v>
      </c>
      <c r="AL3" t="s">
        <v>127</v>
      </c>
    </row>
    <row r="4" spans="1:38">
      <c r="A4" t="s">
        <v>130</v>
      </c>
      <c r="C4" t="s">
        <v>134</v>
      </c>
      <c r="D4" t="s">
        <v>535</v>
      </c>
      <c r="H4" t="s">
        <v>139</v>
      </c>
      <c r="I4" t="s">
        <v>139</v>
      </c>
      <c r="J4" t="s">
        <v>206</v>
      </c>
      <c r="K4" t="s">
        <v>530</v>
      </c>
      <c r="L4" t="s">
        <v>139</v>
      </c>
      <c r="M4" t="s">
        <v>208</v>
      </c>
      <c r="N4" t="s">
        <v>144</v>
      </c>
      <c r="P4" t="s">
        <v>145</v>
      </c>
      <c r="R4" t="s">
        <v>136</v>
      </c>
      <c r="T4">
        <v>4</v>
      </c>
      <c r="U4">
        <v>1</v>
      </c>
      <c r="V4">
        <v>550</v>
      </c>
      <c r="X4">
        <v>2200</v>
      </c>
      <c r="AA4" s="1">
        <v>45383</v>
      </c>
      <c r="AB4" s="1">
        <v>45411</v>
      </c>
      <c r="AC4" t="e">
        <v>#REF!</v>
      </c>
      <c r="AD4" s="1">
        <v>45412</v>
      </c>
      <c r="AE4" s="1">
        <v>45426</v>
      </c>
      <c r="AF4" s="1">
        <v>363310</v>
      </c>
      <c r="AG4" s="1">
        <v>45427</v>
      </c>
      <c r="AH4" s="1">
        <v>45441</v>
      </c>
      <c r="AI4">
        <v>14</v>
      </c>
    </row>
    <row r="5" spans="1:38">
      <c r="A5">
        <v>2024</v>
      </c>
      <c r="C5" t="s">
        <v>134</v>
      </c>
      <c r="D5" t="s">
        <v>545</v>
      </c>
      <c r="H5" t="s">
        <v>139</v>
      </c>
      <c r="I5" t="s">
        <v>139</v>
      </c>
      <c r="J5" t="s">
        <v>206</v>
      </c>
      <c r="K5" t="s">
        <v>64</v>
      </c>
      <c r="L5" t="s">
        <v>139</v>
      </c>
      <c r="M5" t="s">
        <v>208</v>
      </c>
      <c r="N5" t="s">
        <v>144</v>
      </c>
      <c r="P5" t="s">
        <v>145</v>
      </c>
      <c r="T5">
        <v>12</v>
      </c>
      <c r="U5">
        <v>3</v>
      </c>
      <c r="V5">
        <v>550</v>
      </c>
      <c r="X5">
        <v>19800</v>
      </c>
      <c r="AA5" s="1">
        <v>45383</v>
      </c>
      <c r="AB5" s="1">
        <v>45467</v>
      </c>
      <c r="AC5" s="1">
        <v>45436</v>
      </c>
      <c r="AD5" s="1">
        <v>45468</v>
      </c>
      <c r="AE5" s="1">
        <v>45482</v>
      </c>
      <c r="AF5" s="1">
        <v>45465</v>
      </c>
      <c r="AG5" s="1">
        <v>45483</v>
      </c>
      <c r="AH5" s="1">
        <v>45490</v>
      </c>
      <c r="AI5">
        <v>7</v>
      </c>
    </row>
  </sheetData>
  <pageMargins left="0.7" right="0.7" top="0.75" bottom="0.75" header="0.3" footer="0.3"/>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5D9F9-C516-45F6-A049-CC17252920CA}">
  <dimension ref="A1:AL4"/>
  <sheetViews>
    <sheetView topLeftCell="K1" workbookViewId="0">
      <selection activeCell="X4" sqref="V4:X4"/>
    </sheetView>
  </sheetViews>
  <sheetFormatPr baseColWidth="10" defaultColWidth="9.1328125" defaultRowHeight="14.25"/>
  <cols>
    <col min="2" max="2" width="23.1328125" bestFit="1" customWidth="1"/>
    <col min="3" max="3" width="12.265625" bestFit="1" customWidth="1"/>
    <col min="4" max="4" width="27.73046875" bestFit="1" customWidth="1"/>
    <col min="5" max="5" width="12.59765625" bestFit="1" customWidth="1"/>
    <col min="6" max="6" width="37.1328125" bestFit="1" customWidth="1"/>
    <col min="7" max="7" width="11.59765625" bestFit="1" customWidth="1"/>
    <col min="8" max="8" width="27.73046875" bestFit="1" customWidth="1"/>
    <col min="11" max="11" width="14.265625" bestFit="1" customWidth="1"/>
    <col min="12" max="12" width="14.1328125" bestFit="1" customWidth="1"/>
    <col min="13" max="13" width="13.86328125" bestFit="1" customWidth="1"/>
    <col min="14" max="14" width="11.265625" bestFit="1" customWidth="1"/>
    <col min="15" max="15" width="18.59765625" bestFit="1" customWidth="1"/>
    <col min="16" max="16" width="14.1328125" bestFit="1" customWidth="1"/>
    <col min="17" max="17" width="15.7304687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27.265625" bestFit="1" customWidth="1"/>
  </cols>
  <sheetData>
    <row r="1" spans="1:38">
      <c r="A1" s="101" t="s">
        <v>1144</v>
      </c>
    </row>
    <row r="3" spans="1:38">
      <c r="A3" t="s">
        <v>83</v>
      </c>
      <c r="B3" t="s">
        <v>1138</v>
      </c>
      <c r="C3" t="s">
        <v>84</v>
      </c>
      <c r="D3" t="s">
        <v>1111</v>
      </c>
      <c r="E3" t="s">
        <v>1139</v>
      </c>
      <c r="F3" t="s">
        <v>88</v>
      </c>
      <c r="G3" t="s">
        <v>89</v>
      </c>
      <c r="H3" t="s">
        <v>1140</v>
      </c>
      <c r="I3" t="s">
        <v>1</v>
      </c>
      <c r="J3" t="s">
        <v>94</v>
      </c>
      <c r="K3" t="s">
        <v>3</v>
      </c>
      <c r="L3" t="s">
        <v>96</v>
      </c>
      <c r="M3" t="s">
        <v>81</v>
      </c>
      <c r="N3" t="s">
        <v>97</v>
      </c>
      <c r="O3" t="s">
        <v>98</v>
      </c>
      <c r="P3" t="s">
        <v>99</v>
      </c>
      <c r="Q3" t="s">
        <v>100</v>
      </c>
      <c r="R3" t="s">
        <v>101</v>
      </c>
      <c r="S3" t="s">
        <v>102</v>
      </c>
      <c r="T3" t="s">
        <v>103</v>
      </c>
      <c r="U3" t="s">
        <v>106</v>
      </c>
      <c r="V3" t="s">
        <v>107</v>
      </c>
      <c r="W3" t="s">
        <v>108</v>
      </c>
      <c r="X3" t="s">
        <v>109</v>
      </c>
      <c r="Y3" t="s">
        <v>110</v>
      </c>
      <c r="Z3" t="s">
        <v>111</v>
      </c>
      <c r="AA3" t="s">
        <v>113</v>
      </c>
      <c r="AB3" t="s">
        <v>114</v>
      </c>
      <c r="AC3" t="s">
        <v>115</v>
      </c>
      <c r="AD3" t="s">
        <v>116</v>
      </c>
      <c r="AE3" t="s">
        <v>117</v>
      </c>
      <c r="AF3" t="s">
        <v>118</v>
      </c>
      <c r="AG3" t="s">
        <v>119</v>
      </c>
      <c r="AH3" t="s">
        <v>120</v>
      </c>
      <c r="AI3" t="s">
        <v>124</v>
      </c>
      <c r="AJ3" t="s">
        <v>125</v>
      </c>
      <c r="AK3" t="s">
        <v>126</v>
      </c>
      <c r="AL3" t="s">
        <v>127</v>
      </c>
    </row>
    <row r="4" spans="1:38">
      <c r="A4" t="s">
        <v>130</v>
      </c>
      <c r="C4" t="s">
        <v>134</v>
      </c>
      <c r="D4" t="s">
        <v>614</v>
      </c>
      <c r="F4" t="s">
        <v>615</v>
      </c>
      <c r="H4" t="s">
        <v>616</v>
      </c>
      <c r="I4" t="s">
        <v>53</v>
      </c>
      <c r="J4" t="s">
        <v>206</v>
      </c>
      <c r="K4" t="s">
        <v>18</v>
      </c>
      <c r="L4" t="s">
        <v>61</v>
      </c>
      <c r="M4" t="s">
        <v>208</v>
      </c>
      <c r="N4" t="s">
        <v>144</v>
      </c>
      <c r="P4" t="s">
        <v>145</v>
      </c>
      <c r="R4" t="s">
        <v>136</v>
      </c>
      <c r="S4">
        <v>1</v>
      </c>
      <c r="T4">
        <v>8</v>
      </c>
      <c r="U4">
        <v>2</v>
      </c>
      <c r="V4">
        <v>550</v>
      </c>
      <c r="X4">
        <v>8800</v>
      </c>
      <c r="AA4" s="1">
        <v>45383</v>
      </c>
      <c r="AB4" s="1">
        <v>45439</v>
      </c>
      <c r="AC4" s="1">
        <v>56</v>
      </c>
      <c r="AD4" s="1">
        <v>45440</v>
      </c>
      <c r="AE4" s="1">
        <v>45454</v>
      </c>
      <c r="AF4" s="1">
        <v>363534</v>
      </c>
      <c r="AG4" s="1">
        <v>45455</v>
      </c>
      <c r="AH4" s="1">
        <v>45483</v>
      </c>
      <c r="AI4">
        <v>28</v>
      </c>
      <c r="AJ4" t="s">
        <v>532</v>
      </c>
    </row>
  </sheetData>
  <pageMargins left="0.7" right="0.7" top="0.75" bottom="0.75" header="0.3" footer="0.3"/>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149F5-0BB1-4A7B-ACC3-305518C8060A}">
  <dimension ref="A1:AR31"/>
  <sheetViews>
    <sheetView workbookViewId="0"/>
  </sheetViews>
  <sheetFormatPr baseColWidth="10" defaultColWidth="11.3984375" defaultRowHeight="14.25"/>
  <cols>
    <col min="2" max="2" width="23.1328125" bestFit="1" customWidth="1"/>
    <col min="3" max="3" width="12.265625" bestFit="1" customWidth="1"/>
    <col min="4" max="4" width="11.265625" bestFit="1" customWidth="1"/>
    <col min="5" max="5" width="117.265625" bestFit="1" customWidth="1"/>
    <col min="6" max="6" width="16.3984375" bestFit="1" customWidth="1"/>
    <col min="7" max="7" width="12.59765625" bestFit="1" customWidth="1"/>
    <col min="8" max="8" width="113.3984375" bestFit="1" customWidth="1"/>
    <col min="9" max="9" width="11.59765625" bestFit="1" customWidth="1"/>
    <col min="10" max="10" width="12" bestFit="1" customWidth="1"/>
    <col min="11" max="11" width="31.73046875" bestFit="1" customWidth="1"/>
    <col min="14" max="14" width="31.1328125" bestFit="1" customWidth="1"/>
    <col min="15" max="15" width="20" bestFit="1" customWidth="1"/>
    <col min="16" max="16" width="13.86328125" bestFit="1" customWidth="1"/>
    <col min="17" max="17" width="11.265625" bestFit="1" customWidth="1"/>
    <col min="18" max="18" width="18.59765625" bestFit="1" customWidth="1"/>
    <col min="19" max="19" width="14.1328125" bestFit="1" customWidth="1"/>
    <col min="20" max="20" width="69.265625" bestFit="1" customWidth="1"/>
    <col min="21" max="21" width="14.86328125" bestFit="1" customWidth="1"/>
    <col min="22" max="22" width="13.1328125" bestFit="1" customWidth="1"/>
    <col min="23" max="24" width="18.86328125" bestFit="1" customWidth="1"/>
    <col min="25" max="25" width="26.265625" bestFit="1" customWidth="1"/>
    <col min="26" max="26" width="14.86328125" bestFit="1" customWidth="1"/>
    <col min="28" max="28" width="20.1328125" bestFit="1" customWidth="1"/>
    <col min="30" max="30" width="11.86328125" bestFit="1" customWidth="1"/>
    <col min="31" max="31" width="11.1328125" bestFit="1" customWidth="1"/>
    <col min="32" max="32" width="16.265625" bestFit="1" customWidth="1"/>
    <col min="33" max="34" width="11.1328125" bestFit="1" customWidth="1"/>
    <col min="35" max="35" width="15.265625" bestFit="1" customWidth="1"/>
    <col min="36" max="36" width="12.86328125" bestFit="1" customWidth="1"/>
    <col min="37" max="37" width="11.1328125" bestFit="1" customWidth="1"/>
    <col min="38" max="38" width="12.73046875" bestFit="1" customWidth="1"/>
    <col min="39" max="39" width="10.3984375" bestFit="1" customWidth="1"/>
    <col min="41" max="41" width="17.265625" bestFit="1" customWidth="1"/>
    <col min="42" max="42" width="45.3984375" bestFit="1" customWidth="1"/>
  </cols>
  <sheetData>
    <row r="1" spans="1:44" ht="142.5">
      <c r="A1" s="485" t="s">
        <v>1145</v>
      </c>
    </row>
    <row r="3" spans="1:44" ht="28.5">
      <c r="A3" t="s">
        <v>83</v>
      </c>
      <c r="B3" s="329" t="s">
        <v>1138</v>
      </c>
      <c r="C3" t="s">
        <v>84</v>
      </c>
      <c r="D3" t="s">
        <v>85</v>
      </c>
      <c r="E3" t="s">
        <v>1111</v>
      </c>
      <c r="F3" t="s">
        <v>1146</v>
      </c>
      <c r="G3" t="s">
        <v>1139</v>
      </c>
      <c r="H3" t="s">
        <v>88</v>
      </c>
      <c r="I3" t="s">
        <v>89</v>
      </c>
      <c r="J3" t="s">
        <v>90</v>
      </c>
      <c r="K3" t="s">
        <v>1140</v>
      </c>
      <c r="L3" t="s">
        <v>1</v>
      </c>
      <c r="M3" t="s">
        <v>94</v>
      </c>
      <c r="N3" t="s">
        <v>3</v>
      </c>
      <c r="O3" t="s">
        <v>96</v>
      </c>
      <c r="P3" t="s">
        <v>81</v>
      </c>
      <c r="Q3" t="s">
        <v>97</v>
      </c>
      <c r="R3" t="s">
        <v>98</v>
      </c>
      <c r="S3" s="329" t="s">
        <v>99</v>
      </c>
      <c r="T3" t="s">
        <v>100</v>
      </c>
      <c r="U3" t="s">
        <v>101</v>
      </c>
      <c r="V3" t="s">
        <v>102</v>
      </c>
      <c r="W3" s="329" t="s">
        <v>103</v>
      </c>
      <c r="X3" s="329" t="s">
        <v>106</v>
      </c>
      <c r="Y3" s="329" t="s">
        <v>107</v>
      </c>
      <c r="Z3" s="329" t="s">
        <v>108</v>
      </c>
      <c r="AA3" t="s">
        <v>109</v>
      </c>
      <c r="AB3" s="329" t="s">
        <v>110</v>
      </c>
      <c r="AC3" t="s">
        <v>111</v>
      </c>
      <c r="AD3" t="s">
        <v>113</v>
      </c>
      <c r="AE3" t="s">
        <v>114</v>
      </c>
      <c r="AF3" t="s">
        <v>115</v>
      </c>
      <c r="AG3" t="s">
        <v>116</v>
      </c>
      <c r="AH3" t="s">
        <v>117</v>
      </c>
      <c r="AI3" t="s">
        <v>118</v>
      </c>
      <c r="AJ3" t="s">
        <v>119</v>
      </c>
      <c r="AK3" t="s">
        <v>120</v>
      </c>
      <c r="AL3" t="s">
        <v>121</v>
      </c>
      <c r="AM3" t="s">
        <v>122</v>
      </c>
      <c r="AN3" t="s">
        <v>123</v>
      </c>
      <c r="AO3" t="s">
        <v>124</v>
      </c>
      <c r="AP3" t="s">
        <v>125</v>
      </c>
      <c r="AQ3" t="s">
        <v>126</v>
      </c>
      <c r="AR3" t="s">
        <v>127</v>
      </c>
    </row>
    <row r="4" spans="1:44">
      <c r="A4" t="s">
        <v>130</v>
      </c>
      <c r="C4" t="s">
        <v>134</v>
      </c>
      <c r="E4" t="s">
        <v>535</v>
      </c>
      <c r="K4" t="s">
        <v>139</v>
      </c>
      <c r="L4" t="s">
        <v>139</v>
      </c>
      <c r="M4" t="s">
        <v>206</v>
      </c>
      <c r="N4" t="s">
        <v>530</v>
      </c>
      <c r="O4" t="s">
        <v>139</v>
      </c>
      <c r="P4" t="s">
        <v>208</v>
      </c>
      <c r="Q4" t="s">
        <v>144</v>
      </c>
      <c r="S4" t="s">
        <v>145</v>
      </c>
      <c r="U4" t="s">
        <v>136</v>
      </c>
      <c r="W4">
        <v>4</v>
      </c>
      <c r="X4">
        <v>1</v>
      </c>
      <c r="Y4">
        <v>550</v>
      </c>
      <c r="AA4">
        <v>2780</v>
      </c>
      <c r="AD4" s="1">
        <v>45383</v>
      </c>
      <c r="AE4" s="1">
        <v>45411</v>
      </c>
      <c r="AF4" s="1" t="e">
        <v>#REF!</v>
      </c>
      <c r="AG4" s="1">
        <v>45412</v>
      </c>
      <c r="AH4" s="1">
        <v>45426</v>
      </c>
      <c r="AI4" s="1">
        <v>363310</v>
      </c>
      <c r="AJ4" s="1">
        <v>45427</v>
      </c>
      <c r="AK4" s="1">
        <v>45441</v>
      </c>
      <c r="AN4">
        <v>1</v>
      </c>
      <c r="AO4">
        <v>14</v>
      </c>
    </row>
    <row r="5" spans="1:44">
      <c r="A5">
        <v>2024</v>
      </c>
      <c r="C5" t="s">
        <v>134</v>
      </c>
      <c r="E5" t="s">
        <v>545</v>
      </c>
      <c r="F5" t="s">
        <v>546</v>
      </c>
      <c r="K5" t="s">
        <v>139</v>
      </c>
      <c r="L5" t="s">
        <v>139</v>
      </c>
      <c r="M5" t="s">
        <v>206</v>
      </c>
      <c r="N5" t="s">
        <v>64</v>
      </c>
      <c r="O5" t="s">
        <v>139</v>
      </c>
      <c r="P5" t="s">
        <v>208</v>
      </c>
      <c r="Q5" t="s">
        <v>144</v>
      </c>
      <c r="S5" t="s">
        <v>145</v>
      </c>
      <c r="W5">
        <v>12</v>
      </c>
      <c r="X5">
        <v>3</v>
      </c>
      <c r="Y5">
        <v>550</v>
      </c>
      <c r="AA5">
        <v>20380</v>
      </c>
      <c r="AD5" s="1">
        <v>45383</v>
      </c>
      <c r="AE5" s="1">
        <v>45467</v>
      </c>
      <c r="AF5" s="1">
        <v>45436</v>
      </c>
      <c r="AG5" s="1">
        <v>45468</v>
      </c>
      <c r="AH5" s="1">
        <v>45482</v>
      </c>
      <c r="AI5" s="1">
        <v>45465</v>
      </c>
      <c r="AJ5" s="1">
        <v>45483</v>
      </c>
      <c r="AK5" s="1">
        <v>45490</v>
      </c>
      <c r="AN5">
        <v>3</v>
      </c>
      <c r="AO5">
        <v>7</v>
      </c>
    </row>
    <row r="6" spans="1:44">
      <c r="A6" t="s">
        <v>130</v>
      </c>
      <c r="C6" t="s">
        <v>134</v>
      </c>
      <c r="E6" t="s">
        <v>1147</v>
      </c>
      <c r="F6" t="s">
        <v>203</v>
      </c>
      <c r="H6" t="s">
        <v>1148</v>
      </c>
      <c r="K6" t="s">
        <v>500</v>
      </c>
      <c r="L6" t="s">
        <v>53</v>
      </c>
      <c r="M6" t="s">
        <v>206</v>
      </c>
      <c r="N6" t="s">
        <v>63</v>
      </c>
      <c r="O6" t="s">
        <v>61</v>
      </c>
      <c r="P6" t="s">
        <v>208</v>
      </c>
      <c r="Q6" t="s">
        <v>144</v>
      </c>
      <c r="S6" t="s">
        <v>145</v>
      </c>
      <c r="U6" t="s">
        <v>146</v>
      </c>
      <c r="W6">
        <v>6</v>
      </c>
      <c r="X6">
        <v>1</v>
      </c>
      <c r="Y6">
        <v>550</v>
      </c>
      <c r="AA6">
        <v>3880</v>
      </c>
      <c r="AD6" s="1">
        <v>45446</v>
      </c>
      <c r="AE6" s="1">
        <v>45488</v>
      </c>
      <c r="AF6" s="1" t="e">
        <v>#REF!</v>
      </c>
      <c r="AG6" s="1">
        <v>45489</v>
      </c>
      <c r="AH6" s="1">
        <v>45503</v>
      </c>
      <c r="AI6" s="1"/>
      <c r="AJ6" s="1">
        <v>45504</v>
      </c>
      <c r="AK6" s="1">
        <v>45518</v>
      </c>
      <c r="AN6">
        <v>1.5</v>
      </c>
      <c r="AO6">
        <v>14</v>
      </c>
    </row>
    <row r="7" spans="1:44">
      <c r="A7" t="s">
        <v>130</v>
      </c>
      <c r="C7" t="s">
        <v>134</v>
      </c>
      <c r="E7" t="s">
        <v>202</v>
      </c>
      <c r="F7" t="s">
        <v>203</v>
      </c>
      <c r="K7" t="s">
        <v>205</v>
      </c>
      <c r="L7" t="s">
        <v>4</v>
      </c>
      <c r="M7" t="s">
        <v>206</v>
      </c>
      <c r="N7" t="s">
        <v>23</v>
      </c>
      <c r="O7" t="s">
        <v>22</v>
      </c>
      <c r="P7" t="s">
        <v>208</v>
      </c>
      <c r="Q7" t="s">
        <v>144</v>
      </c>
      <c r="S7" t="s">
        <v>145</v>
      </c>
      <c r="U7" t="s">
        <v>210</v>
      </c>
      <c r="W7">
        <v>6</v>
      </c>
      <c r="X7">
        <v>1</v>
      </c>
      <c r="Y7">
        <v>550</v>
      </c>
      <c r="AA7">
        <v>3880</v>
      </c>
      <c r="AD7" s="1">
        <v>45390</v>
      </c>
      <c r="AE7" s="1">
        <v>45432</v>
      </c>
      <c r="AF7" s="1" t="e">
        <v>#REF!</v>
      </c>
      <c r="AG7" s="1">
        <v>45433</v>
      </c>
      <c r="AH7" s="1">
        <v>45447</v>
      </c>
      <c r="AI7" s="1">
        <v>363478</v>
      </c>
      <c r="AJ7" s="1">
        <v>45448</v>
      </c>
      <c r="AK7" s="1">
        <v>45462</v>
      </c>
      <c r="AN7">
        <v>1.5</v>
      </c>
      <c r="AO7">
        <v>14</v>
      </c>
    </row>
    <row r="8" spans="1:44">
      <c r="A8" t="s">
        <v>130</v>
      </c>
      <c r="C8" t="s">
        <v>134</v>
      </c>
      <c r="E8" t="s">
        <v>614</v>
      </c>
      <c r="F8" t="s">
        <v>203</v>
      </c>
      <c r="H8" t="s">
        <v>615</v>
      </c>
      <c r="K8" t="s">
        <v>616</v>
      </c>
      <c r="L8" t="s">
        <v>53</v>
      </c>
      <c r="M8" t="s">
        <v>206</v>
      </c>
      <c r="N8" t="s">
        <v>18</v>
      </c>
      <c r="O8" t="s">
        <v>61</v>
      </c>
      <c r="P8" t="s">
        <v>208</v>
      </c>
      <c r="Q8" t="s">
        <v>144</v>
      </c>
      <c r="S8" t="s">
        <v>145</v>
      </c>
      <c r="U8" t="s">
        <v>136</v>
      </c>
      <c r="V8">
        <v>1</v>
      </c>
      <c r="W8">
        <v>8</v>
      </c>
      <c r="X8">
        <v>2</v>
      </c>
      <c r="Y8">
        <v>550</v>
      </c>
      <c r="AA8">
        <v>31380</v>
      </c>
      <c r="AD8" s="1">
        <v>45383</v>
      </c>
      <c r="AE8" s="1">
        <v>45439</v>
      </c>
      <c r="AF8" s="1">
        <v>56</v>
      </c>
      <c r="AG8" s="1">
        <v>45440</v>
      </c>
      <c r="AH8" s="1">
        <v>45454</v>
      </c>
      <c r="AI8" s="1">
        <v>363534</v>
      </c>
      <c r="AJ8" s="1">
        <v>45455</v>
      </c>
      <c r="AK8" s="1">
        <v>45483</v>
      </c>
      <c r="AN8">
        <v>2</v>
      </c>
      <c r="AO8">
        <v>28</v>
      </c>
      <c r="AP8" t="s">
        <v>532</v>
      </c>
    </row>
    <row r="9" spans="1:44">
      <c r="A9" t="s">
        <v>130</v>
      </c>
      <c r="C9" t="s">
        <v>134</v>
      </c>
      <c r="E9" t="s">
        <v>732</v>
      </c>
      <c r="F9" t="s">
        <v>203</v>
      </c>
      <c r="H9" s="329" t="s">
        <v>733</v>
      </c>
      <c r="K9" t="s">
        <v>627</v>
      </c>
      <c r="L9" t="s">
        <v>4</v>
      </c>
      <c r="M9" t="s">
        <v>206</v>
      </c>
      <c r="N9" t="s">
        <v>14</v>
      </c>
      <c r="O9" t="s">
        <v>17</v>
      </c>
      <c r="P9" t="s">
        <v>208</v>
      </c>
      <c r="Q9" t="s">
        <v>144</v>
      </c>
      <c r="R9" t="s">
        <v>145</v>
      </c>
      <c r="S9" t="s">
        <v>145</v>
      </c>
      <c r="T9" t="s">
        <v>735</v>
      </c>
      <c r="U9" t="s">
        <v>210</v>
      </c>
      <c r="V9">
        <v>1</v>
      </c>
      <c r="W9">
        <v>4</v>
      </c>
      <c r="X9">
        <v>1</v>
      </c>
      <c r="Y9">
        <v>550</v>
      </c>
      <c r="AA9">
        <v>2780</v>
      </c>
      <c r="AD9" s="1">
        <v>45383</v>
      </c>
      <c r="AE9" s="1">
        <v>45411</v>
      </c>
      <c r="AF9" s="1">
        <v>28</v>
      </c>
      <c r="AG9" s="1">
        <v>45412</v>
      </c>
      <c r="AH9" s="1">
        <v>45426</v>
      </c>
      <c r="AI9" s="1">
        <v>363310</v>
      </c>
      <c r="AJ9" s="1">
        <v>45427</v>
      </c>
      <c r="AK9" s="1">
        <v>45441</v>
      </c>
      <c r="AN9">
        <v>1</v>
      </c>
      <c r="AO9">
        <v>14</v>
      </c>
      <c r="AP9" t="s">
        <v>736</v>
      </c>
    </row>
    <row r="10" spans="1:44">
      <c r="A10" t="s">
        <v>130</v>
      </c>
      <c r="C10" t="s">
        <v>134</v>
      </c>
      <c r="E10" t="s">
        <v>631</v>
      </c>
      <c r="H10" s="329" t="s">
        <v>632</v>
      </c>
      <c r="K10" t="s">
        <v>500</v>
      </c>
      <c r="L10" t="s">
        <v>53</v>
      </c>
      <c r="M10" t="s">
        <v>206</v>
      </c>
      <c r="N10" t="s">
        <v>69</v>
      </c>
      <c r="O10" t="s">
        <v>61</v>
      </c>
      <c r="P10" t="s">
        <v>208</v>
      </c>
      <c r="Q10" t="s">
        <v>144</v>
      </c>
      <c r="S10" t="s">
        <v>145</v>
      </c>
      <c r="U10" t="s">
        <v>136</v>
      </c>
      <c r="V10">
        <v>1</v>
      </c>
      <c r="W10">
        <v>4</v>
      </c>
      <c r="X10">
        <v>2</v>
      </c>
      <c r="Y10">
        <v>550</v>
      </c>
      <c r="AA10">
        <v>4980</v>
      </c>
      <c r="AD10" s="1">
        <v>45446</v>
      </c>
      <c r="AE10" s="1">
        <v>45474</v>
      </c>
      <c r="AF10" t="e">
        <v>#REF!</v>
      </c>
      <c r="AG10" s="1">
        <v>45475</v>
      </c>
      <c r="AH10" s="1">
        <v>45489</v>
      </c>
      <c r="AI10" s="1">
        <v>363814</v>
      </c>
      <c r="AJ10" s="1">
        <v>45490</v>
      </c>
      <c r="AK10" s="1">
        <v>45504</v>
      </c>
      <c r="AN10">
        <v>1</v>
      </c>
      <c r="AO10">
        <v>14</v>
      </c>
    </row>
    <row r="11" spans="1:44" ht="28.5">
      <c r="A11" t="s">
        <v>130</v>
      </c>
      <c r="C11" t="s">
        <v>134</v>
      </c>
      <c r="E11" t="s">
        <v>612</v>
      </c>
      <c r="F11" t="s">
        <v>203</v>
      </c>
      <c r="H11" s="329" t="s">
        <v>613</v>
      </c>
      <c r="K11" t="s">
        <v>500</v>
      </c>
      <c r="L11" t="s">
        <v>53</v>
      </c>
      <c r="M11" t="s">
        <v>206</v>
      </c>
      <c r="N11" t="s">
        <v>68</v>
      </c>
      <c r="O11" t="s">
        <v>61</v>
      </c>
      <c r="P11" t="s">
        <v>208</v>
      </c>
      <c r="Q11" t="s">
        <v>144</v>
      </c>
      <c r="S11" t="s">
        <v>145</v>
      </c>
      <c r="U11" t="s">
        <v>146</v>
      </c>
      <c r="V11">
        <v>1</v>
      </c>
      <c r="W11">
        <v>3</v>
      </c>
      <c r="X11">
        <v>2</v>
      </c>
      <c r="Y11">
        <v>550</v>
      </c>
      <c r="AA11">
        <v>3880</v>
      </c>
      <c r="AD11" s="1">
        <v>45446</v>
      </c>
      <c r="AE11" s="1">
        <v>45467</v>
      </c>
      <c r="AF11" s="1" t="e">
        <v>#REF!</v>
      </c>
      <c r="AG11" s="1">
        <v>45468</v>
      </c>
      <c r="AH11" s="1">
        <v>45482</v>
      </c>
      <c r="AI11" s="1">
        <v>363758</v>
      </c>
      <c r="AJ11" s="1">
        <v>45483</v>
      </c>
      <c r="AK11" s="1">
        <v>45497</v>
      </c>
      <c r="AN11">
        <v>0.75</v>
      </c>
      <c r="AO11">
        <v>14</v>
      </c>
    </row>
    <row r="12" spans="1:44" ht="42.75">
      <c r="A12" t="s">
        <v>130</v>
      </c>
      <c r="C12" t="s">
        <v>134</v>
      </c>
      <c r="E12" t="s">
        <v>634</v>
      </c>
      <c r="F12" t="s">
        <v>635</v>
      </c>
      <c r="H12" s="329" t="s">
        <v>636</v>
      </c>
      <c r="K12" t="s">
        <v>500</v>
      </c>
      <c r="L12" t="s">
        <v>53</v>
      </c>
      <c r="M12" t="s">
        <v>206</v>
      </c>
      <c r="N12" t="s">
        <v>69</v>
      </c>
      <c r="O12" t="s">
        <v>61</v>
      </c>
      <c r="P12" t="s">
        <v>208</v>
      </c>
      <c r="Q12" t="s">
        <v>144</v>
      </c>
      <c r="S12" t="s">
        <v>145</v>
      </c>
      <c r="T12" t="s">
        <v>602</v>
      </c>
      <c r="U12" t="s">
        <v>210</v>
      </c>
      <c r="V12">
        <v>1</v>
      </c>
      <c r="W12">
        <v>3</v>
      </c>
      <c r="X12">
        <v>1</v>
      </c>
      <c r="Y12">
        <v>550</v>
      </c>
      <c r="AA12">
        <v>2230</v>
      </c>
      <c r="AD12" s="1">
        <v>45414</v>
      </c>
      <c r="AE12" s="1">
        <v>45435</v>
      </c>
      <c r="AF12" s="1" t="e">
        <v>#REF!</v>
      </c>
      <c r="AG12" s="1">
        <v>45436</v>
      </c>
      <c r="AH12" s="1">
        <v>45450</v>
      </c>
      <c r="AI12" s="1">
        <v>363502</v>
      </c>
      <c r="AJ12" s="1">
        <v>45451</v>
      </c>
      <c r="AK12" s="1">
        <v>45465</v>
      </c>
      <c r="AN12">
        <v>0.75</v>
      </c>
      <c r="AO12">
        <v>14</v>
      </c>
    </row>
    <row r="13" spans="1:44">
      <c r="A13" t="s">
        <v>130</v>
      </c>
      <c r="C13" t="s">
        <v>134</v>
      </c>
      <c r="E13" t="s">
        <v>617</v>
      </c>
      <c r="F13" t="s">
        <v>203</v>
      </c>
      <c r="H13" t="s">
        <v>601</v>
      </c>
      <c r="K13" t="s">
        <v>500</v>
      </c>
      <c r="L13" t="s">
        <v>53</v>
      </c>
      <c r="M13" t="s">
        <v>206</v>
      </c>
      <c r="N13" t="s">
        <v>68</v>
      </c>
      <c r="O13" t="s">
        <v>61</v>
      </c>
      <c r="P13" t="s">
        <v>208</v>
      </c>
      <c r="Q13" t="s">
        <v>144</v>
      </c>
      <c r="S13" t="s">
        <v>145</v>
      </c>
      <c r="U13" t="s">
        <v>146</v>
      </c>
      <c r="V13">
        <v>1</v>
      </c>
      <c r="W13">
        <v>5</v>
      </c>
      <c r="X13">
        <v>2</v>
      </c>
      <c r="Y13">
        <v>550</v>
      </c>
      <c r="AA13">
        <v>6080</v>
      </c>
      <c r="AD13" s="1">
        <v>45383</v>
      </c>
      <c r="AE13" s="1">
        <v>45418</v>
      </c>
      <c r="AF13" s="1" t="e">
        <v>#REF!</v>
      </c>
      <c r="AG13" s="1">
        <v>45419</v>
      </c>
      <c r="AH13" s="1">
        <v>45433</v>
      </c>
      <c r="AI13" s="1">
        <v>363366</v>
      </c>
      <c r="AJ13" s="1">
        <v>45434</v>
      </c>
      <c r="AK13" s="1">
        <v>45448</v>
      </c>
      <c r="AN13">
        <v>1.25</v>
      </c>
      <c r="AO13">
        <v>14</v>
      </c>
    </row>
    <row r="14" spans="1:44">
      <c r="A14" t="s">
        <v>130</v>
      </c>
      <c r="C14" t="s">
        <v>134</v>
      </c>
      <c r="E14" t="s">
        <v>605</v>
      </c>
      <c r="H14" t="s">
        <v>601</v>
      </c>
      <c r="K14" t="s">
        <v>500</v>
      </c>
      <c r="L14" t="s">
        <v>53</v>
      </c>
      <c r="M14" t="s">
        <v>206</v>
      </c>
      <c r="N14" t="s">
        <v>68</v>
      </c>
      <c r="O14" t="s">
        <v>61</v>
      </c>
      <c r="P14" t="s">
        <v>208</v>
      </c>
      <c r="Q14" t="s">
        <v>144</v>
      </c>
      <c r="S14" t="s">
        <v>145</v>
      </c>
      <c r="U14" t="s">
        <v>146</v>
      </c>
      <c r="V14">
        <v>1</v>
      </c>
      <c r="W14">
        <v>3</v>
      </c>
      <c r="X14">
        <v>2</v>
      </c>
      <c r="Y14">
        <v>550</v>
      </c>
      <c r="AA14">
        <v>3880</v>
      </c>
      <c r="AD14" s="1">
        <v>45446</v>
      </c>
      <c r="AE14" s="1">
        <v>45467</v>
      </c>
      <c r="AF14" s="1">
        <v>45468</v>
      </c>
      <c r="AG14" s="1">
        <v>45482</v>
      </c>
      <c r="AH14" s="1">
        <v>45483</v>
      </c>
      <c r="AI14" s="1">
        <v>45497</v>
      </c>
      <c r="AJ14" s="1">
        <v>45483</v>
      </c>
      <c r="AK14" s="1">
        <v>45497</v>
      </c>
      <c r="AN14">
        <v>0.75</v>
      </c>
      <c r="AO14">
        <v>14</v>
      </c>
    </row>
    <row r="15" spans="1:44">
      <c r="A15" t="s">
        <v>130</v>
      </c>
      <c r="C15" t="s">
        <v>134</v>
      </c>
      <c r="E15" t="s">
        <v>609</v>
      </c>
      <c r="H15" t="s">
        <v>610</v>
      </c>
      <c r="K15" t="s">
        <v>500</v>
      </c>
      <c r="L15" t="s">
        <v>53</v>
      </c>
      <c r="M15" t="s">
        <v>206</v>
      </c>
      <c r="N15" t="s">
        <v>68</v>
      </c>
      <c r="O15" t="s">
        <v>61</v>
      </c>
      <c r="P15" t="s">
        <v>208</v>
      </c>
      <c r="Q15" t="s">
        <v>144</v>
      </c>
      <c r="R15">
        <v>3</v>
      </c>
      <c r="S15" t="s">
        <v>145</v>
      </c>
      <c r="U15" t="s">
        <v>210</v>
      </c>
      <c r="V15">
        <v>1</v>
      </c>
      <c r="W15">
        <v>4</v>
      </c>
      <c r="X15">
        <v>1</v>
      </c>
      <c r="Y15">
        <v>550</v>
      </c>
      <c r="AA15">
        <v>2780</v>
      </c>
      <c r="AD15" s="1">
        <v>45446</v>
      </c>
      <c r="AE15" s="1">
        <v>45467</v>
      </c>
      <c r="AF15" s="1">
        <v>45468</v>
      </c>
      <c r="AG15" s="1">
        <v>45482</v>
      </c>
      <c r="AH15" s="1">
        <v>45483</v>
      </c>
      <c r="AI15" s="1">
        <v>45497</v>
      </c>
      <c r="AJ15" s="1">
        <v>45458</v>
      </c>
      <c r="AK15" s="1">
        <v>45472</v>
      </c>
      <c r="AN15">
        <v>1</v>
      </c>
      <c r="AO15">
        <v>14</v>
      </c>
      <c r="AP15" t="s">
        <v>583</v>
      </c>
    </row>
    <row r="16" spans="1:44">
      <c r="A16" t="s">
        <v>130</v>
      </c>
      <c r="C16" t="s">
        <v>134</v>
      </c>
      <c r="E16" t="s">
        <v>604</v>
      </c>
      <c r="F16" t="s">
        <v>203</v>
      </c>
      <c r="H16" t="s">
        <v>601</v>
      </c>
      <c r="K16" t="s">
        <v>500</v>
      </c>
      <c r="L16" t="s">
        <v>53</v>
      </c>
      <c r="M16" t="s">
        <v>206</v>
      </c>
      <c r="N16" t="s">
        <v>68</v>
      </c>
      <c r="O16" t="s">
        <v>61</v>
      </c>
      <c r="P16" t="s">
        <v>208</v>
      </c>
      <c r="Q16" t="s">
        <v>144</v>
      </c>
      <c r="R16">
        <v>3</v>
      </c>
      <c r="S16" t="s">
        <v>145</v>
      </c>
      <c r="U16" t="s">
        <v>210</v>
      </c>
      <c r="V16">
        <v>1</v>
      </c>
      <c r="W16">
        <v>2</v>
      </c>
      <c r="X16">
        <v>1</v>
      </c>
      <c r="Y16">
        <v>550</v>
      </c>
      <c r="AA16">
        <v>1680</v>
      </c>
      <c r="AD16" s="1">
        <v>45432</v>
      </c>
      <c r="AE16" s="1">
        <v>45446</v>
      </c>
      <c r="AF16" s="1">
        <v>45447</v>
      </c>
      <c r="AG16" s="1">
        <v>45461</v>
      </c>
      <c r="AH16" s="1">
        <v>45462</v>
      </c>
      <c r="AI16" s="1">
        <v>45476</v>
      </c>
      <c r="AJ16" s="1">
        <v>45444</v>
      </c>
      <c r="AK16" s="1">
        <v>45458</v>
      </c>
      <c r="AN16">
        <v>0.5</v>
      </c>
      <c r="AO16">
        <v>14</v>
      </c>
      <c r="AP16" t="s">
        <v>583</v>
      </c>
    </row>
    <row r="17" spans="1:42">
      <c r="A17" t="s">
        <v>130</v>
      </c>
      <c r="C17" t="s">
        <v>134</v>
      </c>
      <c r="E17" t="s">
        <v>623</v>
      </c>
      <c r="F17" t="s">
        <v>203</v>
      </c>
      <c r="H17" t="s">
        <v>624</v>
      </c>
      <c r="K17" t="s">
        <v>500</v>
      </c>
      <c r="L17" t="s">
        <v>53</v>
      </c>
      <c r="M17" t="s">
        <v>206</v>
      </c>
      <c r="N17" t="s">
        <v>68</v>
      </c>
      <c r="O17" t="s">
        <v>61</v>
      </c>
      <c r="P17" t="s">
        <v>208</v>
      </c>
      <c r="Q17" t="s">
        <v>144</v>
      </c>
      <c r="R17">
        <v>3</v>
      </c>
      <c r="S17" t="s">
        <v>145</v>
      </c>
      <c r="U17" t="s">
        <v>210</v>
      </c>
      <c r="V17">
        <v>1</v>
      </c>
      <c r="W17">
        <v>4</v>
      </c>
      <c r="X17">
        <v>1</v>
      </c>
      <c r="Y17">
        <v>550</v>
      </c>
      <c r="AA17">
        <v>2780</v>
      </c>
      <c r="AD17" s="1">
        <v>45418</v>
      </c>
      <c r="AE17" s="1">
        <v>45439</v>
      </c>
      <c r="AF17">
        <v>45440</v>
      </c>
      <c r="AG17" s="1">
        <v>45454</v>
      </c>
      <c r="AH17" s="1">
        <v>45455</v>
      </c>
      <c r="AI17" s="1">
        <v>45469</v>
      </c>
      <c r="AJ17" s="1">
        <v>45427</v>
      </c>
      <c r="AK17" s="1">
        <v>45441</v>
      </c>
      <c r="AN17" s="1">
        <v>1</v>
      </c>
      <c r="AO17">
        <v>14</v>
      </c>
      <c r="AP17" t="s">
        <v>583</v>
      </c>
    </row>
    <row r="18" spans="1:42">
      <c r="A18" t="s">
        <v>130</v>
      </c>
      <c r="C18" t="s">
        <v>134</v>
      </c>
      <c r="E18" t="s">
        <v>619</v>
      </c>
      <c r="F18" t="s">
        <v>203</v>
      </c>
      <c r="H18" t="s">
        <v>620</v>
      </c>
      <c r="K18" t="s">
        <v>500</v>
      </c>
      <c r="L18" t="s">
        <v>53</v>
      </c>
      <c r="M18" t="s">
        <v>206</v>
      </c>
      <c r="N18" t="s">
        <v>68</v>
      </c>
      <c r="O18" t="s">
        <v>61</v>
      </c>
      <c r="P18" t="s">
        <v>208</v>
      </c>
      <c r="Q18" t="s">
        <v>144</v>
      </c>
      <c r="R18">
        <v>1</v>
      </c>
      <c r="S18" t="s">
        <v>145</v>
      </c>
      <c r="U18" t="s">
        <v>210</v>
      </c>
      <c r="V18">
        <v>1</v>
      </c>
      <c r="W18">
        <v>3</v>
      </c>
      <c r="X18">
        <v>1</v>
      </c>
      <c r="Y18">
        <v>550</v>
      </c>
      <c r="AA18">
        <v>2230</v>
      </c>
      <c r="AD18" s="1">
        <v>45414</v>
      </c>
      <c r="AE18" s="1">
        <v>45442</v>
      </c>
      <c r="AF18" s="1">
        <v>45443</v>
      </c>
      <c r="AG18" s="1">
        <v>45457</v>
      </c>
      <c r="AH18" s="1">
        <v>45458</v>
      </c>
      <c r="AI18" s="1">
        <v>45472</v>
      </c>
      <c r="AJ18" s="1">
        <v>45420</v>
      </c>
      <c r="AK18" s="1">
        <v>45434</v>
      </c>
      <c r="AN18">
        <v>0.75</v>
      </c>
      <c r="AO18">
        <v>14</v>
      </c>
      <c r="AP18" t="s">
        <v>583</v>
      </c>
    </row>
    <row r="19" spans="1:42" ht="42.75">
      <c r="A19" t="s">
        <v>130</v>
      </c>
      <c r="C19" t="s">
        <v>134</v>
      </c>
      <c r="E19" t="s">
        <v>607</v>
      </c>
      <c r="F19" t="s">
        <v>203</v>
      </c>
      <c r="H19" s="329" t="s">
        <v>608</v>
      </c>
      <c r="K19" t="s">
        <v>500</v>
      </c>
      <c r="L19" t="s">
        <v>53</v>
      </c>
      <c r="M19" t="s">
        <v>206</v>
      </c>
      <c r="N19" t="s">
        <v>18</v>
      </c>
      <c r="O19" t="s">
        <v>61</v>
      </c>
      <c r="P19" t="s">
        <v>208</v>
      </c>
      <c r="Q19" t="s">
        <v>144</v>
      </c>
      <c r="R19">
        <v>2</v>
      </c>
      <c r="S19" t="s">
        <v>145</v>
      </c>
      <c r="U19" t="s">
        <v>210</v>
      </c>
      <c r="V19">
        <v>1</v>
      </c>
      <c r="W19">
        <v>3</v>
      </c>
      <c r="X19">
        <v>1</v>
      </c>
      <c r="Y19">
        <v>550</v>
      </c>
      <c r="AA19">
        <v>2230</v>
      </c>
      <c r="AD19" s="1">
        <v>45383</v>
      </c>
      <c r="AE19" s="1">
        <v>45404</v>
      </c>
      <c r="AF19" s="1">
        <v>45405</v>
      </c>
      <c r="AG19" s="1">
        <v>45419</v>
      </c>
      <c r="AH19" s="1">
        <v>45420</v>
      </c>
      <c r="AI19" s="1">
        <v>45434</v>
      </c>
      <c r="AJ19" s="1">
        <v>45495</v>
      </c>
      <c r="AK19" s="1">
        <v>45509</v>
      </c>
      <c r="AN19">
        <v>0.75</v>
      </c>
      <c r="AO19">
        <v>14</v>
      </c>
      <c r="AP19" t="s">
        <v>583</v>
      </c>
    </row>
    <row r="20" spans="1:42">
      <c r="A20" t="s">
        <v>130</v>
      </c>
      <c r="C20" t="s">
        <v>134</v>
      </c>
      <c r="E20" t="s">
        <v>528</v>
      </c>
      <c r="H20" s="329" t="s">
        <v>529</v>
      </c>
      <c r="K20" t="s">
        <v>220</v>
      </c>
      <c r="L20" t="s">
        <v>139</v>
      </c>
      <c r="M20" t="s">
        <v>206</v>
      </c>
      <c r="N20" t="s">
        <v>530</v>
      </c>
      <c r="O20" t="s">
        <v>139</v>
      </c>
      <c r="P20" t="s">
        <v>143</v>
      </c>
      <c r="Q20" t="s">
        <v>144</v>
      </c>
      <c r="S20" t="s">
        <v>145</v>
      </c>
      <c r="U20" t="s">
        <v>136</v>
      </c>
      <c r="V20">
        <v>1</v>
      </c>
      <c r="W20">
        <v>20</v>
      </c>
      <c r="X20">
        <v>8</v>
      </c>
      <c r="Y20">
        <v>550</v>
      </c>
      <c r="AA20">
        <v>88580</v>
      </c>
      <c r="AD20" s="1">
        <v>45458</v>
      </c>
      <c r="AE20" s="1">
        <v>45479</v>
      </c>
      <c r="AF20" s="1">
        <v>45480</v>
      </c>
      <c r="AG20" s="1">
        <v>45494</v>
      </c>
      <c r="AH20" s="1">
        <v>45495</v>
      </c>
      <c r="AI20" s="1">
        <v>45509</v>
      </c>
      <c r="AJ20" s="1">
        <v>45361</v>
      </c>
      <c r="AK20" s="1">
        <v>45657</v>
      </c>
      <c r="AN20">
        <v>5</v>
      </c>
      <c r="AO20">
        <v>296</v>
      </c>
      <c r="AP20" t="s">
        <v>532</v>
      </c>
    </row>
    <row r="21" spans="1:42">
      <c r="A21" t="s">
        <v>130</v>
      </c>
      <c r="C21" t="s">
        <v>134</v>
      </c>
      <c r="E21" t="s">
        <v>606</v>
      </c>
      <c r="F21" t="s">
        <v>203</v>
      </c>
      <c r="H21" t="s">
        <v>601</v>
      </c>
      <c r="K21" t="s">
        <v>500</v>
      </c>
      <c r="L21" t="s">
        <v>53</v>
      </c>
      <c r="M21" t="s">
        <v>206</v>
      </c>
      <c r="N21" t="s">
        <v>68</v>
      </c>
      <c r="O21" t="s">
        <v>61</v>
      </c>
      <c r="P21" t="s">
        <v>208</v>
      </c>
      <c r="Q21" t="s">
        <v>144</v>
      </c>
      <c r="R21">
        <v>1</v>
      </c>
      <c r="S21" t="s">
        <v>145</v>
      </c>
      <c r="U21" t="s">
        <v>210</v>
      </c>
      <c r="V21">
        <v>1</v>
      </c>
      <c r="W21">
        <v>3</v>
      </c>
      <c r="X21">
        <v>1</v>
      </c>
      <c r="Y21">
        <v>550</v>
      </c>
      <c r="AA21">
        <v>2230</v>
      </c>
      <c r="AD21" s="1">
        <v>45383</v>
      </c>
      <c r="AE21" s="1">
        <v>45404</v>
      </c>
      <c r="AF21" s="1">
        <v>45405</v>
      </c>
      <c r="AG21" s="1">
        <v>45419</v>
      </c>
      <c r="AH21" s="1">
        <v>45420</v>
      </c>
      <c r="AI21" s="1">
        <v>45434</v>
      </c>
      <c r="AJ21" s="1">
        <v>45420</v>
      </c>
      <c r="AK21" s="1">
        <v>45434</v>
      </c>
      <c r="AN21">
        <v>0.75</v>
      </c>
      <c r="AO21">
        <v>14</v>
      </c>
      <c r="AP21" t="s">
        <v>583</v>
      </c>
    </row>
    <row r="22" spans="1:42">
      <c r="A22" t="s">
        <v>130</v>
      </c>
      <c r="C22" t="s">
        <v>134</v>
      </c>
      <c r="E22" t="s">
        <v>533</v>
      </c>
      <c r="H22" s="329" t="s">
        <v>286</v>
      </c>
      <c r="J22" t="s">
        <v>204</v>
      </c>
      <c r="K22" t="s">
        <v>534</v>
      </c>
      <c r="L22" t="s">
        <v>139</v>
      </c>
      <c r="M22" t="s">
        <v>206</v>
      </c>
      <c r="N22" t="s">
        <v>1003</v>
      </c>
      <c r="O22" t="s">
        <v>139</v>
      </c>
      <c r="P22" t="s">
        <v>208</v>
      </c>
      <c r="Q22" t="s">
        <v>179</v>
      </c>
      <c r="S22" t="s">
        <v>145</v>
      </c>
      <c r="U22" t="s">
        <v>210</v>
      </c>
      <c r="W22">
        <v>8</v>
      </c>
      <c r="X22">
        <v>2</v>
      </c>
      <c r="Y22">
        <v>550</v>
      </c>
      <c r="AA22">
        <v>9380</v>
      </c>
      <c r="AD22" s="1">
        <v>45383</v>
      </c>
      <c r="AE22" s="1">
        <v>45439</v>
      </c>
      <c r="AG22" s="1">
        <v>45440</v>
      </c>
      <c r="AH22" s="1">
        <v>45454</v>
      </c>
      <c r="AI22">
        <v>363534</v>
      </c>
      <c r="AJ22" s="1">
        <v>45455</v>
      </c>
      <c r="AK22" s="1">
        <v>45483</v>
      </c>
      <c r="AN22">
        <v>2</v>
      </c>
      <c r="AO22">
        <v>28</v>
      </c>
      <c r="AP22" t="s">
        <v>155</v>
      </c>
    </row>
    <row r="23" spans="1:42">
      <c r="A23" t="s">
        <v>130</v>
      </c>
      <c r="C23" t="s">
        <v>134</v>
      </c>
      <c r="E23" t="s">
        <v>558</v>
      </c>
      <c r="F23" t="s">
        <v>203</v>
      </c>
      <c r="H23" t="s">
        <v>559</v>
      </c>
      <c r="K23" t="s">
        <v>560</v>
      </c>
      <c r="L23" t="s">
        <v>4</v>
      </c>
      <c r="M23" t="s">
        <v>206</v>
      </c>
      <c r="N23" t="s">
        <v>27</v>
      </c>
      <c r="O23" t="s">
        <v>25</v>
      </c>
      <c r="P23" t="s">
        <v>208</v>
      </c>
      <c r="Q23" t="s">
        <v>144</v>
      </c>
      <c r="R23">
        <v>2</v>
      </c>
      <c r="S23" t="s">
        <v>145</v>
      </c>
      <c r="U23" t="s">
        <v>210</v>
      </c>
      <c r="V23">
        <v>1</v>
      </c>
      <c r="W23">
        <v>2</v>
      </c>
      <c r="X23">
        <v>1</v>
      </c>
      <c r="Y23">
        <v>550</v>
      </c>
      <c r="AA23">
        <v>1680</v>
      </c>
      <c r="AD23" s="1">
        <v>45414</v>
      </c>
      <c r="AE23" s="1">
        <v>45428</v>
      </c>
      <c r="AF23">
        <v>14</v>
      </c>
      <c r="AG23" s="1">
        <v>45429</v>
      </c>
      <c r="AH23" s="1">
        <v>45432</v>
      </c>
      <c r="AI23" s="1">
        <v>363435</v>
      </c>
      <c r="AJ23" s="1">
        <v>45433</v>
      </c>
      <c r="AK23" s="1">
        <v>45433</v>
      </c>
      <c r="AN23">
        <v>0.5</v>
      </c>
      <c r="AO23">
        <v>0</v>
      </c>
    </row>
    <row r="24" spans="1:42">
      <c r="A24" t="s">
        <v>130</v>
      </c>
      <c r="C24" t="s">
        <v>134</v>
      </c>
      <c r="E24" t="s">
        <v>625</v>
      </c>
      <c r="H24" s="329" t="s">
        <v>626</v>
      </c>
      <c r="K24" t="s">
        <v>627</v>
      </c>
      <c r="L24" t="s">
        <v>4</v>
      </c>
      <c r="M24" t="s">
        <v>206</v>
      </c>
      <c r="N24" t="s">
        <v>18</v>
      </c>
      <c r="O24" t="s">
        <v>17</v>
      </c>
      <c r="P24" t="s">
        <v>208</v>
      </c>
      <c r="Q24" t="s">
        <v>144</v>
      </c>
      <c r="S24" t="s">
        <v>145</v>
      </c>
      <c r="T24" t="s">
        <v>630</v>
      </c>
      <c r="U24" t="s">
        <v>136</v>
      </c>
      <c r="V24">
        <v>1</v>
      </c>
      <c r="W24">
        <v>2</v>
      </c>
      <c r="X24">
        <v>1</v>
      </c>
      <c r="Y24">
        <v>550</v>
      </c>
      <c r="AA24">
        <v>1680</v>
      </c>
      <c r="AD24" s="1">
        <v>45418</v>
      </c>
      <c r="AE24" s="1">
        <v>45432</v>
      </c>
      <c r="AF24">
        <v>14</v>
      </c>
      <c r="AG24" s="1">
        <v>45448</v>
      </c>
      <c r="AH24" s="1">
        <v>45462</v>
      </c>
      <c r="AI24" s="1">
        <v>363598</v>
      </c>
      <c r="AJ24" s="1">
        <v>45467</v>
      </c>
      <c r="AK24" s="1">
        <v>45481</v>
      </c>
      <c r="AN24">
        <v>0.5</v>
      </c>
      <c r="AO24">
        <v>14</v>
      </c>
      <c r="AP24" t="s">
        <v>532</v>
      </c>
    </row>
    <row r="25" spans="1:42">
      <c r="A25" t="s">
        <v>130</v>
      </c>
      <c r="C25" t="s">
        <v>134</v>
      </c>
      <c r="E25" t="s">
        <v>718</v>
      </c>
      <c r="H25" t="s">
        <v>719</v>
      </c>
      <c r="K25" t="s">
        <v>694</v>
      </c>
      <c r="L25" t="s">
        <v>4</v>
      </c>
      <c r="M25" t="s">
        <v>206</v>
      </c>
      <c r="N25" t="s">
        <v>6</v>
      </c>
      <c r="O25" t="s">
        <v>5</v>
      </c>
      <c r="P25" t="s">
        <v>208</v>
      </c>
      <c r="Q25" t="s">
        <v>144</v>
      </c>
      <c r="R25" t="s">
        <v>145</v>
      </c>
      <c r="S25" t="s">
        <v>145</v>
      </c>
      <c r="U25" t="s">
        <v>210</v>
      </c>
      <c r="V25">
        <v>1</v>
      </c>
      <c r="W25">
        <v>3</v>
      </c>
      <c r="X25">
        <v>1</v>
      </c>
      <c r="Y25">
        <v>550</v>
      </c>
      <c r="AA25">
        <v>2230</v>
      </c>
      <c r="AD25" s="1">
        <v>45468</v>
      </c>
      <c r="AE25" s="1">
        <v>45489</v>
      </c>
      <c r="AF25" s="1">
        <v>21</v>
      </c>
      <c r="AG25" s="1">
        <v>45490</v>
      </c>
      <c r="AH25" s="1">
        <v>45504</v>
      </c>
      <c r="AI25" s="1">
        <v>363934</v>
      </c>
      <c r="AJ25" s="1">
        <v>45505</v>
      </c>
      <c r="AK25" s="1">
        <v>45519</v>
      </c>
      <c r="AN25">
        <v>0.75</v>
      </c>
      <c r="AO25">
        <v>14</v>
      </c>
    </row>
    <row r="26" spans="1:42">
      <c r="A26" t="s">
        <v>130</v>
      </c>
      <c r="C26" t="s">
        <v>134</v>
      </c>
      <c r="E26" t="s">
        <v>708</v>
      </c>
      <c r="H26" t="s">
        <v>709</v>
      </c>
      <c r="K26" t="s">
        <v>694</v>
      </c>
      <c r="L26" t="s">
        <v>4</v>
      </c>
      <c r="M26" t="s">
        <v>206</v>
      </c>
      <c r="N26" t="s">
        <v>6</v>
      </c>
      <c r="O26" t="s">
        <v>5</v>
      </c>
      <c r="P26" t="s">
        <v>208</v>
      </c>
      <c r="Q26" t="s">
        <v>144</v>
      </c>
      <c r="R26">
        <v>4</v>
      </c>
      <c r="S26" t="s">
        <v>145</v>
      </c>
      <c r="U26" t="s">
        <v>210</v>
      </c>
      <c r="V26">
        <v>1</v>
      </c>
      <c r="W26">
        <v>2</v>
      </c>
      <c r="X26">
        <v>1</v>
      </c>
      <c r="Y26">
        <v>550</v>
      </c>
      <c r="AA26">
        <v>1680</v>
      </c>
      <c r="AD26" s="1">
        <v>45454</v>
      </c>
      <c r="AE26" s="1">
        <v>45468</v>
      </c>
      <c r="AF26">
        <v>14</v>
      </c>
      <c r="AG26" s="1">
        <v>45469</v>
      </c>
      <c r="AH26" s="1">
        <v>45483</v>
      </c>
      <c r="AI26" s="1">
        <v>363766</v>
      </c>
      <c r="AJ26" s="1">
        <v>45484</v>
      </c>
      <c r="AK26" s="1">
        <v>45498</v>
      </c>
      <c r="AN26">
        <v>0.5</v>
      </c>
      <c r="AO26">
        <v>14</v>
      </c>
    </row>
    <row r="27" spans="1:42">
      <c r="A27" t="s">
        <v>130</v>
      </c>
      <c r="C27" t="s">
        <v>134</v>
      </c>
      <c r="E27" t="s">
        <v>697</v>
      </c>
      <c r="F27" t="s">
        <v>203</v>
      </c>
      <c r="H27" t="s">
        <v>698</v>
      </c>
      <c r="K27" t="s">
        <v>694</v>
      </c>
      <c r="L27" t="s">
        <v>4</v>
      </c>
      <c r="M27" t="s">
        <v>206</v>
      </c>
      <c r="N27" t="s">
        <v>6</v>
      </c>
      <c r="O27" t="s">
        <v>5</v>
      </c>
      <c r="P27" t="s">
        <v>208</v>
      </c>
      <c r="Q27" t="s">
        <v>144</v>
      </c>
      <c r="R27">
        <v>3</v>
      </c>
      <c r="S27" t="s">
        <v>145</v>
      </c>
      <c r="U27" t="s">
        <v>210</v>
      </c>
      <c r="V27">
        <v>1</v>
      </c>
      <c r="W27">
        <v>1</v>
      </c>
      <c r="X27">
        <v>4</v>
      </c>
      <c r="Y27">
        <v>550</v>
      </c>
      <c r="AA27">
        <v>2780</v>
      </c>
      <c r="AD27" s="1">
        <v>45439</v>
      </c>
      <c r="AE27" s="1">
        <v>45467</v>
      </c>
      <c r="AF27">
        <v>28</v>
      </c>
      <c r="AG27" s="1">
        <v>45468</v>
      </c>
      <c r="AH27" s="1">
        <v>45482</v>
      </c>
      <c r="AI27" s="1">
        <v>363758</v>
      </c>
      <c r="AJ27" s="1">
        <v>45483</v>
      </c>
      <c r="AK27" s="1">
        <v>45497</v>
      </c>
      <c r="AN27">
        <v>0.25</v>
      </c>
      <c r="AO27">
        <v>14</v>
      </c>
    </row>
    <row r="28" spans="1:42">
      <c r="A28" t="s">
        <v>130</v>
      </c>
      <c r="C28" t="s">
        <v>134</v>
      </c>
      <c r="E28" t="s">
        <v>727</v>
      </c>
      <c r="F28" t="s">
        <v>203</v>
      </c>
      <c r="H28" t="s">
        <v>728</v>
      </c>
      <c r="K28" t="s">
        <v>694</v>
      </c>
      <c r="L28" t="s">
        <v>4</v>
      </c>
      <c r="M28" t="s">
        <v>206</v>
      </c>
      <c r="N28" t="s">
        <v>6</v>
      </c>
      <c r="O28" t="s">
        <v>5</v>
      </c>
      <c r="P28" t="s">
        <v>208</v>
      </c>
      <c r="Q28" t="s">
        <v>144</v>
      </c>
      <c r="R28">
        <v>2</v>
      </c>
      <c r="S28" t="s">
        <v>145</v>
      </c>
      <c r="U28" t="s">
        <v>210</v>
      </c>
      <c r="V28">
        <v>1</v>
      </c>
      <c r="W28">
        <v>1</v>
      </c>
      <c r="X28">
        <v>2</v>
      </c>
      <c r="Y28">
        <v>550</v>
      </c>
      <c r="AA28">
        <v>1680</v>
      </c>
      <c r="AD28" s="1">
        <v>45439</v>
      </c>
      <c r="AE28" s="1">
        <v>45453</v>
      </c>
      <c r="AF28">
        <v>14</v>
      </c>
      <c r="AG28" s="1">
        <v>45454</v>
      </c>
      <c r="AH28" s="1">
        <v>45468</v>
      </c>
      <c r="AI28" s="1">
        <v>363646</v>
      </c>
      <c r="AJ28" s="1">
        <v>45469</v>
      </c>
      <c r="AK28" s="1">
        <v>45483</v>
      </c>
      <c r="AN28">
        <v>0.25</v>
      </c>
      <c r="AO28">
        <v>14</v>
      </c>
    </row>
    <row r="29" spans="1:42">
      <c r="A29" t="s">
        <v>130</v>
      </c>
      <c r="C29" t="s">
        <v>134</v>
      </c>
      <c r="E29" t="s">
        <v>716</v>
      </c>
      <c r="F29" s="329" t="s">
        <v>203</v>
      </c>
      <c r="H29" t="s">
        <v>717</v>
      </c>
      <c r="K29" t="s">
        <v>694</v>
      </c>
      <c r="L29" t="s">
        <v>4</v>
      </c>
      <c r="M29" t="s">
        <v>206</v>
      </c>
      <c r="N29" t="s">
        <v>6</v>
      </c>
      <c r="O29" t="s">
        <v>5</v>
      </c>
      <c r="P29" t="s">
        <v>208</v>
      </c>
      <c r="Q29" t="s">
        <v>144</v>
      </c>
      <c r="R29">
        <v>1</v>
      </c>
      <c r="S29" t="s">
        <v>145</v>
      </c>
      <c r="U29" t="s">
        <v>210</v>
      </c>
      <c r="V29">
        <v>1</v>
      </c>
      <c r="W29">
        <v>3</v>
      </c>
      <c r="X29">
        <v>1</v>
      </c>
      <c r="Y29">
        <v>550</v>
      </c>
      <c r="AA29">
        <v>2230</v>
      </c>
      <c r="AD29" s="1">
        <v>45418</v>
      </c>
      <c r="AE29" s="1">
        <v>45439</v>
      </c>
      <c r="AF29" s="1">
        <v>21</v>
      </c>
      <c r="AG29" s="1">
        <v>45430</v>
      </c>
      <c r="AH29" s="1">
        <v>45454</v>
      </c>
      <c r="AI29" s="1">
        <v>363464</v>
      </c>
      <c r="AJ29" s="1">
        <v>45455</v>
      </c>
      <c r="AK29" s="1">
        <v>45469</v>
      </c>
      <c r="AN29" s="1">
        <v>0.75</v>
      </c>
      <c r="AO29">
        <v>14</v>
      </c>
    </row>
    <row r="30" spans="1:42">
      <c r="A30" t="s">
        <v>130</v>
      </c>
      <c r="C30" t="s">
        <v>134</v>
      </c>
      <c r="E30" t="s">
        <v>692</v>
      </c>
      <c r="F30" t="s">
        <v>203</v>
      </c>
      <c r="H30" t="s">
        <v>693</v>
      </c>
      <c r="K30" t="s">
        <v>694</v>
      </c>
      <c r="L30" t="s">
        <v>4</v>
      </c>
      <c r="M30" t="s">
        <v>206</v>
      </c>
      <c r="N30" t="s">
        <v>6</v>
      </c>
      <c r="O30" t="s">
        <v>5</v>
      </c>
      <c r="P30" t="s">
        <v>208</v>
      </c>
      <c r="Q30" t="s">
        <v>144</v>
      </c>
      <c r="R30">
        <v>2</v>
      </c>
      <c r="S30" t="s">
        <v>145</v>
      </c>
      <c r="T30" t="s">
        <v>695</v>
      </c>
      <c r="U30" t="s">
        <v>210</v>
      </c>
      <c r="V30">
        <v>1</v>
      </c>
      <c r="W30">
        <v>3</v>
      </c>
      <c r="X30">
        <v>1</v>
      </c>
      <c r="Y30">
        <v>550</v>
      </c>
      <c r="AA30">
        <v>2230</v>
      </c>
      <c r="AD30" s="1">
        <v>45412</v>
      </c>
      <c r="AE30" s="1">
        <v>45433</v>
      </c>
      <c r="AF30" s="1">
        <v>21</v>
      </c>
      <c r="AG30" s="1">
        <v>45434</v>
      </c>
      <c r="AH30" s="1">
        <v>45448</v>
      </c>
      <c r="AI30" s="1">
        <v>363486</v>
      </c>
      <c r="AJ30" s="1">
        <v>45449</v>
      </c>
      <c r="AK30" s="1">
        <v>45463</v>
      </c>
      <c r="AN30">
        <v>0.75</v>
      </c>
      <c r="AO30">
        <v>14</v>
      </c>
    </row>
    <row r="31" spans="1:42">
      <c r="A31" t="s">
        <v>130</v>
      </c>
      <c r="C31" t="s">
        <v>134</v>
      </c>
      <c r="E31" t="s">
        <v>705</v>
      </c>
      <c r="F31" t="s">
        <v>203</v>
      </c>
      <c r="H31" t="s">
        <v>706</v>
      </c>
      <c r="K31" t="s">
        <v>694</v>
      </c>
      <c r="L31" t="s">
        <v>4</v>
      </c>
      <c r="M31" t="s">
        <v>206</v>
      </c>
      <c r="N31" t="s">
        <v>6</v>
      </c>
      <c r="O31" t="s">
        <v>5</v>
      </c>
      <c r="P31" t="s">
        <v>208</v>
      </c>
      <c r="Q31" t="s">
        <v>144</v>
      </c>
      <c r="R31">
        <v>2</v>
      </c>
      <c r="S31" t="s">
        <v>145</v>
      </c>
      <c r="T31" t="s">
        <v>707</v>
      </c>
      <c r="U31" t="s">
        <v>210</v>
      </c>
      <c r="V31">
        <v>1</v>
      </c>
      <c r="W31">
        <v>2</v>
      </c>
      <c r="X31">
        <v>1</v>
      </c>
      <c r="Y31">
        <v>550</v>
      </c>
      <c r="AA31">
        <v>1680</v>
      </c>
      <c r="AD31" s="1">
        <v>45397</v>
      </c>
      <c r="AE31" s="1">
        <v>45411</v>
      </c>
      <c r="AF31" s="1">
        <v>14</v>
      </c>
      <c r="AG31" s="1">
        <v>45412</v>
      </c>
      <c r="AH31" s="1">
        <v>45426</v>
      </c>
      <c r="AI31" s="1">
        <v>363310</v>
      </c>
      <c r="AJ31" s="1">
        <v>45427</v>
      </c>
      <c r="AK31" s="1">
        <v>45431</v>
      </c>
      <c r="AN31">
        <v>0.5</v>
      </c>
      <c r="AO31">
        <v>4</v>
      </c>
    </row>
  </sheetData>
  <pageMargins left="0.7" right="0.7" top="0.75" bottom="0.75" header="0.3" footer="0.3"/>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tint="0.79998168889431442"/>
  </sheetPr>
  <dimension ref="A1:P153"/>
  <sheetViews>
    <sheetView zoomScale="115" zoomScaleNormal="115" workbookViewId="0">
      <selection activeCell="B6" sqref="B6:E6"/>
    </sheetView>
  </sheetViews>
  <sheetFormatPr baseColWidth="10" defaultColWidth="11.3984375" defaultRowHeight="14.25"/>
  <cols>
    <col min="1" max="1" width="14.73046875" bestFit="1" customWidth="1"/>
    <col min="2" max="2" width="25.1328125" style="28" bestFit="1" customWidth="1"/>
    <col min="3" max="3" width="10.1328125" style="28" bestFit="1" customWidth="1"/>
    <col min="4" max="5" width="6.73046875" style="28" bestFit="1" customWidth="1"/>
    <col min="6" max="6" width="12.59765625" style="28" bestFit="1" customWidth="1"/>
    <col min="7" max="7" width="12.59765625" style="28" customWidth="1"/>
    <col min="10" max="10" width="93.73046875" bestFit="1" customWidth="1"/>
    <col min="11" max="11" width="25.1328125" bestFit="1" customWidth="1"/>
    <col min="12" max="12" width="9.73046875" bestFit="1" customWidth="1"/>
    <col min="13" max="13" width="10.265625" bestFit="1" customWidth="1"/>
    <col min="14" max="14" width="5.86328125" bestFit="1" customWidth="1"/>
    <col min="15" max="15" width="9.59765625" bestFit="1" customWidth="1"/>
    <col min="16" max="16" width="12.59765625" bestFit="1" customWidth="1"/>
  </cols>
  <sheetData>
    <row r="1" spans="1:7">
      <c r="A1" s="2" t="s">
        <v>84</v>
      </c>
      <c r="B1" t="s">
        <v>131</v>
      </c>
    </row>
    <row r="2" spans="1:7">
      <c r="A2" s="2" t="s">
        <v>94</v>
      </c>
      <c r="B2" t="s">
        <v>206</v>
      </c>
    </row>
    <row r="4" spans="1:7">
      <c r="B4" s="420" t="s">
        <v>1118</v>
      </c>
      <c r="G4"/>
    </row>
    <row r="5" spans="1:7">
      <c r="B5" t="s">
        <v>152</v>
      </c>
      <c r="C5" t="s">
        <v>145</v>
      </c>
      <c r="D5" t="s">
        <v>221</v>
      </c>
      <c r="E5" t="s">
        <v>320</v>
      </c>
      <c r="F5" s="28" t="s">
        <v>1115</v>
      </c>
      <c r="G5"/>
    </row>
    <row r="6" spans="1:7">
      <c r="A6" t="s">
        <v>1113</v>
      </c>
      <c r="B6" s="28">
        <v>67720</v>
      </c>
      <c r="C6" s="28">
        <v>61119.72</v>
      </c>
      <c r="D6" s="28">
        <v>74410</v>
      </c>
      <c r="E6" s="28">
        <v>68640</v>
      </c>
      <c r="F6" s="28">
        <v>271889.71999999997</v>
      </c>
      <c r="G6"/>
    </row>
    <row r="7" spans="1:7">
      <c r="B7"/>
      <c r="C7"/>
      <c r="D7"/>
      <c r="E7"/>
      <c r="F7"/>
      <c r="G7"/>
    </row>
    <row r="8" spans="1:7">
      <c r="B8"/>
      <c r="C8"/>
      <c r="D8"/>
      <c r="E8"/>
      <c r="F8"/>
      <c r="G8"/>
    </row>
    <row r="9" spans="1:7">
      <c r="B9"/>
      <c r="C9"/>
      <c r="D9"/>
      <c r="E9"/>
      <c r="F9"/>
      <c r="G9"/>
    </row>
    <row r="10" spans="1:7">
      <c r="B10"/>
      <c r="C10"/>
      <c r="D10"/>
      <c r="E10"/>
      <c r="F10"/>
      <c r="G10"/>
    </row>
    <row r="13" spans="1:7">
      <c r="A13" s="2" t="s">
        <v>83</v>
      </c>
      <c r="B13" t="s">
        <v>1117</v>
      </c>
    </row>
    <row r="14" spans="1:7">
      <c r="A14" s="2" t="s">
        <v>84</v>
      </c>
      <c r="B14" t="s">
        <v>131</v>
      </c>
    </row>
    <row r="15" spans="1:7">
      <c r="A15" s="2" t="s">
        <v>99</v>
      </c>
      <c r="B15" t="s">
        <v>82</v>
      </c>
    </row>
    <row r="17" spans="1:16">
      <c r="A17" s="2" t="s">
        <v>1128</v>
      </c>
      <c r="B17" s="420" t="s">
        <v>1118</v>
      </c>
    </row>
    <row r="18" spans="1:16">
      <c r="A18" s="2" t="s">
        <v>1112</v>
      </c>
      <c r="B18" s="28" t="s">
        <v>206</v>
      </c>
      <c r="C18" s="28" t="s">
        <v>328</v>
      </c>
      <c r="D18" s="28" t="s">
        <v>330</v>
      </c>
      <c r="E18" s="28" t="s">
        <v>329</v>
      </c>
      <c r="F18" s="28" t="s">
        <v>140</v>
      </c>
      <c r="G18" s="28" t="s">
        <v>1115</v>
      </c>
    </row>
    <row r="19" spans="1:16">
      <c r="A19" s="3" t="s">
        <v>4</v>
      </c>
      <c r="B19" s="127">
        <v>198950</v>
      </c>
      <c r="C19" s="127">
        <v>30600</v>
      </c>
      <c r="D19" s="127">
        <v>34540</v>
      </c>
      <c r="E19" s="127">
        <v>54520</v>
      </c>
      <c r="F19" s="127">
        <v>30600</v>
      </c>
      <c r="G19" s="127">
        <v>349210</v>
      </c>
    </row>
    <row r="20" spans="1:16">
      <c r="A20" s="6" t="s">
        <v>45</v>
      </c>
      <c r="B20" s="127">
        <v>168800</v>
      </c>
      <c r="C20" s="127">
        <v>30600</v>
      </c>
      <c r="D20" s="127">
        <v>34540</v>
      </c>
      <c r="E20" s="127">
        <v>54520</v>
      </c>
      <c r="F20" s="127">
        <v>30600</v>
      </c>
      <c r="G20" s="127">
        <v>319060</v>
      </c>
      <c r="L20" s="28"/>
      <c r="M20" s="28"/>
      <c r="N20" s="28"/>
      <c r="O20" s="28"/>
      <c r="P20" s="28"/>
    </row>
    <row r="21" spans="1:16">
      <c r="A21" s="6" t="s">
        <v>25</v>
      </c>
      <c r="B21" s="127">
        <v>18970</v>
      </c>
      <c r="C21" s="127"/>
      <c r="D21" s="127"/>
      <c r="E21" s="127"/>
      <c r="F21" s="127"/>
      <c r="G21" s="127">
        <v>18970</v>
      </c>
      <c r="L21" s="28"/>
      <c r="M21" s="28"/>
      <c r="N21" s="28"/>
      <c r="O21" s="28"/>
      <c r="P21" s="28"/>
    </row>
    <row r="22" spans="1:16">
      <c r="A22" s="6" t="s">
        <v>28</v>
      </c>
      <c r="B22" s="127">
        <v>6140</v>
      </c>
      <c r="C22" s="127"/>
      <c r="D22" s="127"/>
      <c r="E22" s="127"/>
      <c r="F22" s="127"/>
      <c r="G22" s="127">
        <v>6140</v>
      </c>
      <c r="L22" s="28"/>
      <c r="M22" s="28"/>
      <c r="N22" s="28"/>
      <c r="O22" s="28"/>
      <c r="P22" s="28"/>
    </row>
    <row r="23" spans="1:16">
      <c r="A23" s="6" t="s">
        <v>17</v>
      </c>
      <c r="B23" s="127">
        <v>5040</v>
      </c>
      <c r="C23" s="127"/>
      <c r="D23" s="127"/>
      <c r="E23" s="127"/>
      <c r="F23" s="127"/>
      <c r="G23" s="127">
        <v>5040</v>
      </c>
      <c r="K23" s="28"/>
      <c r="L23" s="28"/>
      <c r="M23" s="28"/>
      <c r="N23" s="28"/>
      <c r="O23" s="28"/>
      <c r="P23" s="28"/>
    </row>
    <row r="24" spans="1:16">
      <c r="A24" s="3" t="s">
        <v>139</v>
      </c>
      <c r="B24" s="127">
        <v>56079.72</v>
      </c>
      <c r="C24" s="127">
        <v>42218.36</v>
      </c>
      <c r="D24" s="127">
        <v>21752.04</v>
      </c>
      <c r="E24" s="127">
        <v>65579.72</v>
      </c>
      <c r="F24" s="127">
        <v>64658.16</v>
      </c>
      <c r="G24" s="127">
        <v>250288</v>
      </c>
    </row>
    <row r="25" spans="1:16">
      <c r="A25" s="6" t="s">
        <v>139</v>
      </c>
      <c r="B25" s="127">
        <v>56079.72</v>
      </c>
      <c r="C25" s="127">
        <v>42218.36</v>
      </c>
      <c r="D25" s="127">
        <v>21752.04</v>
      </c>
      <c r="E25" s="127">
        <v>65579.72</v>
      </c>
      <c r="F25" s="127">
        <v>64658.16</v>
      </c>
      <c r="G25" s="127">
        <v>250288</v>
      </c>
    </row>
    <row r="26" spans="1:16">
      <c r="A26" s="3" t="s">
        <v>53</v>
      </c>
      <c r="B26" s="127">
        <v>14020</v>
      </c>
      <c r="C26" s="127"/>
      <c r="D26" s="127"/>
      <c r="E26" s="127"/>
      <c r="F26" s="127"/>
      <c r="G26" s="127">
        <v>14020</v>
      </c>
    </row>
    <row r="27" spans="1:16">
      <c r="A27" s="6" t="s">
        <v>70</v>
      </c>
      <c r="B27" s="127">
        <v>14020</v>
      </c>
      <c r="C27" s="127"/>
      <c r="D27" s="127"/>
      <c r="E27" s="127"/>
      <c r="F27" s="127"/>
      <c r="G27" s="127">
        <v>14020</v>
      </c>
    </row>
    <row r="28" spans="1:16">
      <c r="A28" s="3" t="s">
        <v>24</v>
      </c>
      <c r="B28" s="127">
        <v>2840</v>
      </c>
      <c r="C28" s="127"/>
      <c r="D28" s="127"/>
      <c r="E28" s="127"/>
      <c r="F28" s="127"/>
      <c r="G28" s="127">
        <v>2840</v>
      </c>
    </row>
    <row r="29" spans="1:16">
      <c r="A29" s="6" t="s">
        <v>80</v>
      </c>
      <c r="B29" s="127">
        <v>2840</v>
      </c>
      <c r="C29" s="127"/>
      <c r="D29" s="127"/>
      <c r="E29" s="127"/>
      <c r="F29" s="127"/>
      <c r="G29" s="127">
        <v>2840</v>
      </c>
    </row>
    <row r="30" spans="1:16">
      <c r="A30" s="3" t="s">
        <v>137</v>
      </c>
      <c r="B30" s="127"/>
      <c r="C30" s="127">
        <v>2500</v>
      </c>
      <c r="D30" s="127"/>
      <c r="E30" s="127"/>
      <c r="F30" s="127"/>
      <c r="G30" s="127">
        <v>2500</v>
      </c>
    </row>
    <row r="31" spans="1:16">
      <c r="A31" s="3" t="s">
        <v>1115</v>
      </c>
      <c r="B31" s="127">
        <v>271889.71999999997</v>
      </c>
      <c r="C31" s="127">
        <v>75318.36</v>
      </c>
      <c r="D31" s="127">
        <v>56292.04</v>
      </c>
      <c r="E31" s="127">
        <v>120099.72</v>
      </c>
      <c r="F31" s="127">
        <v>95258.16</v>
      </c>
      <c r="G31" s="127">
        <v>618858</v>
      </c>
    </row>
    <row r="32" spans="1:16">
      <c r="B32"/>
      <c r="C32"/>
      <c r="D32"/>
      <c r="E32"/>
      <c r="F32"/>
      <c r="G32"/>
    </row>
    <row r="33" customFormat="1"/>
    <row r="34" customFormat="1"/>
    <row r="35" customFormat="1"/>
    <row r="36" customFormat="1"/>
    <row r="37" customFormat="1"/>
    <row r="38" customFormat="1"/>
    <row r="39" customFormat="1"/>
    <row r="40" customFormat="1"/>
    <row r="41" customFormat="1"/>
    <row r="42" customFormat="1"/>
    <row r="43" customFormat="1"/>
    <row r="44" customFormat="1"/>
    <row r="45" customFormat="1"/>
    <row r="46" customFormat="1"/>
    <row r="47" customFormat="1"/>
    <row r="48" customFormat="1"/>
    <row r="49" customFormat="1"/>
    <row r="50" customFormat="1"/>
    <row r="51" customFormat="1"/>
    <row r="52" customFormat="1"/>
    <row r="53" customFormat="1"/>
    <row r="54" customFormat="1"/>
    <row r="55" customFormat="1"/>
    <row r="56" customFormat="1"/>
    <row r="57" customFormat="1"/>
    <row r="58" customFormat="1"/>
    <row r="59" customFormat="1"/>
    <row r="60" customFormat="1"/>
    <row r="61" customFormat="1"/>
    <row r="62" customFormat="1"/>
    <row r="63" customFormat="1"/>
    <row r="64" customFormat="1"/>
    <row r="65" customFormat="1"/>
    <row r="66" customFormat="1"/>
    <row r="67" customFormat="1"/>
    <row r="68" customFormat="1"/>
    <row r="69" customFormat="1"/>
    <row r="70" customFormat="1"/>
    <row r="71" customFormat="1"/>
    <row r="72" customFormat="1"/>
    <row r="73" customFormat="1"/>
    <row r="74" customFormat="1"/>
    <row r="75" customFormat="1"/>
    <row r="76" customFormat="1"/>
    <row r="77" customFormat="1"/>
    <row r="78" customFormat="1"/>
    <row r="79" customFormat="1"/>
    <row r="80" customFormat="1"/>
    <row r="81" customFormat="1"/>
    <row r="82" customFormat="1"/>
    <row r="83" customFormat="1"/>
    <row r="84" customFormat="1"/>
    <row r="85" customFormat="1"/>
    <row r="86" customFormat="1"/>
    <row r="87" customFormat="1"/>
    <row r="88" customFormat="1"/>
    <row r="89" customFormat="1"/>
    <row r="90" customFormat="1"/>
    <row r="91" customFormat="1"/>
    <row r="92" customFormat="1"/>
    <row r="93" customFormat="1"/>
    <row r="94" customFormat="1"/>
    <row r="95" customFormat="1"/>
    <row r="96" customFormat="1"/>
    <row r="97" customFormat="1"/>
    <row r="98" customFormat="1"/>
    <row r="99" customFormat="1"/>
    <row r="100" customFormat="1"/>
    <row r="101" customFormat="1"/>
    <row r="102" customFormat="1"/>
    <row r="103" customFormat="1"/>
    <row r="104" customFormat="1"/>
    <row r="105" customFormat="1"/>
    <row r="106" customFormat="1"/>
    <row r="107" customFormat="1"/>
    <row r="108" customFormat="1"/>
    <row r="109" customFormat="1"/>
    <row r="110" customFormat="1"/>
    <row r="111" customFormat="1"/>
    <row r="112" customFormat="1"/>
    <row r="113" customFormat="1"/>
    <row r="114" customFormat="1"/>
    <row r="115" customFormat="1"/>
    <row r="116" customFormat="1"/>
    <row r="117" customFormat="1"/>
    <row r="118" customFormat="1"/>
    <row r="119" customFormat="1"/>
    <row r="120" customFormat="1"/>
    <row r="121" customFormat="1"/>
    <row r="122" customFormat="1"/>
    <row r="123" customFormat="1"/>
    <row r="124" customFormat="1"/>
    <row r="125" customFormat="1"/>
    <row r="126" customFormat="1"/>
    <row r="127" customFormat="1"/>
    <row r="128" customFormat="1"/>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sheetData>
  <pageMargins left="0.7" right="0.7" top="0.75" bottom="0.75" header="0.3" footer="0.3"/>
  <pageSetup paperSize="9" orientation="portrait"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B2F15-6ADF-4C5E-BF3E-C3D45EA550DB}">
  <sheetPr>
    <tabColor theme="7" tint="0.39997558519241921"/>
  </sheetPr>
  <dimension ref="A1:Q78"/>
  <sheetViews>
    <sheetView topLeftCell="A18" zoomScale="145" zoomScaleNormal="145" workbookViewId="0">
      <selection activeCell="H47" sqref="H47"/>
    </sheetView>
  </sheetViews>
  <sheetFormatPr baseColWidth="10" defaultColWidth="11.3984375" defaultRowHeight="14.25"/>
  <cols>
    <col min="1" max="1" width="17.86328125" bestFit="1" customWidth="1"/>
    <col min="2" max="2" width="20.1328125" bestFit="1" customWidth="1"/>
    <col min="3" max="3" width="14.3984375" bestFit="1" customWidth="1"/>
    <col min="4" max="4" width="3.3984375" bestFit="1" customWidth="1"/>
    <col min="5" max="5" width="12.59765625" bestFit="1" customWidth="1"/>
    <col min="6" max="6" width="11.1328125" bestFit="1" customWidth="1"/>
    <col min="7" max="7" width="14.73046875" bestFit="1" customWidth="1"/>
    <col min="8" max="8" width="22.86328125" bestFit="1" customWidth="1"/>
    <col min="9" max="9" width="9.86328125" bestFit="1" customWidth="1"/>
    <col min="10" max="10" width="8.86328125" bestFit="1" customWidth="1"/>
    <col min="11" max="11" width="12.59765625" bestFit="1" customWidth="1"/>
    <col min="12" max="12" width="11.1328125" bestFit="1" customWidth="1"/>
    <col min="13" max="13" width="12.59765625" bestFit="1" customWidth="1"/>
    <col min="14" max="14" width="14.73046875" bestFit="1" customWidth="1"/>
    <col min="15" max="17" width="20.1328125" bestFit="1" customWidth="1"/>
    <col min="18" max="18" width="12.59765625" bestFit="1" customWidth="1"/>
    <col min="19" max="19" width="14.86328125" bestFit="1" customWidth="1"/>
    <col min="20" max="20" width="12.59765625" bestFit="1" customWidth="1"/>
  </cols>
  <sheetData>
    <row r="1" spans="1:14">
      <c r="A1" s="490"/>
      <c r="B1" s="490"/>
      <c r="C1" s="490"/>
      <c r="D1" s="490"/>
      <c r="E1" s="490"/>
      <c r="F1" s="490"/>
      <c r="G1" s="490"/>
      <c r="H1" s="490"/>
      <c r="I1" s="490"/>
      <c r="J1" s="490"/>
      <c r="K1" s="490"/>
      <c r="L1" s="490"/>
      <c r="M1" s="490"/>
      <c r="N1" s="490"/>
    </row>
    <row r="2" spans="1:14">
      <c r="A2" s="656" t="s">
        <v>84</v>
      </c>
      <c r="B2" s="656" t="s">
        <v>134</v>
      </c>
      <c r="C2" s="657"/>
      <c r="D2" s="490"/>
      <c r="E2" s="490"/>
      <c r="F2" s="490"/>
      <c r="G2" s="490"/>
      <c r="H2" s="490"/>
      <c r="I2" s="490"/>
      <c r="J2" s="490"/>
      <c r="K2" s="490"/>
      <c r="L2" s="490"/>
      <c r="M2" s="490"/>
      <c r="N2" s="490"/>
    </row>
    <row r="3" spans="1:14">
      <c r="A3" s="490"/>
      <c r="B3" s="490"/>
      <c r="C3" s="490"/>
      <c r="D3" s="490"/>
      <c r="E3" s="490"/>
      <c r="F3" s="490"/>
      <c r="G3" s="490"/>
      <c r="H3" s="490"/>
      <c r="I3" s="490"/>
      <c r="J3" s="490"/>
      <c r="K3" s="490"/>
      <c r="L3" s="490"/>
      <c r="M3" s="490"/>
      <c r="N3" s="490"/>
    </row>
    <row r="4" spans="1:14">
      <c r="A4" s="503" t="s">
        <v>1112</v>
      </c>
      <c r="B4" s="502" t="s">
        <v>1118</v>
      </c>
      <c r="C4" s="502"/>
      <c r="D4" s="502"/>
      <c r="E4" s="502"/>
      <c r="F4" s="490"/>
      <c r="G4" s="490"/>
      <c r="H4" s="490"/>
      <c r="I4" s="490"/>
      <c r="J4" s="490"/>
      <c r="K4" s="490"/>
      <c r="L4" s="490"/>
      <c r="M4" s="490"/>
      <c r="N4" s="490"/>
    </row>
    <row r="5" spans="1:14">
      <c r="B5" s="503" t="s">
        <v>152</v>
      </c>
      <c r="C5" s="503" t="s">
        <v>145</v>
      </c>
      <c r="D5" s="503" t="s">
        <v>221</v>
      </c>
      <c r="E5" s="503" t="s">
        <v>1115</v>
      </c>
      <c r="F5" s="490"/>
      <c r="G5" s="490"/>
      <c r="H5" s="490"/>
      <c r="I5" s="490"/>
      <c r="J5" s="490"/>
      <c r="K5" s="490"/>
      <c r="L5" s="490"/>
      <c r="M5" s="490"/>
      <c r="N5" s="490"/>
    </row>
    <row r="6" spans="1:14">
      <c r="A6" s="658" t="s">
        <v>146</v>
      </c>
      <c r="B6" s="490"/>
      <c r="C6" s="490"/>
      <c r="D6" s="490"/>
      <c r="E6" s="490"/>
      <c r="F6" s="490"/>
      <c r="G6" s="490"/>
      <c r="H6" s="490"/>
      <c r="I6" s="490"/>
      <c r="J6" s="490"/>
      <c r="K6" s="490"/>
      <c r="L6" s="490"/>
      <c r="M6" s="490"/>
      <c r="N6" s="490"/>
    </row>
    <row r="7" spans="1:14">
      <c r="A7" s="490" t="s">
        <v>24</v>
      </c>
      <c r="B7" s="490"/>
      <c r="C7" s="490"/>
      <c r="D7" s="490"/>
      <c r="E7" s="490"/>
      <c r="F7" s="490"/>
      <c r="G7" s="490"/>
      <c r="H7" s="490"/>
      <c r="I7" s="490"/>
      <c r="J7" s="490"/>
      <c r="K7" s="490"/>
      <c r="L7" s="490"/>
      <c r="M7" s="490"/>
      <c r="N7" s="490"/>
    </row>
    <row r="8" spans="1:14">
      <c r="A8" s="490" t="s">
        <v>136</v>
      </c>
      <c r="B8" s="490"/>
      <c r="C8" s="490"/>
      <c r="D8" s="490"/>
      <c r="E8" s="490"/>
      <c r="F8" s="490"/>
      <c r="G8" s="490"/>
      <c r="H8" s="490"/>
      <c r="I8" s="490"/>
      <c r="J8" s="490"/>
      <c r="K8" s="490"/>
      <c r="L8" s="490"/>
      <c r="M8" s="490"/>
      <c r="N8" s="490"/>
    </row>
    <row r="9" spans="1:14">
      <c r="A9" s="490" t="s">
        <v>210</v>
      </c>
      <c r="B9" s="490"/>
      <c r="C9" s="490"/>
      <c r="D9" s="490"/>
      <c r="E9" s="490"/>
      <c r="F9" s="490"/>
      <c r="G9" s="490"/>
      <c r="H9" s="490"/>
      <c r="I9" s="490"/>
      <c r="J9" s="490"/>
      <c r="K9" s="490"/>
      <c r="L9" s="490"/>
      <c r="M9" s="490"/>
      <c r="N9" s="490"/>
    </row>
    <row r="10" spans="1:14">
      <c r="A10" s="504" t="s">
        <v>1115</v>
      </c>
      <c r="B10" s="502"/>
      <c r="C10" s="504"/>
      <c r="D10" s="504"/>
      <c r="E10" s="504"/>
      <c r="F10" s="490"/>
      <c r="G10" s="490"/>
      <c r="H10" s="490"/>
      <c r="I10" s="490"/>
      <c r="J10" s="490"/>
      <c r="K10" s="490"/>
      <c r="L10" s="490"/>
      <c r="M10" s="490"/>
      <c r="N10" s="490"/>
    </row>
    <row r="11" spans="1:14">
      <c r="A11" s="490"/>
      <c r="B11" s="490"/>
      <c r="C11" s="490"/>
      <c r="D11" s="490"/>
      <c r="E11" s="490"/>
      <c r="F11" s="490"/>
      <c r="G11" s="490"/>
      <c r="H11" s="490"/>
      <c r="I11" s="490"/>
      <c r="J11" s="490"/>
      <c r="K11" s="490"/>
      <c r="L11" s="490"/>
      <c r="M11" s="490"/>
      <c r="N11" s="490"/>
    </row>
    <row r="12" spans="1:14">
      <c r="A12" s="656" t="s">
        <v>84</v>
      </c>
      <c r="B12" s="656" t="s">
        <v>134</v>
      </c>
      <c r="C12" s="657"/>
      <c r="D12" s="490"/>
      <c r="E12" s="490"/>
      <c r="F12" s="490"/>
      <c r="G12" s="490"/>
      <c r="H12" s="490"/>
      <c r="I12" s="490"/>
      <c r="J12" s="490"/>
      <c r="K12" s="490"/>
      <c r="L12" s="490"/>
      <c r="M12" s="490"/>
      <c r="N12" s="490"/>
    </row>
    <row r="13" spans="1:14">
      <c r="A13" s="490"/>
      <c r="B13" s="490"/>
      <c r="C13" s="490"/>
      <c r="D13" s="490"/>
      <c r="E13" s="490"/>
      <c r="F13" s="490"/>
      <c r="G13" s="490"/>
      <c r="H13" s="490"/>
      <c r="I13" s="490"/>
      <c r="J13" s="490"/>
      <c r="K13" s="490"/>
      <c r="L13" s="490"/>
      <c r="M13" s="490"/>
      <c r="N13" s="490"/>
    </row>
    <row r="14" spans="1:14">
      <c r="A14" s="503" t="s">
        <v>1112</v>
      </c>
      <c r="B14" s="503" t="s">
        <v>1128</v>
      </c>
      <c r="C14" s="503" t="s">
        <v>1130</v>
      </c>
      <c r="D14" s="502"/>
      <c r="E14" s="490"/>
      <c r="F14" s="490"/>
      <c r="G14" s="490"/>
      <c r="H14" s="490"/>
      <c r="I14" s="490"/>
      <c r="J14" s="490"/>
      <c r="K14" s="490"/>
      <c r="L14" s="490"/>
      <c r="M14" s="490"/>
      <c r="N14" s="490"/>
    </row>
    <row r="15" spans="1:14">
      <c r="A15" s="505" t="s">
        <v>4</v>
      </c>
      <c r="B15" s="505" t="s">
        <v>1149</v>
      </c>
      <c r="C15" s="506">
        <v>0.06</v>
      </c>
      <c r="D15" s="490"/>
      <c r="E15" s="490"/>
      <c r="F15" s="490"/>
      <c r="G15" s="490"/>
      <c r="H15" s="490"/>
      <c r="I15" s="490"/>
      <c r="J15" s="490"/>
      <c r="K15" s="490"/>
      <c r="L15" s="490"/>
      <c r="M15" s="490"/>
      <c r="N15" s="490"/>
    </row>
    <row r="16" spans="1:14">
      <c r="A16" s="505" t="s">
        <v>53</v>
      </c>
      <c r="B16" s="505" t="s">
        <v>1150</v>
      </c>
      <c r="C16" s="506">
        <v>0.2</v>
      </c>
      <c r="D16" s="490"/>
      <c r="E16" s="490"/>
      <c r="F16" s="490"/>
      <c r="G16" s="490"/>
      <c r="H16" s="490"/>
      <c r="I16" s="490"/>
      <c r="J16" s="490"/>
      <c r="K16" s="490"/>
      <c r="L16" s="490"/>
      <c r="M16" s="490"/>
      <c r="N16" s="490"/>
    </row>
    <row r="17" spans="1:14">
      <c r="A17" s="505" t="s">
        <v>137</v>
      </c>
      <c r="B17" s="505" t="s">
        <v>1151</v>
      </c>
      <c r="C17" s="506">
        <v>0.33</v>
      </c>
      <c r="D17" s="490"/>
      <c r="E17" s="490"/>
      <c r="F17" s="490"/>
      <c r="G17" s="490"/>
      <c r="H17" s="490"/>
      <c r="I17" s="490"/>
      <c r="J17" s="490"/>
      <c r="K17" s="490"/>
      <c r="L17" s="490"/>
      <c r="M17" s="490"/>
      <c r="N17" s="490"/>
    </row>
    <row r="18" spans="1:14">
      <c r="A18" s="505" t="s">
        <v>139</v>
      </c>
      <c r="B18" s="505" t="s">
        <v>1152</v>
      </c>
      <c r="C18" s="506">
        <v>0.41</v>
      </c>
      <c r="D18" s="490"/>
      <c r="E18" s="490"/>
      <c r="F18" s="490"/>
      <c r="G18" s="490"/>
      <c r="H18" s="490"/>
      <c r="I18" s="490"/>
      <c r="J18" s="490"/>
      <c r="K18" s="490"/>
      <c r="L18" s="490"/>
      <c r="M18" s="490"/>
      <c r="N18" s="490"/>
    </row>
    <row r="19" spans="1:14">
      <c r="A19" s="504" t="s">
        <v>1115</v>
      </c>
      <c r="B19" s="504" t="s">
        <v>1153</v>
      </c>
      <c r="C19" s="507">
        <v>1</v>
      </c>
      <c r="D19" s="490"/>
      <c r="E19" s="490"/>
      <c r="F19" s="490"/>
      <c r="G19" s="490"/>
      <c r="H19" s="490"/>
      <c r="I19" s="490"/>
      <c r="J19" s="490"/>
      <c r="K19" s="490"/>
      <c r="L19" s="490"/>
      <c r="M19" s="490"/>
      <c r="N19" s="490"/>
    </row>
    <row r="20" spans="1:14">
      <c r="A20" s="490"/>
      <c r="B20" s="490"/>
      <c r="C20" s="490"/>
      <c r="D20" s="490"/>
      <c r="E20" s="490"/>
      <c r="F20" s="490"/>
      <c r="G20" s="490"/>
      <c r="H20" s="490"/>
      <c r="I20" s="490"/>
      <c r="J20" s="490"/>
      <c r="K20" s="490"/>
      <c r="L20" s="490"/>
      <c r="M20" s="490"/>
      <c r="N20" s="490"/>
    </row>
    <row r="21" spans="1:14">
      <c r="A21" s="657" t="s">
        <v>84</v>
      </c>
      <c r="B21" s="657" t="s">
        <v>134</v>
      </c>
      <c r="C21" s="657"/>
      <c r="D21" s="490"/>
      <c r="E21" s="490"/>
      <c r="F21" s="490"/>
      <c r="G21" s="490"/>
      <c r="H21" s="490"/>
      <c r="I21" s="490"/>
      <c r="J21" s="490"/>
      <c r="K21" s="490"/>
      <c r="L21" s="490"/>
      <c r="M21" s="490"/>
    </row>
    <row r="22" spans="1:14">
      <c r="A22" s="657" t="s">
        <v>94</v>
      </c>
      <c r="B22" s="657" t="s">
        <v>1117</v>
      </c>
      <c r="C22" s="657"/>
      <c r="D22" s="490"/>
      <c r="E22" s="490"/>
      <c r="F22" s="490"/>
      <c r="G22" s="490"/>
      <c r="H22" s="490"/>
      <c r="I22" s="490"/>
      <c r="J22" s="490"/>
      <c r="K22" s="490"/>
      <c r="L22" s="490"/>
      <c r="M22" s="490"/>
    </row>
    <row r="23" spans="1:14">
      <c r="A23" s="657" t="s">
        <v>83</v>
      </c>
      <c r="B23" s="657" t="s">
        <v>1117</v>
      </c>
      <c r="C23" s="657"/>
      <c r="D23" s="490"/>
      <c r="E23" s="490"/>
      <c r="F23" s="490"/>
      <c r="G23" s="490"/>
      <c r="H23" s="490"/>
      <c r="I23" s="490"/>
      <c r="J23" s="490"/>
      <c r="K23" s="490"/>
      <c r="L23" s="490"/>
      <c r="M23" s="490"/>
    </row>
    <row r="24" spans="1:14">
      <c r="A24" s="656" t="s">
        <v>81</v>
      </c>
      <c r="B24" s="656" t="s">
        <v>208</v>
      </c>
      <c r="C24" s="657"/>
      <c r="D24" s="490"/>
      <c r="E24" s="490"/>
      <c r="F24" s="490"/>
      <c r="G24" s="490"/>
      <c r="H24" s="490"/>
      <c r="I24" s="490"/>
      <c r="J24" s="490"/>
      <c r="K24" s="490"/>
      <c r="L24" s="490"/>
      <c r="M24" s="490"/>
    </row>
    <row r="25" spans="1:14">
      <c r="A25" s="490"/>
      <c r="B25" s="490"/>
      <c r="C25" s="490"/>
      <c r="D25" s="490"/>
      <c r="E25" s="490"/>
      <c r="F25" s="490"/>
      <c r="G25" s="490"/>
      <c r="H25" s="490"/>
      <c r="I25" s="490"/>
      <c r="J25" s="490"/>
      <c r="K25" s="490"/>
      <c r="L25" s="490"/>
      <c r="M25" s="490"/>
    </row>
    <row r="26" spans="1:14">
      <c r="A26" s="503" t="s">
        <v>1112</v>
      </c>
      <c r="B26" s="503" t="s">
        <v>1128</v>
      </c>
      <c r="C26" s="503" t="s">
        <v>1130</v>
      </c>
      <c r="D26" s="502"/>
      <c r="E26" s="490"/>
      <c r="F26" s="490"/>
      <c r="G26" s="2" t="s">
        <v>84</v>
      </c>
      <c r="H26" t="s">
        <v>134</v>
      </c>
      <c r="L26" s="490"/>
      <c r="M26" s="490"/>
    </row>
    <row r="27" spans="1:14">
      <c r="A27" s="505" t="s">
        <v>53</v>
      </c>
      <c r="B27" s="505" t="s">
        <v>1154</v>
      </c>
      <c r="C27" s="506">
        <v>0.62</v>
      </c>
      <c r="D27" s="490"/>
      <c r="E27" s="490"/>
      <c r="F27" s="490"/>
      <c r="G27" s="2" t="s">
        <v>94</v>
      </c>
      <c r="H27" t="s">
        <v>206</v>
      </c>
      <c r="L27" s="490"/>
      <c r="M27" s="490"/>
    </row>
    <row r="28" spans="1:14">
      <c r="A28" s="508" t="s">
        <v>56</v>
      </c>
      <c r="B28" s="508" t="s">
        <v>1155</v>
      </c>
      <c r="C28" s="509">
        <v>0.02</v>
      </c>
      <c r="D28" s="490"/>
      <c r="E28" s="490"/>
      <c r="F28" s="490"/>
      <c r="G28" s="2" t="s">
        <v>83</v>
      </c>
      <c r="H28" t="s">
        <v>1117</v>
      </c>
      <c r="L28" s="490"/>
      <c r="M28" s="490"/>
    </row>
    <row r="29" spans="1:14">
      <c r="A29" s="490" t="s">
        <v>526</v>
      </c>
      <c r="B29" s="490" t="s">
        <v>1155</v>
      </c>
      <c r="C29" s="659">
        <v>0.02</v>
      </c>
      <c r="D29" s="490"/>
      <c r="E29" s="490"/>
      <c r="F29" s="490"/>
      <c r="G29" s="2" t="s">
        <v>81</v>
      </c>
      <c r="H29" t="s">
        <v>82</v>
      </c>
      <c r="L29" s="490"/>
      <c r="M29" s="490"/>
    </row>
    <row r="30" spans="1:14">
      <c r="A30" s="508" t="s">
        <v>61</v>
      </c>
      <c r="B30" s="508" t="s">
        <v>1156</v>
      </c>
      <c r="C30" s="509">
        <v>0.59</v>
      </c>
      <c r="D30" s="490"/>
      <c r="E30" s="490"/>
      <c r="F30" s="490"/>
      <c r="G30" s="490"/>
      <c r="L30" s="490"/>
      <c r="M30" s="490"/>
    </row>
    <row r="31" spans="1:14">
      <c r="A31" s="490" t="s">
        <v>500</v>
      </c>
      <c r="B31" s="490" t="s">
        <v>1157</v>
      </c>
      <c r="C31" s="659">
        <v>0.37</v>
      </c>
      <c r="D31" s="490"/>
      <c r="E31" s="490"/>
      <c r="F31" s="490"/>
      <c r="H31" s="2" t="s">
        <v>99</v>
      </c>
      <c r="L31" s="490"/>
      <c r="M31" s="490"/>
    </row>
    <row r="32" spans="1:14">
      <c r="A32" s="490" t="s">
        <v>1158</v>
      </c>
      <c r="B32" s="490" t="s">
        <v>1159</v>
      </c>
      <c r="C32" s="659">
        <v>0.2</v>
      </c>
      <c r="D32" s="490"/>
      <c r="E32" s="490"/>
      <c r="F32" s="490"/>
      <c r="H32" t="s">
        <v>152</v>
      </c>
      <c r="I32" t="s">
        <v>145</v>
      </c>
      <c r="J32" t="s">
        <v>221</v>
      </c>
      <c r="K32" t="s">
        <v>1115</v>
      </c>
      <c r="L32" s="490"/>
      <c r="M32" s="490"/>
    </row>
    <row r="33" spans="1:17">
      <c r="A33" s="490" t="s">
        <v>534</v>
      </c>
      <c r="B33" s="490" t="s">
        <v>1160</v>
      </c>
      <c r="C33" s="659">
        <v>0.03</v>
      </c>
      <c r="D33" s="490"/>
      <c r="E33" s="490"/>
      <c r="F33" s="490"/>
      <c r="G33" t="s">
        <v>1113</v>
      </c>
      <c r="H33">
        <v>4460</v>
      </c>
      <c r="I33">
        <v>215890</v>
      </c>
      <c r="J33">
        <v>28290</v>
      </c>
      <c r="K33">
        <v>248640</v>
      </c>
      <c r="L33" s="490"/>
      <c r="N33">
        <f>+I33-88580</f>
        <v>127310</v>
      </c>
    </row>
    <row r="34" spans="1:17">
      <c r="A34" s="505" t="s">
        <v>139</v>
      </c>
      <c r="B34" s="505" t="s">
        <v>1161</v>
      </c>
      <c r="C34" s="506">
        <v>0.2</v>
      </c>
      <c r="D34" s="490"/>
      <c r="E34" s="490"/>
      <c r="F34" s="490"/>
      <c r="G34" s="490"/>
      <c r="H34" s="490"/>
      <c r="I34" s="490"/>
      <c r="J34" s="490"/>
      <c r="K34" s="490"/>
      <c r="L34" s="490"/>
      <c r="M34">
        <f>+H33+22000</f>
        <v>26460</v>
      </c>
      <c r="N34">
        <f>+N33+22000</f>
        <v>149310</v>
      </c>
      <c r="O34">
        <f>+J33+22000</f>
        <v>50290</v>
      </c>
      <c r="P34">
        <v>22000</v>
      </c>
      <c r="Q34">
        <f>SUM(M34:P34)</f>
        <v>248060</v>
      </c>
    </row>
    <row r="35" spans="1:17">
      <c r="A35" s="508" t="s">
        <v>139</v>
      </c>
      <c r="B35" s="508" t="s">
        <v>1161</v>
      </c>
      <c r="C35" s="509">
        <v>0.2</v>
      </c>
      <c r="D35" s="490"/>
      <c r="E35" s="490"/>
      <c r="F35" s="490"/>
      <c r="G35" s="657" t="s">
        <v>84</v>
      </c>
      <c r="H35" s="657" t="s">
        <v>134</v>
      </c>
      <c r="I35" s="657"/>
      <c r="J35" s="490"/>
      <c r="K35" s="490"/>
      <c r="L35" s="490"/>
      <c r="M35" s="490"/>
    </row>
    <row r="36" spans="1:17">
      <c r="A36" s="490" t="s">
        <v>139</v>
      </c>
      <c r="B36" s="490" t="s">
        <v>1162</v>
      </c>
      <c r="C36" s="659">
        <v>0.14000000000000001</v>
      </c>
      <c r="D36" s="490"/>
      <c r="E36" s="490"/>
      <c r="F36" s="490"/>
      <c r="G36" s="657" t="s">
        <v>94</v>
      </c>
      <c r="H36" s="657" t="s">
        <v>1117</v>
      </c>
      <c r="I36" s="657"/>
      <c r="J36" s="490"/>
      <c r="K36" s="490"/>
      <c r="L36" s="490"/>
      <c r="M36" s="490"/>
      <c r="N36">
        <v>2200</v>
      </c>
      <c r="O36">
        <f>+N36*4</f>
        <v>8800</v>
      </c>
      <c r="P36">
        <f>++O36*3</f>
        <v>26400</v>
      </c>
    </row>
    <row r="37" spans="1:17">
      <c r="A37" s="490" t="s">
        <v>534</v>
      </c>
      <c r="B37" s="490" t="s">
        <v>1163</v>
      </c>
      <c r="C37" s="659">
        <v>0.06</v>
      </c>
      <c r="D37" s="490"/>
      <c r="E37" s="490"/>
      <c r="F37" s="490"/>
      <c r="G37" s="657" t="s">
        <v>83</v>
      </c>
      <c r="H37" s="657" t="s">
        <v>1117</v>
      </c>
      <c r="I37" s="657"/>
      <c r="J37" s="490"/>
      <c r="K37" s="490"/>
      <c r="L37" s="490"/>
      <c r="M37" s="490"/>
    </row>
    <row r="38" spans="1:17">
      <c r="A38" s="505" t="s">
        <v>4</v>
      </c>
      <c r="B38" s="505" t="s">
        <v>1149</v>
      </c>
      <c r="C38" s="506">
        <v>0.18</v>
      </c>
      <c r="D38" s="490"/>
      <c r="E38" s="490"/>
      <c r="F38" s="490"/>
      <c r="G38" s="656" t="s">
        <v>81</v>
      </c>
      <c r="H38" s="656" t="s">
        <v>1117</v>
      </c>
      <c r="I38" s="657"/>
      <c r="J38" s="490"/>
      <c r="K38" s="490"/>
      <c r="L38" s="490"/>
      <c r="M38" s="490"/>
    </row>
    <row r="39" spans="1:17">
      <c r="A39" s="508" t="s">
        <v>5</v>
      </c>
      <c r="B39" s="508" t="s">
        <v>1164</v>
      </c>
      <c r="C39" s="509">
        <v>0.12</v>
      </c>
      <c r="D39" s="490"/>
      <c r="E39" s="490"/>
      <c r="F39" s="490"/>
      <c r="G39" s="490"/>
      <c r="H39" s="490"/>
      <c r="I39" s="490"/>
      <c r="J39" s="490"/>
      <c r="K39" s="490"/>
      <c r="L39" s="490"/>
      <c r="M39" s="490"/>
    </row>
    <row r="40" spans="1:17">
      <c r="A40" s="490" t="s">
        <v>694</v>
      </c>
      <c r="B40" s="490" t="s">
        <v>1164</v>
      </c>
      <c r="C40" s="659">
        <v>0.12</v>
      </c>
      <c r="D40" s="490"/>
      <c r="E40" s="490"/>
      <c r="F40" s="490"/>
      <c r="G40" s="502"/>
      <c r="H40" s="502" t="s">
        <v>1118</v>
      </c>
      <c r="I40" s="502"/>
      <c r="J40" s="502"/>
      <c r="K40" s="502"/>
      <c r="L40" s="490"/>
      <c r="M40" s="490"/>
    </row>
    <row r="41" spans="1:17">
      <c r="A41" s="508" t="s">
        <v>17</v>
      </c>
      <c r="B41" s="508" t="s">
        <v>1165</v>
      </c>
      <c r="C41" s="509">
        <v>0.03</v>
      </c>
      <c r="D41" s="490"/>
      <c r="E41" s="490"/>
      <c r="F41" s="490"/>
      <c r="G41" s="503"/>
      <c r="H41" s="503" t="s">
        <v>152</v>
      </c>
      <c r="I41" s="503" t="s">
        <v>145</v>
      </c>
      <c r="J41" s="503" t="s">
        <v>221</v>
      </c>
      <c r="K41" s="503" t="s">
        <v>1115</v>
      </c>
      <c r="L41" s="490"/>
      <c r="M41" s="490"/>
    </row>
    <row r="42" spans="1:17">
      <c r="A42" s="490" t="s">
        <v>627</v>
      </c>
      <c r="B42" s="490" t="s">
        <v>1165</v>
      </c>
      <c r="C42" s="659">
        <v>0.03</v>
      </c>
      <c r="D42" s="490"/>
      <c r="E42" s="490"/>
      <c r="F42" s="490"/>
      <c r="G42" s="504" t="s">
        <v>1131</v>
      </c>
      <c r="H42" s="504">
        <v>2</v>
      </c>
      <c r="I42" s="504">
        <v>28</v>
      </c>
      <c r="J42" s="504">
        <v>8</v>
      </c>
      <c r="K42" s="504">
        <v>38</v>
      </c>
      <c r="L42" s="490"/>
      <c r="M42" s="490"/>
    </row>
    <row r="43" spans="1:17">
      <c r="A43" s="508" t="s">
        <v>22</v>
      </c>
      <c r="B43" s="508" t="s">
        <v>1166</v>
      </c>
      <c r="C43" s="509">
        <v>0.02</v>
      </c>
      <c r="D43" s="490"/>
      <c r="E43" s="490"/>
      <c r="F43" s="490"/>
      <c r="G43" s="490"/>
      <c r="H43" s="490"/>
      <c r="I43" s="490"/>
      <c r="J43" s="490"/>
      <c r="K43" s="490"/>
      <c r="L43" s="490"/>
      <c r="M43" s="490"/>
    </row>
    <row r="44" spans="1:17">
      <c r="A44" s="490" t="s">
        <v>205</v>
      </c>
      <c r="B44" s="490" t="s">
        <v>1166</v>
      </c>
      <c r="C44" s="659">
        <v>0.02</v>
      </c>
      <c r="D44" s="490"/>
      <c r="E44" s="490"/>
      <c r="F44" s="490"/>
      <c r="G44" s="490"/>
      <c r="H44" s="490"/>
      <c r="I44" s="490"/>
      <c r="J44" s="490"/>
      <c r="K44" s="490"/>
      <c r="L44" s="490"/>
      <c r="M44" s="490"/>
    </row>
    <row r="45" spans="1:17">
      <c r="A45" s="508" t="s">
        <v>25</v>
      </c>
      <c r="B45" s="508" t="s">
        <v>1167</v>
      </c>
      <c r="C45" s="509">
        <v>0.01</v>
      </c>
      <c r="D45" s="490"/>
      <c r="E45" s="490"/>
      <c r="F45" s="490"/>
      <c r="G45" s="490"/>
      <c r="H45" s="490"/>
      <c r="I45" s="490"/>
      <c r="J45" s="490"/>
      <c r="K45" s="490"/>
      <c r="L45" s="490"/>
      <c r="M45" s="490"/>
    </row>
    <row r="46" spans="1:17">
      <c r="A46" s="490" t="s">
        <v>560</v>
      </c>
      <c r="B46" s="490" t="s">
        <v>1167</v>
      </c>
      <c r="C46" s="659">
        <v>0.01</v>
      </c>
      <c r="D46" s="490"/>
      <c r="E46" s="490"/>
      <c r="F46" s="490"/>
      <c r="G46" s="490"/>
      <c r="H46" s="490"/>
      <c r="I46" s="490"/>
      <c r="J46" s="490"/>
      <c r="K46" s="490"/>
      <c r="L46" s="490"/>
      <c r="M46" s="490"/>
    </row>
    <row r="47" spans="1:17">
      <c r="A47" s="504" t="s">
        <v>1115</v>
      </c>
      <c r="B47" s="504" t="s">
        <v>1168</v>
      </c>
      <c r="C47" s="507">
        <v>1</v>
      </c>
      <c r="D47" s="490"/>
      <c r="E47" s="490"/>
      <c r="F47" s="490"/>
      <c r="G47" s="490"/>
      <c r="H47" s="490"/>
      <c r="I47" s="490"/>
      <c r="J47" s="490"/>
      <c r="K47" s="490"/>
      <c r="L47" s="490"/>
      <c r="M47" s="490"/>
    </row>
    <row r="48" spans="1:17">
      <c r="A48" s="490"/>
      <c r="B48" s="490"/>
      <c r="C48" s="490"/>
      <c r="D48" s="490"/>
      <c r="E48" s="490"/>
      <c r="F48" s="490"/>
      <c r="G48" s="490"/>
      <c r="H48" s="490"/>
      <c r="I48" s="490"/>
      <c r="J48" s="490"/>
      <c r="K48" s="490"/>
      <c r="L48" s="490"/>
      <c r="M48" s="490"/>
    </row>
    <row r="49" spans="1:13">
      <c r="A49" s="490"/>
      <c r="B49" s="490"/>
      <c r="C49" s="490"/>
      <c r="D49" s="490"/>
      <c r="E49" s="490"/>
      <c r="F49" s="490"/>
      <c r="G49" s="490"/>
      <c r="H49" s="490"/>
      <c r="I49" s="490"/>
      <c r="J49" s="490"/>
      <c r="K49" s="490"/>
      <c r="L49" s="490"/>
      <c r="M49" s="490"/>
    </row>
    <row r="50" spans="1:13">
      <c r="A50" s="490"/>
      <c r="B50" s="490"/>
      <c r="C50" s="490"/>
      <c r="D50" s="490"/>
      <c r="E50" s="490"/>
      <c r="F50" s="490"/>
      <c r="G50" s="490"/>
      <c r="H50" s="490"/>
      <c r="I50" s="490"/>
      <c r="J50" s="490"/>
      <c r="K50" s="490"/>
      <c r="L50" s="490"/>
      <c r="M50" s="490"/>
    </row>
    <row r="51" spans="1:13">
      <c r="A51" s="490"/>
      <c r="B51" s="490"/>
      <c r="C51" s="490"/>
      <c r="D51" s="490"/>
      <c r="E51" s="490"/>
      <c r="F51" s="490"/>
      <c r="G51" s="490"/>
      <c r="H51" s="490"/>
      <c r="I51" s="490"/>
      <c r="J51" s="490"/>
      <c r="K51" s="490"/>
      <c r="L51" s="490"/>
      <c r="M51" s="490"/>
    </row>
    <row r="52" spans="1:13">
      <c r="A52" s="490"/>
      <c r="B52" s="490"/>
      <c r="C52" s="490"/>
      <c r="D52" s="490"/>
      <c r="E52" s="490"/>
      <c r="F52" s="490"/>
      <c r="G52" s="490"/>
      <c r="H52" s="490"/>
      <c r="I52" s="490"/>
      <c r="J52" s="490"/>
      <c r="K52" s="490"/>
      <c r="L52" s="490"/>
      <c r="M52" s="490"/>
    </row>
    <row r="53" spans="1:13">
      <c r="A53" s="657" t="s">
        <v>84</v>
      </c>
      <c r="B53" s="657" t="s">
        <v>134</v>
      </c>
      <c r="C53" s="657"/>
      <c r="D53" s="490"/>
      <c r="E53" s="490"/>
      <c r="F53" s="490"/>
      <c r="G53" s="490"/>
      <c r="H53" s="490"/>
      <c r="I53" s="490"/>
      <c r="J53" s="490"/>
      <c r="K53" s="490"/>
      <c r="L53" s="490"/>
      <c r="M53" s="490"/>
    </row>
    <row r="54" spans="1:13">
      <c r="A54" s="657" t="s">
        <v>94</v>
      </c>
      <c r="B54" s="657" t="s">
        <v>1117</v>
      </c>
      <c r="C54" s="657"/>
      <c r="D54" s="490"/>
      <c r="E54" s="490"/>
      <c r="F54" s="490"/>
      <c r="G54" s="490"/>
      <c r="H54" s="490"/>
      <c r="I54" s="490"/>
      <c r="J54" s="490"/>
      <c r="K54" s="490"/>
      <c r="L54" s="490"/>
      <c r="M54" s="490"/>
    </row>
    <row r="55" spans="1:13">
      <c r="A55" s="657" t="s">
        <v>83</v>
      </c>
      <c r="B55" s="657" t="s">
        <v>1117</v>
      </c>
      <c r="C55" s="657"/>
      <c r="D55" s="490"/>
      <c r="E55" s="490"/>
      <c r="F55" s="490"/>
      <c r="G55" s="490"/>
      <c r="H55" s="490"/>
      <c r="I55" s="490"/>
      <c r="J55" s="490"/>
      <c r="K55" s="490"/>
      <c r="L55" s="490"/>
      <c r="M55" s="490"/>
    </row>
    <row r="56" spans="1:13">
      <c r="A56" s="656" t="s">
        <v>81</v>
      </c>
      <c r="B56" s="656" t="s">
        <v>143</v>
      </c>
      <c r="C56" s="490"/>
      <c r="D56" s="490"/>
      <c r="E56" s="490"/>
      <c r="F56" s="490"/>
      <c r="G56" s="490"/>
      <c r="H56" s="490"/>
      <c r="I56" s="490"/>
      <c r="J56" s="490"/>
      <c r="K56" s="490"/>
      <c r="L56" s="490"/>
      <c r="M56" s="490"/>
    </row>
    <row r="57" spans="1:13">
      <c r="A57" s="490"/>
      <c r="B57" s="490"/>
      <c r="C57" s="490"/>
      <c r="D57" s="490"/>
      <c r="E57" s="490"/>
      <c r="F57" s="490"/>
      <c r="G57" s="490"/>
      <c r="H57" s="490"/>
      <c r="I57" s="490"/>
      <c r="J57" s="490"/>
      <c r="K57" s="490"/>
      <c r="L57" s="490"/>
      <c r="M57" s="490"/>
    </row>
    <row r="58" spans="1:13">
      <c r="A58" s="503" t="s">
        <v>1112</v>
      </c>
      <c r="B58" s="503" t="s">
        <v>1128</v>
      </c>
      <c r="C58" s="503" t="s">
        <v>1130</v>
      </c>
      <c r="D58" s="502"/>
      <c r="E58" s="490"/>
      <c r="F58" s="490"/>
      <c r="G58" s="490"/>
      <c r="H58" s="490"/>
      <c r="I58" s="490"/>
      <c r="J58" s="490"/>
      <c r="K58" s="490"/>
      <c r="L58" s="490"/>
      <c r="M58" s="490"/>
    </row>
    <row r="59" spans="1:13">
      <c r="A59" s="505" t="s">
        <v>139</v>
      </c>
      <c r="B59" s="513">
        <v>88580</v>
      </c>
      <c r="C59" s="506">
        <v>1</v>
      </c>
      <c r="D59" s="490"/>
      <c r="E59" s="490"/>
      <c r="F59" s="490"/>
      <c r="G59" s="490"/>
      <c r="H59" s="490"/>
      <c r="I59" s="490"/>
      <c r="J59" s="490"/>
      <c r="K59" s="490"/>
      <c r="L59" s="490"/>
      <c r="M59" s="490"/>
    </row>
    <row r="60" spans="1:13">
      <c r="A60" s="490" t="s">
        <v>220</v>
      </c>
      <c r="B60" s="660">
        <v>88580</v>
      </c>
      <c r="C60" s="659">
        <v>1</v>
      </c>
      <c r="D60" s="490"/>
      <c r="E60" s="490"/>
      <c r="F60" s="490"/>
      <c r="G60" s="490"/>
      <c r="H60" s="490"/>
      <c r="I60" s="490"/>
      <c r="J60" s="490"/>
      <c r="K60" s="490"/>
      <c r="L60" s="490"/>
      <c r="M60" s="490"/>
    </row>
    <row r="61" spans="1:13">
      <c r="A61" s="504" t="s">
        <v>1115</v>
      </c>
      <c r="B61" s="504" t="s">
        <v>1169</v>
      </c>
      <c r="C61" s="507">
        <v>1</v>
      </c>
      <c r="D61" s="490"/>
      <c r="E61" s="490"/>
      <c r="F61" s="490"/>
      <c r="G61" s="490"/>
      <c r="H61" s="490"/>
      <c r="I61" s="490"/>
      <c r="J61" s="490"/>
      <c r="K61" s="490"/>
      <c r="L61" s="490"/>
      <c r="M61" s="490"/>
    </row>
    <row r="62" spans="1:13">
      <c r="A62" s="490"/>
      <c r="B62" s="490"/>
      <c r="C62" s="490"/>
      <c r="D62" s="490"/>
      <c r="E62" s="490"/>
      <c r="F62" s="490"/>
      <c r="G62" s="490"/>
      <c r="H62" s="490"/>
      <c r="I62" s="490"/>
      <c r="J62" s="490"/>
      <c r="K62" s="490"/>
      <c r="L62" s="490"/>
      <c r="M62" s="490"/>
    </row>
    <row r="63" spans="1:13">
      <c r="A63" s="490"/>
      <c r="B63" s="490"/>
      <c r="C63" s="490"/>
      <c r="D63" s="490"/>
      <c r="E63" s="490"/>
      <c r="F63" s="490"/>
      <c r="G63" s="490"/>
      <c r="H63" s="490"/>
      <c r="I63" s="490"/>
      <c r="J63" s="490"/>
      <c r="K63" s="490"/>
      <c r="L63" s="490"/>
      <c r="M63" s="490"/>
    </row>
    <row r="64" spans="1:13">
      <c r="A64" s="490"/>
      <c r="B64" s="490"/>
      <c r="C64" s="490"/>
      <c r="D64" s="490"/>
      <c r="E64" s="490"/>
      <c r="F64" s="490"/>
      <c r="G64" s="490"/>
      <c r="H64" s="490"/>
      <c r="I64" s="490"/>
      <c r="J64" s="490"/>
      <c r="K64" s="490"/>
      <c r="L64" s="490"/>
      <c r="M64" s="490"/>
    </row>
    <row r="65" spans="1:13">
      <c r="A65" s="490"/>
      <c r="B65" s="490"/>
      <c r="C65" s="490"/>
      <c r="D65" s="490"/>
      <c r="E65" s="490"/>
      <c r="F65" s="490"/>
      <c r="G65" s="490"/>
      <c r="H65" s="490"/>
      <c r="I65" s="490"/>
      <c r="J65" s="490"/>
      <c r="K65" s="490"/>
      <c r="L65" s="490"/>
      <c r="M65" s="490"/>
    </row>
    <row r="66" spans="1:13">
      <c r="A66" s="490"/>
      <c r="B66" s="490"/>
      <c r="C66" s="490"/>
      <c r="D66" s="490"/>
      <c r="E66" s="490"/>
      <c r="F66" s="490"/>
      <c r="G66" s="490"/>
      <c r="H66" s="490"/>
      <c r="I66" s="490"/>
      <c r="J66" s="490"/>
      <c r="K66" s="490"/>
      <c r="L66" s="490"/>
      <c r="M66" s="490"/>
    </row>
    <row r="67" spans="1:13">
      <c r="A67" s="490"/>
      <c r="B67" s="490"/>
      <c r="C67" s="490"/>
      <c r="D67" s="490"/>
      <c r="E67" s="490"/>
      <c r="F67" s="490"/>
      <c r="G67" s="490"/>
      <c r="H67" s="490"/>
      <c r="I67" s="490"/>
      <c r="J67" s="490"/>
      <c r="K67" s="490"/>
      <c r="L67" s="490"/>
      <c r="M67" s="490"/>
    </row>
    <row r="68" spans="1:13">
      <c r="A68" s="490"/>
      <c r="B68" s="490"/>
      <c r="C68" s="490"/>
      <c r="D68" s="490"/>
      <c r="E68" s="490"/>
      <c r="F68" s="490"/>
      <c r="G68" s="490"/>
      <c r="H68" s="490"/>
      <c r="I68" s="490"/>
      <c r="J68" s="490"/>
      <c r="K68" s="490"/>
      <c r="L68" s="490"/>
      <c r="M68" s="490"/>
    </row>
    <row r="69" spans="1:13">
      <c r="A69" s="2" t="s">
        <v>84</v>
      </c>
      <c r="B69" t="s">
        <v>134</v>
      </c>
      <c r="D69" s="490"/>
      <c r="E69" s="490"/>
      <c r="F69" s="490"/>
      <c r="G69" s="490"/>
      <c r="H69" s="490"/>
      <c r="I69" s="490"/>
      <c r="J69" s="490"/>
      <c r="K69" s="490"/>
      <c r="L69" s="490"/>
      <c r="M69" s="490"/>
    </row>
    <row r="70" spans="1:13">
      <c r="A70" s="2" t="s">
        <v>94</v>
      </c>
      <c r="B70" t="s">
        <v>1117</v>
      </c>
      <c r="D70" s="490"/>
      <c r="E70" s="490"/>
      <c r="F70" s="490"/>
      <c r="G70" s="490"/>
      <c r="H70" s="490"/>
      <c r="I70" s="490"/>
      <c r="J70" s="490"/>
      <c r="K70" s="490"/>
      <c r="L70" s="490"/>
      <c r="M70" s="490"/>
    </row>
    <row r="71" spans="1:13">
      <c r="A71" s="2" t="s">
        <v>83</v>
      </c>
      <c r="B71" t="s">
        <v>1117</v>
      </c>
      <c r="D71" s="490"/>
      <c r="E71" s="490"/>
      <c r="F71" s="490"/>
      <c r="G71" s="490"/>
      <c r="H71" s="490"/>
      <c r="I71" s="490"/>
      <c r="J71" s="490"/>
      <c r="K71" s="490"/>
      <c r="L71" s="490"/>
      <c r="M71" s="490"/>
    </row>
    <row r="72" spans="1:13">
      <c r="A72" s="2" t="s">
        <v>81</v>
      </c>
      <c r="B72" t="s">
        <v>208</v>
      </c>
      <c r="D72" s="490"/>
      <c r="E72" s="490"/>
      <c r="F72" s="490"/>
      <c r="G72" s="490"/>
      <c r="H72" s="490"/>
      <c r="I72" s="490"/>
      <c r="J72" s="490"/>
      <c r="K72" s="490"/>
      <c r="L72" s="490"/>
      <c r="M72" s="490"/>
    </row>
    <row r="73" spans="1:13">
      <c r="D73" s="490"/>
      <c r="E73" s="490"/>
      <c r="F73" s="490"/>
      <c r="G73" s="490"/>
      <c r="H73" s="490"/>
      <c r="I73" s="490"/>
      <c r="J73" s="490"/>
      <c r="K73" s="490"/>
      <c r="L73" s="490"/>
      <c r="M73" s="490"/>
    </row>
    <row r="74" spans="1:13">
      <c r="A74" s="2" t="s">
        <v>1112</v>
      </c>
      <c r="B74" t="s">
        <v>1128</v>
      </c>
      <c r="C74" t="s">
        <v>1130</v>
      </c>
    </row>
    <row r="75" spans="1:13">
      <c r="A75" s="3" t="s">
        <v>53</v>
      </c>
      <c r="B75" s="127">
        <v>94150</v>
      </c>
      <c r="C75" s="29">
        <v>0.60476618705035967</v>
      </c>
    </row>
    <row r="76" spans="1:13">
      <c r="A76" s="3" t="s">
        <v>139</v>
      </c>
      <c r="B76" s="127">
        <v>32540</v>
      </c>
      <c r="C76" s="29">
        <v>0.20901849948612539</v>
      </c>
    </row>
    <row r="77" spans="1:13">
      <c r="A77" s="3" t="s">
        <v>4</v>
      </c>
      <c r="B77" s="127">
        <v>28990</v>
      </c>
      <c r="C77" s="29">
        <v>0.18621531346351491</v>
      </c>
    </row>
    <row r="78" spans="1:13">
      <c r="A78" s="3" t="s">
        <v>1115</v>
      </c>
      <c r="B78" s="127">
        <v>155680</v>
      </c>
      <c r="C78" s="29">
        <v>1</v>
      </c>
    </row>
  </sheetData>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FDDC3-EA6D-46A8-A950-6CC859436943}">
  <dimension ref="A1:AR17"/>
  <sheetViews>
    <sheetView topLeftCell="K1" workbookViewId="0">
      <selection activeCell="V26" sqref="V26"/>
    </sheetView>
  </sheetViews>
  <sheetFormatPr baseColWidth="10" defaultColWidth="9.1328125" defaultRowHeight="14.25"/>
  <cols>
    <col min="2" max="2" width="23.1328125" bestFit="1" customWidth="1"/>
    <col min="3" max="3" width="11.59765625" bestFit="1" customWidth="1"/>
    <col min="4" max="4" width="11.265625" bestFit="1" customWidth="1"/>
    <col min="5" max="5" width="123.59765625" bestFit="1" customWidth="1"/>
    <col min="6" max="6" width="10.1328125" bestFit="1" customWidth="1"/>
    <col min="7" max="7" width="12.59765625" bestFit="1" customWidth="1"/>
    <col min="8" max="8" width="14.1328125" bestFit="1" customWidth="1"/>
    <col min="9" max="9" width="11.59765625" bestFit="1" customWidth="1"/>
    <col min="10" max="10" width="12" bestFit="1" customWidth="1"/>
    <col min="11" max="11" width="29.1328125" bestFit="1" customWidth="1"/>
    <col min="14" max="14" width="30.1328125" bestFit="1" customWidth="1"/>
    <col min="15" max="15" width="14.1328125" bestFit="1" customWidth="1"/>
    <col min="16" max="16" width="13.86328125" bestFit="1" customWidth="1"/>
    <col min="17" max="17" width="11.265625" bestFit="1" customWidth="1"/>
    <col min="18" max="18" width="18.59765625" bestFit="1" customWidth="1"/>
    <col min="19" max="19" width="14.1328125" bestFit="1" customWidth="1"/>
    <col min="20" max="20" width="15.73046875" bestFit="1" customWidth="1"/>
    <col min="21" max="21" width="14.86328125" bestFit="1" customWidth="1"/>
    <col min="22" max="22" width="13.1328125" bestFit="1" customWidth="1"/>
    <col min="23" max="24" width="18.86328125" bestFit="1" customWidth="1"/>
    <col min="25" max="25" width="26.265625" bestFit="1" customWidth="1"/>
    <col min="26" max="26" width="14.86328125" bestFit="1" customWidth="1"/>
    <col min="28" max="28" width="20.1328125" bestFit="1" customWidth="1"/>
    <col min="30" max="30" width="11.86328125" bestFit="1" customWidth="1"/>
    <col min="31" max="31" width="11.1328125" bestFit="1" customWidth="1"/>
    <col min="32" max="32" width="16.265625" bestFit="1" customWidth="1"/>
    <col min="33" max="34" width="11.1328125" bestFit="1" customWidth="1"/>
    <col min="35" max="35" width="15.265625" bestFit="1" customWidth="1"/>
    <col min="36" max="36" width="12.86328125" bestFit="1" customWidth="1"/>
    <col min="37" max="37" width="10.59765625" bestFit="1" customWidth="1"/>
    <col min="38" max="38" width="12.73046875" bestFit="1" customWidth="1"/>
    <col min="39" max="39" width="10.3984375" bestFit="1" customWidth="1"/>
    <col min="40" max="40" width="11.3984375" bestFit="1" customWidth="1"/>
    <col min="41" max="41" width="17.265625" bestFit="1" customWidth="1"/>
    <col min="42" max="42" width="18.265625" bestFit="1" customWidth="1"/>
  </cols>
  <sheetData>
    <row r="1" spans="1:44">
      <c r="A1" s="101" t="s">
        <v>1170</v>
      </c>
    </row>
    <row r="3" spans="1:44">
      <c r="A3" t="s">
        <v>83</v>
      </c>
      <c r="B3" t="s">
        <v>1138</v>
      </c>
      <c r="C3" t="s">
        <v>84</v>
      </c>
      <c r="D3" t="s">
        <v>85</v>
      </c>
      <c r="E3" t="s">
        <v>1111</v>
      </c>
      <c r="F3" t="s">
        <v>1146</v>
      </c>
      <c r="G3" t="s">
        <v>1139</v>
      </c>
      <c r="H3" t="s">
        <v>88</v>
      </c>
      <c r="I3" t="s">
        <v>89</v>
      </c>
      <c r="J3" t="s">
        <v>90</v>
      </c>
      <c r="K3" t="s">
        <v>1140</v>
      </c>
      <c r="L3" t="s">
        <v>1</v>
      </c>
      <c r="M3" t="s">
        <v>94</v>
      </c>
      <c r="N3" t="s">
        <v>3</v>
      </c>
      <c r="O3" t="s">
        <v>96</v>
      </c>
      <c r="P3" t="s">
        <v>81</v>
      </c>
      <c r="Q3" t="s">
        <v>97</v>
      </c>
      <c r="R3" t="s">
        <v>98</v>
      </c>
      <c r="S3" t="s">
        <v>99</v>
      </c>
      <c r="T3" t="s">
        <v>100</v>
      </c>
      <c r="U3" t="s">
        <v>101</v>
      </c>
      <c r="V3" t="s">
        <v>102</v>
      </c>
      <c r="W3" t="s">
        <v>103</v>
      </c>
      <c r="X3" t="s">
        <v>106</v>
      </c>
      <c r="Y3" t="s">
        <v>107</v>
      </c>
      <c r="Z3" t="s">
        <v>108</v>
      </c>
      <c r="AA3" t="s">
        <v>109</v>
      </c>
      <c r="AB3" t="s">
        <v>110</v>
      </c>
      <c r="AC3" t="s">
        <v>111</v>
      </c>
      <c r="AD3" t="s">
        <v>113</v>
      </c>
      <c r="AE3" t="s">
        <v>114</v>
      </c>
      <c r="AF3" t="s">
        <v>115</v>
      </c>
      <c r="AG3" t="s">
        <v>116</v>
      </c>
      <c r="AH3" t="s">
        <v>117</v>
      </c>
      <c r="AI3" t="s">
        <v>118</v>
      </c>
      <c r="AJ3" t="s">
        <v>119</v>
      </c>
      <c r="AK3" t="s">
        <v>120</v>
      </c>
      <c r="AL3" t="s">
        <v>121</v>
      </c>
      <c r="AM3" t="s">
        <v>122</v>
      </c>
      <c r="AN3" t="s">
        <v>123</v>
      </c>
      <c r="AO3" t="s">
        <v>124</v>
      </c>
      <c r="AP3" t="s">
        <v>125</v>
      </c>
      <c r="AQ3" t="s">
        <v>126</v>
      </c>
      <c r="AR3" t="s">
        <v>127</v>
      </c>
    </row>
    <row r="4" spans="1:44">
      <c r="A4" t="s">
        <v>130</v>
      </c>
      <c r="C4" t="s">
        <v>218</v>
      </c>
      <c r="E4" t="s">
        <v>586</v>
      </c>
      <c r="H4" t="s">
        <v>581</v>
      </c>
      <c r="K4" t="s">
        <v>539</v>
      </c>
      <c r="L4" t="s">
        <v>53</v>
      </c>
      <c r="M4" t="s">
        <v>206</v>
      </c>
      <c r="N4" t="s">
        <v>66</v>
      </c>
      <c r="O4" t="s">
        <v>61</v>
      </c>
      <c r="P4" t="s">
        <v>208</v>
      </c>
      <c r="Q4" t="s">
        <v>1171</v>
      </c>
      <c r="R4">
        <v>15</v>
      </c>
      <c r="S4" t="s">
        <v>145</v>
      </c>
      <c r="U4" t="s">
        <v>146</v>
      </c>
      <c r="W4">
        <v>2</v>
      </c>
      <c r="X4">
        <v>2</v>
      </c>
      <c r="Y4">
        <v>400</v>
      </c>
      <c r="AA4">
        <v>2240</v>
      </c>
      <c r="AD4" s="1">
        <v>45390</v>
      </c>
      <c r="AE4" s="1">
        <v>45401</v>
      </c>
      <c r="AF4" t="e">
        <v>#REF!</v>
      </c>
      <c r="AG4" s="1">
        <v>45405</v>
      </c>
      <c r="AH4" s="1">
        <v>45412</v>
      </c>
      <c r="AI4" s="1">
        <v>363247</v>
      </c>
      <c r="AN4">
        <v>0.5</v>
      </c>
      <c r="AO4">
        <v>0</v>
      </c>
      <c r="AP4" t="s">
        <v>583</v>
      </c>
    </row>
    <row r="5" spans="1:44">
      <c r="A5" t="s">
        <v>130</v>
      </c>
      <c r="C5" t="s">
        <v>218</v>
      </c>
      <c r="E5" t="s">
        <v>585</v>
      </c>
      <c r="H5" t="s">
        <v>581</v>
      </c>
      <c r="K5" t="s">
        <v>539</v>
      </c>
      <c r="L5" t="s">
        <v>53</v>
      </c>
      <c r="M5" t="s">
        <v>206</v>
      </c>
      <c r="N5" t="s">
        <v>66</v>
      </c>
      <c r="O5" t="s">
        <v>61</v>
      </c>
      <c r="P5" t="s">
        <v>208</v>
      </c>
      <c r="Q5" t="s">
        <v>144</v>
      </c>
      <c r="R5">
        <v>17</v>
      </c>
      <c r="S5" t="s">
        <v>221</v>
      </c>
      <c r="U5" t="s">
        <v>210</v>
      </c>
      <c r="W5">
        <v>3</v>
      </c>
      <c r="X5">
        <v>2</v>
      </c>
      <c r="Y5">
        <v>400</v>
      </c>
      <c r="AA5">
        <v>3040</v>
      </c>
      <c r="AD5" s="1">
        <v>45474</v>
      </c>
      <c r="AE5" s="1">
        <v>45493</v>
      </c>
      <c r="AF5" t="e">
        <v>#REF!</v>
      </c>
      <c r="AG5" s="1">
        <v>45405</v>
      </c>
      <c r="AH5" s="1">
        <v>45503</v>
      </c>
      <c r="AI5" s="1">
        <v>363338</v>
      </c>
      <c r="AN5">
        <v>0.75</v>
      </c>
      <c r="AO5">
        <v>0</v>
      </c>
      <c r="AP5" t="s">
        <v>583</v>
      </c>
    </row>
    <row r="6" spans="1:44">
      <c r="A6" t="s">
        <v>130</v>
      </c>
      <c r="C6" t="s">
        <v>218</v>
      </c>
      <c r="E6" t="s">
        <v>588</v>
      </c>
      <c r="H6" t="s">
        <v>581</v>
      </c>
      <c r="K6" t="s">
        <v>539</v>
      </c>
      <c r="L6" t="s">
        <v>53</v>
      </c>
      <c r="M6" t="s">
        <v>206</v>
      </c>
      <c r="N6" t="s">
        <v>66</v>
      </c>
      <c r="O6" t="s">
        <v>61</v>
      </c>
      <c r="P6" t="s">
        <v>208</v>
      </c>
      <c r="Q6" t="s">
        <v>144</v>
      </c>
      <c r="R6">
        <v>13</v>
      </c>
      <c r="S6" t="s">
        <v>221</v>
      </c>
      <c r="U6" t="s">
        <v>210</v>
      </c>
      <c r="W6">
        <v>3</v>
      </c>
      <c r="X6">
        <v>2</v>
      </c>
      <c r="Y6">
        <v>400</v>
      </c>
      <c r="AA6">
        <v>3040</v>
      </c>
      <c r="AD6" s="1">
        <v>45460</v>
      </c>
      <c r="AE6" s="1">
        <v>45478</v>
      </c>
      <c r="AF6" t="e">
        <v>#REF!</v>
      </c>
      <c r="AG6" s="1">
        <v>45544</v>
      </c>
      <c r="AH6" s="1">
        <v>45489</v>
      </c>
      <c r="AI6" s="1">
        <v>364297</v>
      </c>
      <c r="AN6">
        <v>0.75</v>
      </c>
      <c r="AO6">
        <v>0</v>
      </c>
      <c r="AP6" t="s">
        <v>583</v>
      </c>
    </row>
    <row r="7" spans="1:44">
      <c r="A7" t="s">
        <v>130</v>
      </c>
      <c r="C7" t="s">
        <v>218</v>
      </c>
      <c r="E7" t="s">
        <v>584</v>
      </c>
      <c r="H7" t="s">
        <v>581</v>
      </c>
      <c r="K7" t="s">
        <v>539</v>
      </c>
      <c r="L7" t="s">
        <v>53</v>
      </c>
      <c r="M7" t="s">
        <v>206</v>
      </c>
      <c r="N7" t="s">
        <v>66</v>
      </c>
      <c r="O7" t="s">
        <v>61</v>
      </c>
      <c r="P7" t="s">
        <v>208</v>
      </c>
      <c r="Q7" t="s">
        <v>144</v>
      </c>
      <c r="R7">
        <v>26</v>
      </c>
      <c r="S7" t="s">
        <v>320</v>
      </c>
      <c r="U7" t="s">
        <v>146</v>
      </c>
      <c r="W7">
        <v>4</v>
      </c>
      <c r="X7">
        <v>2</v>
      </c>
      <c r="Y7">
        <v>400</v>
      </c>
      <c r="AA7">
        <v>3840</v>
      </c>
      <c r="AD7" s="1">
        <v>45614</v>
      </c>
      <c r="AE7" s="1">
        <v>45639</v>
      </c>
      <c r="AF7" t="e">
        <v>#REF!</v>
      </c>
      <c r="AG7" s="1">
        <v>45643</v>
      </c>
      <c r="AH7" s="1">
        <v>45649</v>
      </c>
      <c r="AI7" s="1">
        <v>365150</v>
      </c>
      <c r="AN7">
        <v>1</v>
      </c>
      <c r="AO7">
        <v>0</v>
      </c>
      <c r="AP7" t="s">
        <v>583</v>
      </c>
    </row>
    <row r="8" spans="1:44">
      <c r="A8" t="s">
        <v>130</v>
      </c>
      <c r="C8" t="s">
        <v>218</v>
      </c>
      <c r="E8" t="s">
        <v>591</v>
      </c>
      <c r="H8" t="s">
        <v>581</v>
      </c>
      <c r="K8" t="s">
        <v>539</v>
      </c>
      <c r="L8" t="s">
        <v>53</v>
      </c>
      <c r="M8" t="s">
        <v>206</v>
      </c>
      <c r="N8" t="s">
        <v>66</v>
      </c>
      <c r="O8" t="s">
        <v>61</v>
      </c>
      <c r="P8" t="s">
        <v>208</v>
      </c>
      <c r="Q8" t="s">
        <v>144</v>
      </c>
      <c r="R8">
        <v>9</v>
      </c>
      <c r="S8" t="s">
        <v>145</v>
      </c>
      <c r="U8" t="s">
        <v>146</v>
      </c>
      <c r="W8">
        <v>4</v>
      </c>
      <c r="X8">
        <v>2</v>
      </c>
      <c r="Y8">
        <v>400</v>
      </c>
      <c r="AA8">
        <v>3840</v>
      </c>
      <c r="AD8" s="1">
        <v>45418</v>
      </c>
      <c r="AE8" s="1">
        <v>45436</v>
      </c>
      <c r="AF8" t="e">
        <v>#REF!</v>
      </c>
      <c r="AG8" s="1">
        <v>45440</v>
      </c>
      <c r="AH8" s="1">
        <v>45447</v>
      </c>
      <c r="AI8" s="1">
        <v>363527</v>
      </c>
      <c r="AN8">
        <v>1</v>
      </c>
      <c r="AO8">
        <v>0</v>
      </c>
      <c r="AP8" t="s">
        <v>583</v>
      </c>
    </row>
    <row r="9" spans="1:44">
      <c r="A9" t="s">
        <v>130</v>
      </c>
      <c r="C9" t="s">
        <v>218</v>
      </c>
      <c r="E9" t="s">
        <v>596</v>
      </c>
      <c r="H9" t="s">
        <v>581</v>
      </c>
      <c r="K9" t="s">
        <v>539</v>
      </c>
      <c r="L9" t="s">
        <v>53</v>
      </c>
      <c r="M9" t="s">
        <v>206</v>
      </c>
      <c r="N9" t="s">
        <v>66</v>
      </c>
      <c r="O9" t="s">
        <v>61</v>
      </c>
      <c r="P9" t="s">
        <v>208</v>
      </c>
      <c r="Q9" t="s">
        <v>144</v>
      </c>
      <c r="R9">
        <v>24</v>
      </c>
      <c r="S9" t="s">
        <v>145</v>
      </c>
      <c r="U9" t="s">
        <v>146</v>
      </c>
      <c r="W9">
        <v>4</v>
      </c>
      <c r="X9">
        <v>2</v>
      </c>
      <c r="Y9">
        <v>400</v>
      </c>
      <c r="AA9">
        <v>3840</v>
      </c>
      <c r="AD9" s="1">
        <v>45390</v>
      </c>
      <c r="AE9" s="1">
        <v>45408</v>
      </c>
      <c r="AF9" s="1">
        <v>45412</v>
      </c>
      <c r="AG9" s="1">
        <v>45419</v>
      </c>
      <c r="AH9" s="1">
        <v>45412</v>
      </c>
      <c r="AI9" s="1">
        <v>363345</v>
      </c>
      <c r="AN9">
        <v>1</v>
      </c>
      <c r="AO9">
        <v>0</v>
      </c>
      <c r="AP9" t="s">
        <v>583</v>
      </c>
    </row>
    <row r="10" spans="1:44">
      <c r="A10" t="s">
        <v>130</v>
      </c>
      <c r="C10" t="s">
        <v>218</v>
      </c>
      <c r="E10" t="s">
        <v>1172</v>
      </c>
      <c r="H10" t="s">
        <v>581</v>
      </c>
      <c r="K10" t="s">
        <v>539</v>
      </c>
      <c r="L10" t="s">
        <v>53</v>
      </c>
      <c r="M10" t="s">
        <v>206</v>
      </c>
      <c r="N10" t="s">
        <v>66</v>
      </c>
      <c r="O10" t="s">
        <v>61</v>
      </c>
      <c r="P10" t="s">
        <v>208</v>
      </c>
      <c r="Q10" t="s">
        <v>144</v>
      </c>
      <c r="R10">
        <v>24</v>
      </c>
      <c r="S10" t="s">
        <v>145</v>
      </c>
      <c r="U10" t="s">
        <v>146</v>
      </c>
      <c r="W10">
        <v>4</v>
      </c>
      <c r="X10">
        <v>2</v>
      </c>
      <c r="Y10">
        <v>400</v>
      </c>
      <c r="AA10">
        <v>3840</v>
      </c>
      <c r="AD10" s="1">
        <v>45383</v>
      </c>
      <c r="AE10" s="1">
        <v>45408</v>
      </c>
      <c r="AF10" t="e">
        <v>#REF!</v>
      </c>
      <c r="AG10" s="1">
        <v>45412</v>
      </c>
      <c r="AH10" s="1">
        <v>45419</v>
      </c>
      <c r="AI10" s="1">
        <v>363303</v>
      </c>
      <c r="AN10">
        <v>1</v>
      </c>
      <c r="AO10">
        <v>0</v>
      </c>
    </row>
    <row r="11" spans="1:44">
      <c r="A11" t="s">
        <v>130</v>
      </c>
      <c r="C11" t="s">
        <v>218</v>
      </c>
      <c r="E11" t="s">
        <v>1059</v>
      </c>
      <c r="H11" t="s">
        <v>581</v>
      </c>
      <c r="K11" t="s">
        <v>539</v>
      </c>
      <c r="L11" t="s">
        <v>53</v>
      </c>
      <c r="M11" t="s">
        <v>206</v>
      </c>
      <c r="N11" t="s">
        <v>67</v>
      </c>
      <c r="O11" t="s">
        <v>61</v>
      </c>
      <c r="P11" t="s">
        <v>208</v>
      </c>
      <c r="Q11" t="s">
        <v>144</v>
      </c>
      <c r="R11">
        <v>24</v>
      </c>
      <c r="S11" t="s">
        <v>320</v>
      </c>
      <c r="U11" t="s">
        <v>136</v>
      </c>
      <c r="W11">
        <v>5</v>
      </c>
      <c r="X11">
        <v>2</v>
      </c>
      <c r="Y11">
        <v>450</v>
      </c>
      <c r="AA11">
        <v>4500</v>
      </c>
      <c r="AD11" s="1">
        <v>45579</v>
      </c>
      <c r="AE11" s="1">
        <v>45619</v>
      </c>
      <c r="AF11" t="e">
        <v>#REF!</v>
      </c>
      <c r="AG11" s="1">
        <v>45622</v>
      </c>
      <c r="AH11" s="1">
        <v>45625</v>
      </c>
      <c r="AI11" s="1">
        <v>364979</v>
      </c>
      <c r="AN11">
        <v>1.25</v>
      </c>
      <c r="AO11">
        <v>0</v>
      </c>
    </row>
    <row r="12" spans="1:44">
      <c r="A12" t="s">
        <v>130</v>
      </c>
      <c r="C12" t="s">
        <v>218</v>
      </c>
      <c r="E12" t="s">
        <v>589</v>
      </c>
      <c r="H12" t="s">
        <v>581</v>
      </c>
      <c r="K12" t="s">
        <v>539</v>
      </c>
      <c r="L12" t="s">
        <v>53</v>
      </c>
      <c r="M12" t="s">
        <v>206</v>
      </c>
      <c r="N12" t="s">
        <v>66</v>
      </c>
      <c r="O12" t="s">
        <v>61</v>
      </c>
      <c r="P12" t="s">
        <v>208</v>
      </c>
      <c r="Q12" t="s">
        <v>144</v>
      </c>
      <c r="R12">
        <v>20</v>
      </c>
      <c r="S12" t="s">
        <v>221</v>
      </c>
      <c r="U12" t="s">
        <v>146</v>
      </c>
      <c r="W12">
        <v>5</v>
      </c>
      <c r="X12">
        <v>2</v>
      </c>
      <c r="Y12">
        <v>450</v>
      </c>
      <c r="AA12">
        <v>5140</v>
      </c>
      <c r="AD12" s="1">
        <v>45488</v>
      </c>
      <c r="AE12" s="1">
        <v>45520</v>
      </c>
      <c r="AF12" t="e">
        <v>#REF!</v>
      </c>
      <c r="AG12" s="1">
        <v>45524</v>
      </c>
      <c r="AH12" s="1">
        <v>45531</v>
      </c>
      <c r="AI12" s="1">
        <v>364199</v>
      </c>
      <c r="AN12">
        <v>1.25</v>
      </c>
      <c r="AO12">
        <v>0</v>
      </c>
      <c r="AP12" t="s">
        <v>583</v>
      </c>
    </row>
    <row r="13" spans="1:44">
      <c r="A13" t="s">
        <v>130</v>
      </c>
      <c r="C13" t="s">
        <v>218</v>
      </c>
      <c r="E13" t="s">
        <v>580</v>
      </c>
      <c r="H13" t="s">
        <v>581</v>
      </c>
      <c r="K13" t="s">
        <v>539</v>
      </c>
      <c r="L13" t="s">
        <v>53</v>
      </c>
      <c r="M13" t="s">
        <v>206</v>
      </c>
      <c r="N13" t="s">
        <v>66</v>
      </c>
      <c r="O13" t="s">
        <v>61</v>
      </c>
      <c r="P13" t="s">
        <v>208</v>
      </c>
      <c r="Q13" t="s">
        <v>144</v>
      </c>
      <c r="R13">
        <v>20</v>
      </c>
      <c r="S13" t="s">
        <v>320</v>
      </c>
      <c r="U13" t="s">
        <v>210</v>
      </c>
      <c r="W13">
        <v>6</v>
      </c>
      <c r="X13">
        <v>2</v>
      </c>
      <c r="Y13">
        <v>450</v>
      </c>
      <c r="AA13">
        <v>6040</v>
      </c>
      <c r="AD13" s="1">
        <v>45607</v>
      </c>
      <c r="AE13" s="1">
        <v>45646</v>
      </c>
      <c r="AF13" t="e">
        <v>#REF!</v>
      </c>
      <c r="AG13" s="1">
        <v>45664</v>
      </c>
      <c r="AH13" s="1">
        <v>45667</v>
      </c>
      <c r="AI13" s="1">
        <v>365315</v>
      </c>
      <c r="AN13">
        <v>1.5</v>
      </c>
      <c r="AO13">
        <v>0</v>
      </c>
      <c r="AP13" t="s">
        <v>583</v>
      </c>
    </row>
    <row r="14" spans="1:44">
      <c r="A14" t="s">
        <v>130</v>
      </c>
      <c r="C14" t="s">
        <v>218</v>
      </c>
      <c r="E14" t="s">
        <v>1173</v>
      </c>
      <c r="H14" t="s">
        <v>581</v>
      </c>
      <c r="K14" t="s">
        <v>539</v>
      </c>
      <c r="L14" t="s">
        <v>53</v>
      </c>
      <c r="M14" t="s">
        <v>206</v>
      </c>
      <c r="N14" t="s">
        <v>66</v>
      </c>
      <c r="O14" t="s">
        <v>61</v>
      </c>
      <c r="P14" t="s">
        <v>208</v>
      </c>
      <c r="Q14" t="s">
        <v>144</v>
      </c>
      <c r="R14">
        <v>18</v>
      </c>
      <c r="S14" t="s">
        <v>320</v>
      </c>
      <c r="U14" t="s">
        <v>136</v>
      </c>
      <c r="W14">
        <v>6</v>
      </c>
      <c r="X14">
        <v>2</v>
      </c>
      <c r="Y14">
        <v>450</v>
      </c>
      <c r="AA14">
        <v>6040</v>
      </c>
      <c r="AD14" s="1">
        <v>45600</v>
      </c>
      <c r="AE14" s="1">
        <v>45639</v>
      </c>
      <c r="AF14" t="e">
        <v>#REF!</v>
      </c>
      <c r="AG14" s="1">
        <v>45664</v>
      </c>
      <c r="AH14" s="1">
        <v>45672</v>
      </c>
      <c r="AI14" s="1">
        <v>365320</v>
      </c>
      <c r="AN14">
        <v>1.5</v>
      </c>
      <c r="AO14">
        <v>0</v>
      </c>
      <c r="AP14" t="s">
        <v>583</v>
      </c>
    </row>
    <row r="15" spans="1:44">
      <c r="A15" t="s">
        <v>130</v>
      </c>
      <c r="C15" t="s">
        <v>218</v>
      </c>
      <c r="E15" t="s">
        <v>590</v>
      </c>
      <c r="H15" t="s">
        <v>581</v>
      </c>
      <c r="K15" t="s">
        <v>539</v>
      </c>
      <c r="L15" t="s">
        <v>53</v>
      </c>
      <c r="M15" t="s">
        <v>206</v>
      </c>
      <c r="N15" t="s">
        <v>66</v>
      </c>
      <c r="O15" t="s">
        <v>61</v>
      </c>
      <c r="P15" t="s">
        <v>208</v>
      </c>
      <c r="Q15" t="s">
        <v>144</v>
      </c>
      <c r="R15">
        <v>14</v>
      </c>
      <c r="S15" t="s">
        <v>221</v>
      </c>
      <c r="U15" t="s">
        <v>136</v>
      </c>
      <c r="W15">
        <v>6</v>
      </c>
      <c r="X15">
        <v>2</v>
      </c>
      <c r="Y15">
        <v>450</v>
      </c>
      <c r="AA15">
        <v>6040</v>
      </c>
      <c r="AD15" s="1">
        <v>45481</v>
      </c>
      <c r="AE15" s="1">
        <v>45520</v>
      </c>
      <c r="AF15" t="e">
        <v>#REF!</v>
      </c>
      <c r="AG15" s="1">
        <v>45526</v>
      </c>
      <c r="AH15" s="1">
        <v>45537</v>
      </c>
      <c r="AI15" s="1">
        <v>364219</v>
      </c>
      <c r="AN15">
        <v>1.5</v>
      </c>
      <c r="AO15">
        <v>0</v>
      </c>
      <c r="AP15" t="s">
        <v>583</v>
      </c>
    </row>
    <row r="16" spans="1:44">
      <c r="A16" t="s">
        <v>130</v>
      </c>
      <c r="C16" t="s">
        <v>218</v>
      </c>
      <c r="E16" t="s">
        <v>593</v>
      </c>
      <c r="H16" t="s">
        <v>581</v>
      </c>
      <c r="K16" t="s">
        <v>539</v>
      </c>
      <c r="L16" t="s">
        <v>53</v>
      </c>
      <c r="M16" t="s">
        <v>206</v>
      </c>
      <c r="N16" t="s">
        <v>66</v>
      </c>
      <c r="O16" t="s">
        <v>61</v>
      </c>
      <c r="P16" t="s">
        <v>208</v>
      </c>
      <c r="Q16" t="s">
        <v>144</v>
      </c>
      <c r="R16">
        <v>23</v>
      </c>
      <c r="S16" t="s">
        <v>320</v>
      </c>
      <c r="U16" t="s">
        <v>136</v>
      </c>
      <c r="W16">
        <v>8</v>
      </c>
      <c r="X16">
        <v>2</v>
      </c>
      <c r="Y16">
        <v>450</v>
      </c>
      <c r="AA16">
        <v>7840</v>
      </c>
      <c r="AD16" s="1">
        <v>45558</v>
      </c>
      <c r="AE16" s="1">
        <v>45604</v>
      </c>
      <c r="AF16" t="e">
        <v>#REF!</v>
      </c>
      <c r="AG16" s="1">
        <v>45608</v>
      </c>
      <c r="AH16" s="1">
        <v>45615</v>
      </c>
      <c r="AI16" s="1">
        <v>364871</v>
      </c>
      <c r="AN16">
        <v>2</v>
      </c>
      <c r="AO16">
        <v>0</v>
      </c>
      <c r="AP16" t="s">
        <v>583</v>
      </c>
    </row>
    <row r="17" spans="1:42">
      <c r="A17" t="s">
        <v>130</v>
      </c>
      <c r="C17" t="s">
        <v>218</v>
      </c>
      <c r="E17" t="s">
        <v>594</v>
      </c>
      <c r="H17" t="s">
        <v>581</v>
      </c>
      <c r="K17" t="s">
        <v>539</v>
      </c>
      <c r="L17" t="s">
        <v>53</v>
      </c>
      <c r="M17" t="s">
        <v>206</v>
      </c>
      <c r="N17" t="s">
        <v>66</v>
      </c>
      <c r="O17" t="s">
        <v>61</v>
      </c>
      <c r="P17" t="s">
        <v>208</v>
      </c>
      <c r="Q17" t="s">
        <v>144</v>
      </c>
      <c r="R17">
        <v>11</v>
      </c>
      <c r="S17" t="s">
        <v>221</v>
      </c>
      <c r="U17" t="s">
        <v>136</v>
      </c>
      <c r="W17">
        <v>8</v>
      </c>
      <c r="X17">
        <v>2</v>
      </c>
      <c r="Y17">
        <v>450</v>
      </c>
      <c r="AA17">
        <v>7840</v>
      </c>
      <c r="AD17" s="1">
        <v>45516</v>
      </c>
      <c r="AE17" s="1">
        <v>45569</v>
      </c>
      <c r="AF17" t="e">
        <v>#REF!</v>
      </c>
      <c r="AG17" s="1">
        <v>41920</v>
      </c>
      <c r="AH17" s="1">
        <v>45587</v>
      </c>
      <c r="AI17" s="1">
        <v>339027</v>
      </c>
      <c r="AN17">
        <v>2</v>
      </c>
      <c r="AO17">
        <v>0</v>
      </c>
      <c r="AP17" t="s">
        <v>583</v>
      </c>
    </row>
  </sheetData>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B3E4E-8205-4E17-BFD4-13144DACA12D}">
  <sheetPr>
    <tabColor rgb="FF7030A0"/>
  </sheetPr>
  <dimension ref="A2:U77"/>
  <sheetViews>
    <sheetView zoomScale="130" zoomScaleNormal="130" workbookViewId="0">
      <selection activeCell="I25" sqref="I25"/>
    </sheetView>
  </sheetViews>
  <sheetFormatPr baseColWidth="10" defaultColWidth="11.3984375" defaultRowHeight="14.25"/>
  <cols>
    <col min="1" max="1" width="25.1328125" bestFit="1" customWidth="1"/>
    <col min="2" max="2" width="22.86328125" bestFit="1" customWidth="1"/>
    <col min="3" max="3" width="9.73046875" bestFit="1" customWidth="1"/>
    <col min="4" max="4" width="10.265625" bestFit="1" customWidth="1"/>
    <col min="5" max="6" width="8.86328125" bestFit="1" customWidth="1"/>
    <col min="7" max="7" width="14.73046875" bestFit="1" customWidth="1"/>
    <col min="8" max="8" width="22.86328125" bestFit="1" customWidth="1"/>
    <col min="9" max="11" width="8.86328125" bestFit="1" customWidth="1"/>
    <col min="12" max="12" width="11.1328125" bestFit="1" customWidth="1"/>
    <col min="13" max="13" width="12.59765625" bestFit="1" customWidth="1"/>
    <col min="14" max="14" width="25.1328125" bestFit="1" customWidth="1"/>
    <col min="15" max="15" width="22.86328125" bestFit="1" customWidth="1"/>
    <col min="16" max="16" width="9.73046875" bestFit="1" customWidth="1"/>
    <col min="17" max="17" width="10.265625" bestFit="1" customWidth="1"/>
    <col min="18" max="19" width="8.86328125" bestFit="1" customWidth="1"/>
    <col min="20" max="20" width="9.59765625" bestFit="1" customWidth="1"/>
    <col min="21" max="21" width="12.59765625" bestFit="1" customWidth="1"/>
  </cols>
  <sheetData>
    <row r="2" spans="1:15">
      <c r="A2" s="2" t="s">
        <v>84</v>
      </c>
      <c r="B2" t="s">
        <v>218</v>
      </c>
    </row>
    <row r="4" spans="1:15">
      <c r="B4" s="2" t="s">
        <v>1118</v>
      </c>
    </row>
    <row r="5" spans="1:15">
      <c r="A5" s="2" t="s">
        <v>1112</v>
      </c>
      <c r="B5" s="5" t="s">
        <v>152</v>
      </c>
      <c r="C5" s="5" t="s">
        <v>145</v>
      </c>
      <c r="D5" s="5" t="s">
        <v>221</v>
      </c>
      <c r="E5" s="5" t="s">
        <v>320</v>
      </c>
      <c r="F5" s="4" t="s">
        <v>24</v>
      </c>
      <c r="G5" t="s">
        <v>1115</v>
      </c>
    </row>
    <row r="6" spans="1:15">
      <c r="A6" s="452" t="s">
        <v>146</v>
      </c>
      <c r="B6" s="5"/>
      <c r="C6" s="5"/>
      <c r="D6" s="5"/>
      <c r="E6" s="5"/>
      <c r="F6" s="5"/>
    </row>
    <row r="7" spans="1:15">
      <c r="A7" s="3" t="s">
        <v>24</v>
      </c>
      <c r="B7" s="5"/>
      <c r="C7" s="5"/>
      <c r="D7" s="5"/>
      <c r="E7" s="5"/>
      <c r="F7" s="5"/>
    </row>
    <row r="8" spans="1:15">
      <c r="A8" s="3" t="s">
        <v>136</v>
      </c>
      <c r="B8" s="5"/>
      <c r="C8" s="5"/>
      <c r="D8" s="5"/>
      <c r="E8" s="5"/>
      <c r="F8" s="5"/>
    </row>
    <row r="9" spans="1:15">
      <c r="A9" s="3" t="s">
        <v>210</v>
      </c>
      <c r="B9" s="5"/>
      <c r="C9" s="5"/>
      <c r="D9" s="5"/>
      <c r="E9" s="5"/>
      <c r="F9" s="5"/>
    </row>
    <row r="10" spans="1:15">
      <c r="A10" s="3" t="s">
        <v>1115</v>
      </c>
      <c r="B10" s="5"/>
      <c r="C10" s="5"/>
      <c r="D10" s="5"/>
      <c r="E10" s="5"/>
      <c r="F10" s="5"/>
    </row>
    <row r="11" spans="1:15">
      <c r="A11" s="3"/>
      <c r="B11" s="5"/>
      <c r="C11" s="5"/>
      <c r="D11" s="5"/>
      <c r="E11" s="5"/>
    </row>
    <row r="15" spans="1:15">
      <c r="N15" s="2" t="s">
        <v>83</v>
      </c>
      <c r="O15" t="s">
        <v>1117</v>
      </c>
    </row>
    <row r="16" spans="1:15">
      <c r="A16" s="2" t="s">
        <v>83</v>
      </c>
      <c r="B16" t="s">
        <v>1117</v>
      </c>
      <c r="N16" s="2" t="s">
        <v>84</v>
      </c>
      <c r="O16" t="s">
        <v>218</v>
      </c>
    </row>
    <row r="17" spans="1:21">
      <c r="A17" s="2" t="s">
        <v>84</v>
      </c>
      <c r="B17" t="s">
        <v>218</v>
      </c>
      <c r="N17" s="2" t="s">
        <v>99</v>
      </c>
      <c r="O17" t="s">
        <v>82</v>
      </c>
    </row>
    <row r="18" spans="1:21">
      <c r="A18" s="2" t="s">
        <v>99</v>
      </c>
      <c r="B18" t="s">
        <v>82</v>
      </c>
    </row>
    <row r="19" spans="1:21">
      <c r="N19" s="2" t="s">
        <v>1128</v>
      </c>
      <c r="O19" s="2" t="s">
        <v>1118</v>
      </c>
    </row>
    <row r="20" spans="1:21">
      <c r="A20" s="2" t="s">
        <v>1128</v>
      </c>
      <c r="B20" s="2" t="s">
        <v>1118</v>
      </c>
      <c r="N20" s="2" t="s">
        <v>1112</v>
      </c>
      <c r="O20" t="s">
        <v>206</v>
      </c>
      <c r="P20" t="s">
        <v>328</v>
      </c>
      <c r="Q20" t="s">
        <v>330</v>
      </c>
      <c r="R20" t="s">
        <v>329</v>
      </c>
      <c r="S20" t="s">
        <v>945</v>
      </c>
      <c r="T20" t="s">
        <v>140</v>
      </c>
      <c r="U20" t="s">
        <v>1115</v>
      </c>
    </row>
    <row r="21" spans="1:21">
      <c r="A21" s="2" t="s">
        <v>1112</v>
      </c>
      <c r="B21" t="s">
        <v>206</v>
      </c>
      <c r="C21" t="s">
        <v>328</v>
      </c>
      <c r="D21" t="s">
        <v>330</v>
      </c>
      <c r="E21" t="s">
        <v>329</v>
      </c>
      <c r="F21" t="s">
        <v>945</v>
      </c>
      <c r="G21" t="s">
        <v>140</v>
      </c>
      <c r="H21" t="s">
        <v>1115</v>
      </c>
      <c r="N21" s="3" t="s">
        <v>4</v>
      </c>
      <c r="O21" s="489">
        <v>45220</v>
      </c>
      <c r="P21" s="489"/>
      <c r="Q21" s="489"/>
      <c r="R21" s="489"/>
      <c r="S21" s="489"/>
      <c r="T21" s="489"/>
      <c r="U21" s="489">
        <v>45220</v>
      </c>
    </row>
    <row r="22" spans="1:21">
      <c r="A22" s="3" t="s">
        <v>4</v>
      </c>
      <c r="B22" s="489">
        <v>45220</v>
      </c>
      <c r="C22" s="489"/>
      <c r="D22" s="489"/>
      <c r="E22" s="489"/>
      <c r="F22" s="489"/>
      <c r="G22" s="489"/>
      <c r="H22" s="489">
        <v>45220</v>
      </c>
      <c r="N22" s="6" t="s">
        <v>5</v>
      </c>
      <c r="O22" s="489">
        <v>16660</v>
      </c>
      <c r="P22" s="489"/>
      <c r="Q22" s="489"/>
      <c r="R22" s="489"/>
      <c r="S22" s="489"/>
      <c r="T22" s="489"/>
      <c r="U22" s="489">
        <v>16660</v>
      </c>
    </row>
    <row r="23" spans="1:21">
      <c r="A23" s="6" t="s">
        <v>5</v>
      </c>
      <c r="B23" s="489">
        <v>16660</v>
      </c>
      <c r="C23" s="489"/>
      <c r="D23" s="489"/>
      <c r="E23" s="489"/>
      <c r="F23" s="489"/>
      <c r="G23" s="489"/>
      <c r="H23" s="489">
        <v>16660</v>
      </c>
      <c r="N23" s="6" t="s">
        <v>11</v>
      </c>
      <c r="O23" s="489">
        <v>21840</v>
      </c>
      <c r="P23" s="489"/>
      <c r="Q23" s="489"/>
      <c r="R23" s="489"/>
      <c r="S23" s="489"/>
      <c r="T23" s="489"/>
      <c r="U23" s="489">
        <v>21840</v>
      </c>
    </row>
    <row r="24" spans="1:21">
      <c r="A24" s="6" t="s">
        <v>11</v>
      </c>
      <c r="B24" s="489">
        <v>21840</v>
      </c>
      <c r="C24" s="489"/>
      <c r="D24" s="489"/>
      <c r="E24" s="489"/>
      <c r="F24" s="489"/>
      <c r="G24" s="489"/>
      <c r="H24" s="489">
        <v>21840</v>
      </c>
      <c r="N24" s="6" t="s">
        <v>32</v>
      </c>
      <c r="O24" s="489">
        <v>6720</v>
      </c>
      <c r="P24" s="489"/>
      <c r="Q24" s="489"/>
      <c r="R24" s="489"/>
      <c r="S24" s="489"/>
      <c r="T24" s="489"/>
      <c r="U24" s="489">
        <v>6720</v>
      </c>
    </row>
    <row r="25" spans="1:21">
      <c r="A25" s="6" t="s">
        <v>32</v>
      </c>
      <c r="B25" s="489">
        <v>6720</v>
      </c>
      <c r="C25" s="489"/>
      <c r="D25" s="489"/>
      <c r="E25" s="489"/>
      <c r="F25" s="489"/>
      <c r="G25" s="489"/>
      <c r="H25" s="489">
        <v>6720</v>
      </c>
      <c r="N25" s="3" t="s">
        <v>53</v>
      </c>
      <c r="O25" s="489">
        <v>67120</v>
      </c>
      <c r="P25" s="489"/>
      <c r="Q25" s="489"/>
      <c r="R25" s="489"/>
      <c r="S25" s="489"/>
      <c r="T25" s="489"/>
      <c r="U25" s="489">
        <v>67120</v>
      </c>
    </row>
    <row r="26" spans="1:21">
      <c r="A26" s="3" t="s">
        <v>53</v>
      </c>
      <c r="B26" s="489">
        <v>67120</v>
      </c>
      <c r="C26" s="489"/>
      <c r="D26" s="489"/>
      <c r="E26" s="489"/>
      <c r="F26" s="489"/>
      <c r="G26" s="489"/>
      <c r="H26" s="489">
        <v>67120</v>
      </c>
      <c r="N26" s="3" t="s">
        <v>24</v>
      </c>
      <c r="O26" s="489">
        <v>640</v>
      </c>
      <c r="P26" s="489"/>
      <c r="Q26" s="489"/>
      <c r="R26" s="489"/>
      <c r="S26" s="489"/>
      <c r="T26" s="489"/>
      <c r="U26" s="489">
        <v>640</v>
      </c>
    </row>
    <row r="27" spans="1:21">
      <c r="A27" s="6" t="s">
        <v>61</v>
      </c>
      <c r="B27" s="489">
        <v>67120</v>
      </c>
      <c r="C27" s="489"/>
      <c r="D27" s="489"/>
      <c r="E27" s="489"/>
      <c r="F27" s="489"/>
      <c r="G27" s="489"/>
      <c r="H27" s="489">
        <v>67120</v>
      </c>
      <c r="N27" s="3" t="s">
        <v>139</v>
      </c>
      <c r="O27" s="489">
        <v>40920</v>
      </c>
      <c r="P27" s="489"/>
      <c r="Q27" s="489"/>
      <c r="R27" s="489"/>
      <c r="S27" s="489"/>
      <c r="T27" s="489"/>
      <c r="U27" s="489">
        <v>40920</v>
      </c>
    </row>
    <row r="28" spans="1:21">
      <c r="A28" s="6" t="s">
        <v>54</v>
      </c>
      <c r="B28" s="489"/>
      <c r="C28" s="489"/>
      <c r="D28" s="489"/>
      <c r="E28" s="489"/>
      <c r="F28" s="489"/>
      <c r="G28" s="489"/>
      <c r="H28" s="489"/>
      <c r="N28" s="3" t="s">
        <v>137</v>
      </c>
      <c r="O28" s="489"/>
      <c r="P28" s="489">
        <v>19640</v>
      </c>
      <c r="Q28" s="489">
        <v>23280</v>
      </c>
      <c r="R28" s="489">
        <v>16580</v>
      </c>
      <c r="S28" s="489">
        <v>22580</v>
      </c>
      <c r="T28" s="489">
        <v>17180</v>
      </c>
      <c r="U28" s="489">
        <v>99260</v>
      </c>
    </row>
    <row r="29" spans="1:21">
      <c r="A29" s="3" t="s">
        <v>24</v>
      </c>
      <c r="B29" s="489">
        <v>640</v>
      </c>
      <c r="C29" s="489"/>
      <c r="D29" s="489"/>
      <c r="E29" s="489"/>
      <c r="F29" s="489"/>
      <c r="G29" s="489"/>
      <c r="H29" s="489">
        <v>640</v>
      </c>
      <c r="N29" s="3" t="s">
        <v>266</v>
      </c>
      <c r="O29" s="489"/>
      <c r="P29" s="489">
        <v>3340</v>
      </c>
      <c r="Q29" s="489"/>
      <c r="R29" s="489"/>
      <c r="S29" s="489"/>
      <c r="T29" s="489">
        <v>640</v>
      </c>
      <c r="U29" s="489">
        <v>3980</v>
      </c>
    </row>
    <row r="30" spans="1:21">
      <c r="A30" s="6" t="s">
        <v>24</v>
      </c>
      <c r="B30" s="489">
        <v>640</v>
      </c>
      <c r="C30" s="489"/>
      <c r="D30" s="489"/>
      <c r="E30" s="489"/>
      <c r="F30" s="489"/>
      <c r="G30" s="489"/>
      <c r="H30" s="489">
        <v>640</v>
      </c>
      <c r="N30" s="6" t="s">
        <v>763</v>
      </c>
      <c r="O30" s="489"/>
      <c r="P30" s="489">
        <v>3340</v>
      </c>
      <c r="Q30" s="489"/>
      <c r="R30" s="489"/>
      <c r="S30" s="489"/>
      <c r="T30" s="489"/>
      <c r="U30" s="489">
        <v>3340</v>
      </c>
    </row>
    <row r="31" spans="1:21">
      <c r="A31" s="3" t="s">
        <v>139</v>
      </c>
      <c r="B31" s="489">
        <v>40920</v>
      </c>
      <c r="C31" s="489"/>
      <c r="D31" s="489"/>
      <c r="E31" s="489"/>
      <c r="F31" s="489"/>
      <c r="G31" s="489"/>
      <c r="H31" s="489">
        <v>40920</v>
      </c>
      <c r="N31" s="6" t="s">
        <v>762</v>
      </c>
      <c r="O31" s="489"/>
      <c r="P31" s="489"/>
      <c r="Q31" s="489"/>
      <c r="R31" s="489"/>
      <c r="S31" s="489"/>
      <c r="T31" s="489">
        <v>640</v>
      </c>
      <c r="U31" s="489">
        <v>640</v>
      </c>
    </row>
    <row r="32" spans="1:21">
      <c r="A32" s="3" t="s">
        <v>137</v>
      </c>
      <c r="B32" s="489"/>
      <c r="C32" s="489">
        <v>19640</v>
      </c>
      <c r="D32" s="489">
        <v>23280</v>
      </c>
      <c r="E32" s="489">
        <v>16580</v>
      </c>
      <c r="F32" s="489">
        <v>22580</v>
      </c>
      <c r="G32" s="489">
        <v>17180</v>
      </c>
      <c r="H32" s="489">
        <v>99260</v>
      </c>
      <c r="N32" s="3" t="s">
        <v>1115</v>
      </c>
      <c r="O32" s="489">
        <v>153900</v>
      </c>
      <c r="P32" s="489">
        <v>22980</v>
      </c>
      <c r="Q32" s="489">
        <v>23280</v>
      </c>
      <c r="R32" s="489">
        <v>16580</v>
      </c>
      <c r="S32" s="489">
        <v>22580</v>
      </c>
      <c r="T32" s="489">
        <v>17820</v>
      </c>
      <c r="U32" s="489">
        <v>257140</v>
      </c>
    </row>
    <row r="33" spans="1:8">
      <c r="A33" s="3" t="s">
        <v>266</v>
      </c>
      <c r="B33" s="489"/>
      <c r="C33" s="489">
        <v>3340</v>
      </c>
      <c r="D33" s="489"/>
      <c r="E33" s="489"/>
      <c r="F33" s="489"/>
      <c r="G33" s="489">
        <v>640</v>
      </c>
      <c r="H33" s="489">
        <v>3980</v>
      </c>
    </row>
    <row r="34" spans="1:8">
      <c r="A34" s="6" t="s">
        <v>763</v>
      </c>
      <c r="B34" s="489"/>
      <c r="C34" s="489">
        <v>3340</v>
      </c>
      <c r="D34" s="489"/>
      <c r="E34" s="489"/>
      <c r="F34" s="489"/>
      <c r="G34" s="489"/>
      <c r="H34" s="489">
        <v>3340</v>
      </c>
    </row>
    <row r="35" spans="1:8">
      <c r="A35" s="6" t="s">
        <v>762</v>
      </c>
      <c r="B35" s="489"/>
      <c r="C35" s="489"/>
      <c r="D35" s="489"/>
      <c r="E35" s="489"/>
      <c r="F35" s="489"/>
      <c r="G35" s="489">
        <v>640</v>
      </c>
      <c r="H35" s="489">
        <v>640</v>
      </c>
    </row>
    <row r="36" spans="1:8">
      <c r="A36" s="3" t="s">
        <v>1115</v>
      </c>
      <c r="B36" s="489">
        <v>153900</v>
      </c>
      <c r="C36" s="489">
        <v>22980</v>
      </c>
      <c r="D36" s="489">
        <v>23280</v>
      </c>
      <c r="E36" s="489">
        <v>16580</v>
      </c>
      <c r="F36" s="489">
        <v>22580</v>
      </c>
      <c r="G36" s="489">
        <v>17820</v>
      </c>
      <c r="H36" s="489">
        <v>257140</v>
      </c>
    </row>
    <row r="57" spans="1:13">
      <c r="A57" s="2" t="s">
        <v>84</v>
      </c>
      <c r="B57" t="s">
        <v>218</v>
      </c>
      <c r="G57" s="2" t="s">
        <v>84</v>
      </c>
      <c r="H57" t="s">
        <v>218</v>
      </c>
    </row>
    <row r="58" spans="1:13">
      <c r="A58" s="2" t="s">
        <v>94</v>
      </c>
      <c r="B58" t="s">
        <v>1117</v>
      </c>
      <c r="G58" s="2" t="s">
        <v>94</v>
      </c>
      <c r="H58" t="s">
        <v>1117</v>
      </c>
    </row>
    <row r="59" spans="1:13">
      <c r="A59" s="2" t="s">
        <v>83</v>
      </c>
      <c r="B59" t="s">
        <v>1117</v>
      </c>
      <c r="G59" s="2" t="s">
        <v>83</v>
      </c>
      <c r="H59" t="s">
        <v>1117</v>
      </c>
    </row>
    <row r="60" spans="1:13">
      <c r="A60" s="2" t="s">
        <v>81</v>
      </c>
      <c r="B60" t="s">
        <v>208</v>
      </c>
      <c r="G60" s="2" t="s">
        <v>81</v>
      </c>
      <c r="H60" t="s">
        <v>1117</v>
      </c>
    </row>
    <row r="62" spans="1:13">
      <c r="A62" s="2" t="s">
        <v>1112</v>
      </c>
      <c r="B62" t="s">
        <v>1128</v>
      </c>
      <c r="C62" t="s">
        <v>1130</v>
      </c>
      <c r="H62" s="2" t="s">
        <v>1118</v>
      </c>
    </row>
    <row r="63" spans="1:13">
      <c r="A63" s="3" t="s">
        <v>53</v>
      </c>
      <c r="B63" s="127">
        <v>67120</v>
      </c>
      <c r="C63" s="29">
        <v>0.58661073238944239</v>
      </c>
      <c r="H63" t="s">
        <v>152</v>
      </c>
      <c r="I63" t="s">
        <v>145</v>
      </c>
      <c r="J63" t="s">
        <v>221</v>
      </c>
      <c r="K63" t="s">
        <v>320</v>
      </c>
      <c r="L63" t="s">
        <v>24</v>
      </c>
      <c r="M63" t="s">
        <v>1115</v>
      </c>
    </row>
    <row r="64" spans="1:13">
      <c r="A64" s="3" t="s">
        <v>4</v>
      </c>
      <c r="B64" s="127">
        <v>42980</v>
      </c>
      <c r="C64" s="29">
        <v>0.37563363048418108</v>
      </c>
      <c r="G64" t="s">
        <v>1113</v>
      </c>
      <c r="H64" s="127">
        <v>12410</v>
      </c>
      <c r="I64" s="127">
        <v>42120</v>
      </c>
      <c r="J64" s="127">
        <v>50470</v>
      </c>
      <c r="K64" s="127">
        <v>46020</v>
      </c>
      <c r="L64" s="28">
        <v>640</v>
      </c>
      <c r="M64" s="28">
        <v>151660</v>
      </c>
    </row>
    <row r="65" spans="1:13">
      <c r="A65" s="3" t="s">
        <v>139</v>
      </c>
      <c r="B65" s="127">
        <v>3680</v>
      </c>
      <c r="C65" s="29">
        <v>3.2162209403950356E-2</v>
      </c>
    </row>
    <row r="66" spans="1:13">
      <c r="A66" s="3" t="s">
        <v>24</v>
      </c>
      <c r="B66" s="127">
        <v>640</v>
      </c>
      <c r="C66" s="29">
        <v>5.5934277224261491E-3</v>
      </c>
    </row>
    <row r="67" spans="1:13">
      <c r="A67" s="3" t="s">
        <v>1115</v>
      </c>
      <c r="B67" s="127">
        <v>114420</v>
      </c>
      <c r="C67" s="29">
        <v>1</v>
      </c>
    </row>
    <row r="70" spans="1:13">
      <c r="G70" s="2" t="s">
        <v>84</v>
      </c>
      <c r="H70" t="s">
        <v>218</v>
      </c>
    </row>
    <row r="71" spans="1:13">
      <c r="G71" s="2" t="s">
        <v>94</v>
      </c>
      <c r="H71" t="s">
        <v>1117</v>
      </c>
    </row>
    <row r="72" spans="1:13">
      <c r="G72" s="2" t="s">
        <v>83</v>
      </c>
      <c r="H72" t="s">
        <v>1117</v>
      </c>
    </row>
    <row r="73" spans="1:13">
      <c r="G73" s="2" t="s">
        <v>81</v>
      </c>
      <c r="H73" t="s">
        <v>1117</v>
      </c>
    </row>
    <row r="75" spans="1:13">
      <c r="H75" s="2" t="s">
        <v>1118</v>
      </c>
    </row>
    <row r="76" spans="1:13">
      <c r="H76" t="s">
        <v>152</v>
      </c>
      <c r="I76" t="s">
        <v>145</v>
      </c>
      <c r="J76" t="s">
        <v>221</v>
      </c>
      <c r="K76" t="s">
        <v>320</v>
      </c>
      <c r="L76" t="s">
        <v>24</v>
      </c>
      <c r="M76" t="s">
        <v>1115</v>
      </c>
    </row>
    <row r="77" spans="1:13">
      <c r="G77" t="s">
        <v>1131</v>
      </c>
      <c r="H77" s="483">
        <v>7</v>
      </c>
      <c r="I77" s="483">
        <v>14</v>
      </c>
      <c r="J77" s="483">
        <v>13</v>
      </c>
      <c r="K77" s="483">
        <v>9</v>
      </c>
      <c r="L77" s="28"/>
      <c r="M77" s="28">
        <v>43</v>
      </c>
    </row>
  </sheetData>
  <pageMargins left="0.7" right="0.7" top="0.75" bottom="0.75" header="0.3" footer="0.3"/>
  <pageSetup paperSize="9" orientation="portrai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6429A-4325-43D3-8EB6-B181127BC34F}">
  <sheetPr>
    <tabColor rgb="FFFFC000"/>
  </sheetPr>
  <dimension ref="A2:M24"/>
  <sheetViews>
    <sheetView topLeftCell="A16" zoomScale="115" zoomScaleNormal="115" workbookViewId="0">
      <selection activeCell="A24" sqref="A24:E24"/>
    </sheetView>
  </sheetViews>
  <sheetFormatPr baseColWidth="10" defaultColWidth="11.3984375" defaultRowHeight="14.25"/>
  <cols>
    <col min="1" max="1" width="18.86328125" bestFit="1" customWidth="1"/>
    <col min="2" max="2" width="20.1328125" bestFit="1" customWidth="1"/>
    <col min="3" max="3" width="14.3984375" bestFit="1" customWidth="1"/>
    <col min="4" max="5" width="3.59765625" bestFit="1" customWidth="1"/>
    <col min="6" max="7" width="12.59765625" bestFit="1" customWidth="1"/>
    <col min="8" max="8" width="17.86328125" bestFit="1" customWidth="1"/>
    <col min="9" max="9" width="22.86328125" bestFit="1" customWidth="1"/>
    <col min="10" max="12" width="12" bestFit="1" customWidth="1"/>
    <col min="13" max="13" width="13.1328125" bestFit="1" customWidth="1"/>
    <col min="14" max="14" width="12.86328125" bestFit="1" customWidth="1"/>
  </cols>
  <sheetData>
    <row r="2" spans="1:13">
      <c r="A2" s="2" t="s">
        <v>94</v>
      </c>
      <c r="B2" t="s">
        <v>330</v>
      </c>
      <c r="H2" s="2" t="s">
        <v>94</v>
      </c>
      <c r="I2" t="s">
        <v>330</v>
      </c>
    </row>
    <row r="3" spans="1:13">
      <c r="A3" s="2" t="s">
        <v>84</v>
      </c>
      <c r="B3" t="s">
        <v>1117</v>
      </c>
      <c r="H3" s="2" t="s">
        <v>84</v>
      </c>
      <c r="I3" t="s">
        <v>1117</v>
      </c>
    </row>
    <row r="5" spans="1:13">
      <c r="B5" s="2" t="s">
        <v>1118</v>
      </c>
      <c r="H5" s="2" t="s">
        <v>1113</v>
      </c>
      <c r="I5" s="2" t="s">
        <v>1118</v>
      </c>
    </row>
    <row r="6" spans="1:13">
      <c r="A6" s="2" t="s">
        <v>1112</v>
      </c>
      <c r="B6" s="28" t="s">
        <v>152</v>
      </c>
      <c r="C6" s="28" t="s">
        <v>145</v>
      </c>
      <c r="D6" s="28" t="s">
        <v>221</v>
      </c>
      <c r="E6" s="28" t="s">
        <v>320</v>
      </c>
      <c r="F6" s="28" t="s">
        <v>1115</v>
      </c>
      <c r="H6" s="2" t="s">
        <v>1112</v>
      </c>
      <c r="I6" s="28" t="s">
        <v>152</v>
      </c>
      <c r="J6" s="28" t="s">
        <v>145</v>
      </c>
      <c r="K6" s="28" t="s">
        <v>221</v>
      </c>
      <c r="L6" s="28" t="s">
        <v>320</v>
      </c>
      <c r="M6" s="28" t="s">
        <v>1115</v>
      </c>
    </row>
    <row r="7" spans="1:13">
      <c r="A7" s="452" t="s">
        <v>146</v>
      </c>
      <c r="B7" s="28"/>
      <c r="C7" s="28"/>
      <c r="D7" s="28"/>
      <c r="E7" s="28"/>
      <c r="F7" s="28"/>
      <c r="H7" s="452" t="s">
        <v>146</v>
      </c>
      <c r="I7" s="521">
        <v>10720</v>
      </c>
      <c r="J7" s="521">
        <v>14242.04</v>
      </c>
      <c r="K7" s="521">
        <v>7420</v>
      </c>
      <c r="L7" s="521">
        <v>27070</v>
      </c>
      <c r="M7" s="521">
        <v>59452.04</v>
      </c>
    </row>
    <row r="8" spans="1:13">
      <c r="A8" s="3" t="s">
        <v>136</v>
      </c>
      <c r="B8" s="28"/>
      <c r="C8" s="28"/>
      <c r="D8" s="28"/>
      <c r="E8" s="28"/>
      <c r="F8" s="28"/>
      <c r="H8" s="3" t="s">
        <v>136</v>
      </c>
      <c r="I8" s="521">
        <v>42250</v>
      </c>
      <c r="J8" s="521">
        <v>11880</v>
      </c>
      <c r="K8" s="521">
        <v>17600</v>
      </c>
      <c r="L8" s="521">
        <v>3940</v>
      </c>
      <c r="M8" s="521">
        <v>75670</v>
      </c>
    </row>
    <row r="9" spans="1:13">
      <c r="A9" s="3" t="s">
        <v>210</v>
      </c>
      <c r="B9" s="28"/>
      <c r="C9" s="28"/>
      <c r="D9" s="28"/>
      <c r="E9" s="28"/>
      <c r="F9" s="28"/>
      <c r="H9" s="3" t="s">
        <v>210</v>
      </c>
      <c r="I9" s="521"/>
      <c r="J9" s="521">
        <v>1740</v>
      </c>
      <c r="K9" s="521">
        <v>2290</v>
      </c>
      <c r="L9" s="521"/>
      <c r="M9" s="521">
        <v>4030</v>
      </c>
    </row>
    <row r="10" spans="1:13">
      <c r="A10" s="3" t="s">
        <v>1115</v>
      </c>
      <c r="B10" s="28"/>
      <c r="C10" s="28"/>
      <c r="D10" s="28"/>
      <c r="E10" s="28"/>
      <c r="F10" s="28"/>
      <c r="H10" s="3" t="s">
        <v>1115</v>
      </c>
      <c r="I10" s="521">
        <v>52970</v>
      </c>
      <c r="J10" s="521">
        <v>27862.04</v>
      </c>
      <c r="K10" s="521">
        <v>27310</v>
      </c>
      <c r="L10" s="521">
        <v>31010</v>
      </c>
      <c r="M10" s="521">
        <v>139152.04</v>
      </c>
    </row>
    <row r="14" spans="1:13">
      <c r="A14" s="3"/>
      <c r="B14" s="28"/>
      <c r="C14" s="28"/>
      <c r="D14" s="28"/>
    </row>
    <row r="15" spans="1:13">
      <c r="A15" s="2" t="s">
        <v>83</v>
      </c>
      <c r="B15" t="s">
        <v>1117</v>
      </c>
    </row>
    <row r="16" spans="1:13">
      <c r="A16" s="2" t="s">
        <v>94</v>
      </c>
      <c r="B16" t="s">
        <v>330</v>
      </c>
    </row>
    <row r="18" spans="1:3">
      <c r="A18" s="2" t="s">
        <v>1112</v>
      </c>
      <c r="B18" t="s">
        <v>1128</v>
      </c>
      <c r="C18" t="s">
        <v>1130</v>
      </c>
    </row>
    <row r="19" spans="1:3">
      <c r="A19" s="3" t="s">
        <v>131</v>
      </c>
      <c r="B19" s="127">
        <v>56292.04</v>
      </c>
      <c r="C19" s="29">
        <v>0.40453621808203455</v>
      </c>
    </row>
    <row r="20" spans="1:3">
      <c r="A20" s="3" t="s">
        <v>134</v>
      </c>
      <c r="B20" s="127">
        <v>53900</v>
      </c>
      <c r="C20" s="29">
        <v>0.38734609999249742</v>
      </c>
    </row>
    <row r="21" spans="1:3">
      <c r="A21" s="3" t="s">
        <v>218</v>
      </c>
      <c r="B21" s="127">
        <v>23280</v>
      </c>
      <c r="C21" s="29">
        <v>0.16729902055334581</v>
      </c>
    </row>
    <row r="22" spans="1:3">
      <c r="A22" s="3" t="s">
        <v>457</v>
      </c>
      <c r="B22" s="127">
        <v>5680</v>
      </c>
      <c r="C22" s="29">
        <v>4.0818661372122172E-2</v>
      </c>
    </row>
    <row r="23" spans="1:3">
      <c r="A23" s="3" t="s">
        <v>212</v>
      </c>
      <c r="B23" s="127">
        <v>0</v>
      </c>
      <c r="C23" s="29">
        <v>0</v>
      </c>
    </row>
    <row r="24" spans="1:3">
      <c r="A24" s="3" t="s">
        <v>1115</v>
      </c>
      <c r="B24" s="127">
        <v>139152.04</v>
      </c>
      <c r="C24" s="29">
        <v>1</v>
      </c>
    </row>
  </sheetData>
  <pageMargins left="0.7" right="0.7" top="0.75" bottom="0.75" header="0.3" footer="0.3"/>
  <pageSetup paperSize="9" orientation="portrai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9798A-032F-4DAE-B6EF-DCF832B32C3E}">
  <sheetPr>
    <tabColor rgb="FF08529C"/>
  </sheetPr>
  <dimension ref="A2:K98"/>
  <sheetViews>
    <sheetView topLeftCell="A37" zoomScaleNormal="100" workbookViewId="0">
      <selection activeCell="G61" sqref="G61"/>
    </sheetView>
  </sheetViews>
  <sheetFormatPr baseColWidth="10" defaultColWidth="11.3984375" defaultRowHeight="14.25"/>
  <cols>
    <col min="1" max="1" width="20.59765625" bestFit="1" customWidth="1"/>
    <col min="2" max="2" width="20.1328125" bestFit="1" customWidth="1"/>
    <col min="3" max="3" width="14.3984375" bestFit="1" customWidth="1"/>
    <col min="4" max="5" width="3.3984375" bestFit="1" customWidth="1"/>
    <col min="6" max="6" width="11.1328125" bestFit="1" customWidth="1"/>
    <col min="7" max="7" width="14.73046875" bestFit="1" customWidth="1"/>
    <col min="8" max="8" width="22.86328125" bestFit="1" customWidth="1"/>
    <col min="9" max="10" width="9.3984375" bestFit="1" customWidth="1"/>
    <col min="11" max="11" width="12.59765625" bestFit="1" customWidth="1"/>
    <col min="12" max="12" width="8.3984375" bestFit="1" customWidth="1"/>
    <col min="13" max="13" width="5.86328125" bestFit="1" customWidth="1"/>
    <col min="14" max="14" width="8.3984375" bestFit="1" customWidth="1"/>
    <col min="15" max="15" width="13" bestFit="1" customWidth="1"/>
    <col min="16" max="16" width="7.86328125" bestFit="1" customWidth="1"/>
    <col min="17" max="17" width="9.73046875" bestFit="1" customWidth="1"/>
    <col min="18" max="18" width="16.1328125" bestFit="1" customWidth="1"/>
    <col min="19" max="19" width="12.59765625" bestFit="1" customWidth="1"/>
  </cols>
  <sheetData>
    <row r="2" spans="1:7">
      <c r="A2" s="2" t="s">
        <v>84</v>
      </c>
      <c r="B2" t="s">
        <v>212</v>
      </c>
    </row>
    <row r="4" spans="1:7">
      <c r="B4" s="2" t="s">
        <v>1118</v>
      </c>
    </row>
    <row r="5" spans="1:7">
      <c r="A5" s="2" t="s">
        <v>1112</v>
      </c>
      <c r="B5" s="4" t="s">
        <v>152</v>
      </c>
      <c r="C5" s="4" t="s">
        <v>145</v>
      </c>
      <c r="D5" s="4" t="s">
        <v>221</v>
      </c>
      <c r="E5" s="4" t="s">
        <v>320</v>
      </c>
      <c r="F5" t="s">
        <v>24</v>
      </c>
      <c r="G5" s="28" t="s">
        <v>1115</v>
      </c>
    </row>
    <row r="6" spans="1:7">
      <c r="A6" s="452" t="s">
        <v>146</v>
      </c>
      <c r="B6" s="4"/>
      <c r="C6" s="4"/>
      <c r="D6" s="4"/>
      <c r="E6" s="4"/>
      <c r="F6" s="4"/>
      <c r="G6" s="4"/>
    </row>
    <row r="7" spans="1:7">
      <c r="A7" s="3" t="s">
        <v>136</v>
      </c>
      <c r="B7" s="4"/>
      <c r="C7" s="4"/>
      <c r="D7" s="4"/>
      <c r="E7" s="4"/>
      <c r="F7" s="4"/>
      <c r="G7" s="4"/>
    </row>
    <row r="8" spans="1:7">
      <c r="A8" s="3" t="s">
        <v>210</v>
      </c>
      <c r="B8" s="4"/>
      <c r="C8" s="4"/>
      <c r="D8" s="4"/>
      <c r="E8" s="4"/>
      <c r="F8" s="4"/>
      <c r="G8" s="4"/>
    </row>
    <row r="9" spans="1:7">
      <c r="A9" s="3" t="s">
        <v>24</v>
      </c>
      <c r="B9" s="4"/>
      <c r="C9" s="4"/>
      <c r="D9" s="4"/>
      <c r="E9" s="4"/>
      <c r="F9" s="4"/>
      <c r="G9" s="4"/>
    </row>
    <row r="10" spans="1:7">
      <c r="A10" s="3" t="s">
        <v>1115</v>
      </c>
      <c r="B10" s="4"/>
      <c r="C10" s="4"/>
      <c r="D10" s="4"/>
      <c r="E10" s="4"/>
      <c r="F10" s="4"/>
      <c r="G10" s="4"/>
    </row>
    <row r="13" spans="1:7">
      <c r="A13" s="3"/>
      <c r="B13" s="4"/>
      <c r="C13" s="4"/>
      <c r="D13" s="4"/>
      <c r="E13" s="4"/>
      <c r="F13" s="4"/>
      <c r="G13" s="4"/>
    </row>
    <row r="14" spans="1:7">
      <c r="A14" s="3"/>
      <c r="B14" s="4"/>
      <c r="C14" s="4"/>
      <c r="D14" s="4"/>
      <c r="E14" s="4"/>
      <c r="F14" s="4"/>
      <c r="G14" s="4"/>
    </row>
    <row r="15" spans="1:7">
      <c r="A15" s="3"/>
      <c r="B15" s="4"/>
      <c r="C15" s="4"/>
      <c r="D15" s="4"/>
      <c r="E15" s="4"/>
      <c r="F15" s="4"/>
      <c r="G15" s="4"/>
    </row>
    <row r="16" spans="1:7">
      <c r="A16" s="3"/>
      <c r="B16" s="4"/>
      <c r="C16" s="4"/>
      <c r="D16" s="4"/>
      <c r="E16" s="4"/>
      <c r="F16" s="4"/>
      <c r="G16" s="4"/>
    </row>
    <row r="17" spans="1:7">
      <c r="A17" s="3"/>
      <c r="B17" s="4"/>
      <c r="C17" s="4"/>
      <c r="D17" s="4"/>
      <c r="E17" s="4"/>
      <c r="F17" s="4"/>
      <c r="G17" s="4"/>
    </row>
    <row r="18" spans="1:7">
      <c r="A18" s="3"/>
      <c r="B18" s="4"/>
      <c r="C18" s="4"/>
      <c r="D18" s="4"/>
      <c r="E18" s="4"/>
      <c r="F18" s="4"/>
      <c r="G18" s="4"/>
    </row>
    <row r="19" spans="1:7">
      <c r="A19" s="2" t="s">
        <v>83</v>
      </c>
      <c r="B19" t="s">
        <v>1117</v>
      </c>
    </row>
    <row r="20" spans="1:7">
      <c r="A20" s="2" t="s">
        <v>84</v>
      </c>
      <c r="B20" t="s">
        <v>1117</v>
      </c>
    </row>
    <row r="21" spans="1:7">
      <c r="A21" s="2" t="s">
        <v>99</v>
      </c>
      <c r="B21" t="s">
        <v>82</v>
      </c>
    </row>
    <row r="23" spans="1:7">
      <c r="A23" s="2" t="s">
        <v>1128</v>
      </c>
      <c r="B23" s="2" t="s">
        <v>1118</v>
      </c>
    </row>
    <row r="24" spans="1:7">
      <c r="A24" s="2" t="s">
        <v>1112</v>
      </c>
      <c r="B24" t="s">
        <v>206</v>
      </c>
      <c r="C24" t="s">
        <v>328</v>
      </c>
      <c r="D24" t="s">
        <v>330</v>
      </c>
      <c r="E24" t="s">
        <v>329</v>
      </c>
      <c r="F24" t="s">
        <v>1115</v>
      </c>
    </row>
    <row r="25" spans="1:7">
      <c r="A25" s="3" t="s">
        <v>4</v>
      </c>
      <c r="B25" s="127">
        <v>200085</v>
      </c>
      <c r="C25" s="127"/>
      <c r="D25" s="127"/>
      <c r="E25" s="127"/>
      <c r="F25" s="127">
        <v>200085</v>
      </c>
    </row>
    <row r="26" spans="1:7">
      <c r="A26" s="6" t="s">
        <v>1174</v>
      </c>
      <c r="B26" s="127">
        <v>2560</v>
      </c>
      <c r="C26" s="127"/>
      <c r="D26" s="127"/>
      <c r="E26" s="127"/>
      <c r="F26" s="127">
        <v>2560</v>
      </c>
    </row>
    <row r="27" spans="1:7">
      <c r="A27" s="6" t="s">
        <v>11</v>
      </c>
      <c r="B27" s="127">
        <v>66800</v>
      </c>
      <c r="C27" s="127"/>
      <c r="D27" s="127"/>
      <c r="E27" s="127"/>
      <c r="F27" s="127">
        <v>66800</v>
      </c>
    </row>
    <row r="28" spans="1:7">
      <c r="A28" s="6" t="s">
        <v>17</v>
      </c>
      <c r="B28" s="127">
        <v>31000</v>
      </c>
      <c r="C28" s="127"/>
      <c r="D28" s="127"/>
      <c r="E28" s="127"/>
      <c r="F28" s="127">
        <v>31000</v>
      </c>
    </row>
    <row r="29" spans="1:7">
      <c r="A29" s="6" t="s">
        <v>139</v>
      </c>
      <c r="B29" s="127">
        <v>7340</v>
      </c>
      <c r="C29" s="127"/>
      <c r="D29" s="127"/>
      <c r="E29" s="127"/>
      <c r="F29" s="127">
        <v>7340</v>
      </c>
    </row>
    <row r="30" spans="1:7">
      <c r="A30" s="6" t="s">
        <v>37</v>
      </c>
      <c r="B30" s="127">
        <v>0</v>
      </c>
      <c r="C30" s="127"/>
      <c r="D30" s="127"/>
      <c r="E30" s="127"/>
      <c r="F30" s="127">
        <v>0</v>
      </c>
    </row>
    <row r="31" spans="1:7">
      <c r="A31" s="6" t="s">
        <v>43</v>
      </c>
      <c r="B31" s="127">
        <v>53985</v>
      </c>
      <c r="C31" s="127"/>
      <c r="D31" s="127"/>
      <c r="E31" s="127"/>
      <c r="F31" s="127">
        <v>53985</v>
      </c>
    </row>
    <row r="32" spans="1:7">
      <c r="A32" s="6" t="s">
        <v>45</v>
      </c>
      <c r="B32" s="127">
        <v>38400</v>
      </c>
      <c r="C32" s="127"/>
      <c r="D32" s="127"/>
      <c r="E32" s="127"/>
      <c r="F32" s="127">
        <v>38400</v>
      </c>
    </row>
    <row r="33" spans="1:8">
      <c r="A33" s="3" t="s">
        <v>72</v>
      </c>
      <c r="B33" s="127">
        <v>38500</v>
      </c>
      <c r="C33" s="127"/>
      <c r="D33" s="127"/>
      <c r="E33" s="127"/>
      <c r="F33" s="127">
        <v>38500</v>
      </c>
    </row>
    <row r="34" spans="1:8">
      <c r="A34" s="6" t="s">
        <v>11</v>
      </c>
      <c r="B34" s="127">
        <v>15400</v>
      </c>
      <c r="C34" s="127"/>
      <c r="D34" s="127"/>
      <c r="E34" s="127"/>
      <c r="F34" s="127">
        <v>15400</v>
      </c>
    </row>
    <row r="35" spans="1:8">
      <c r="A35" s="6" t="s">
        <v>17</v>
      </c>
      <c r="B35" s="127">
        <v>4400</v>
      </c>
      <c r="C35" s="127"/>
      <c r="D35" s="127"/>
      <c r="E35" s="127"/>
      <c r="F35" s="127">
        <v>4400</v>
      </c>
    </row>
    <row r="36" spans="1:8">
      <c r="A36" s="6" t="s">
        <v>77</v>
      </c>
      <c r="B36" s="127">
        <v>6600</v>
      </c>
      <c r="C36" s="127"/>
      <c r="D36" s="127"/>
      <c r="E36" s="127"/>
      <c r="F36" s="127">
        <v>6600</v>
      </c>
    </row>
    <row r="37" spans="1:8">
      <c r="A37" s="6" t="s">
        <v>73</v>
      </c>
      <c r="B37" s="127">
        <v>9900</v>
      </c>
      <c r="C37" s="127"/>
      <c r="D37" s="127"/>
      <c r="E37" s="127"/>
      <c r="F37" s="127">
        <v>9900</v>
      </c>
    </row>
    <row r="38" spans="1:8">
      <c r="A38" s="6" t="s">
        <v>74</v>
      </c>
      <c r="B38" s="127">
        <v>2200</v>
      </c>
      <c r="C38" s="127"/>
      <c r="D38" s="127"/>
      <c r="E38" s="127"/>
      <c r="F38" s="127">
        <v>2200</v>
      </c>
    </row>
    <row r="39" spans="1:8">
      <c r="A39" s="3" t="s">
        <v>24</v>
      </c>
      <c r="B39" s="127">
        <v>640</v>
      </c>
      <c r="C39" s="127"/>
      <c r="D39" s="127"/>
      <c r="E39" s="127"/>
      <c r="F39" s="127">
        <v>640</v>
      </c>
    </row>
    <row r="40" spans="1:8">
      <c r="A40" s="3" t="s">
        <v>139</v>
      </c>
      <c r="B40" s="127">
        <v>432536</v>
      </c>
      <c r="C40" s="127">
        <v>23652</v>
      </c>
      <c r="D40" s="127"/>
      <c r="E40" s="127">
        <v>27829</v>
      </c>
      <c r="F40" s="127">
        <v>484017</v>
      </c>
    </row>
    <row r="41" spans="1:8">
      <c r="A41" s="6" t="s">
        <v>763</v>
      </c>
      <c r="B41" s="127"/>
      <c r="C41" s="127">
        <v>23652</v>
      </c>
      <c r="D41" s="127"/>
      <c r="E41" s="127"/>
      <c r="F41" s="127">
        <v>23652</v>
      </c>
    </row>
    <row r="42" spans="1:8">
      <c r="A42" s="6" t="s">
        <v>665</v>
      </c>
      <c r="B42" s="127"/>
      <c r="C42" s="127"/>
      <c r="D42" s="127"/>
      <c r="E42" s="127">
        <v>27829</v>
      </c>
      <c r="F42" s="127">
        <v>27829</v>
      </c>
    </row>
    <row r="43" spans="1:8">
      <c r="A43" s="6" t="s">
        <v>139</v>
      </c>
      <c r="B43" s="127">
        <v>432536</v>
      </c>
      <c r="C43" s="127"/>
      <c r="D43" s="127"/>
      <c r="E43" s="127"/>
      <c r="F43" s="127">
        <v>432536</v>
      </c>
    </row>
    <row r="44" spans="1:8">
      <c r="A44" s="3" t="s">
        <v>137</v>
      </c>
      <c r="B44" s="127"/>
      <c r="C44" s="127">
        <v>21978</v>
      </c>
      <c r="D44" s="127">
        <v>0</v>
      </c>
      <c r="E44" s="127">
        <v>10366</v>
      </c>
      <c r="F44" s="127">
        <v>32344</v>
      </c>
      <c r="G44" s="2" t="s">
        <v>84</v>
      </c>
      <c r="H44" t="s">
        <v>212</v>
      </c>
    </row>
    <row r="45" spans="1:8">
      <c r="A45" s="3" t="s">
        <v>1115</v>
      </c>
      <c r="B45" s="127">
        <v>671761</v>
      </c>
      <c r="C45" s="127">
        <v>45630</v>
      </c>
      <c r="D45" s="127">
        <v>0</v>
      </c>
      <c r="E45" s="127">
        <v>38195</v>
      </c>
      <c r="F45" s="127">
        <v>755586</v>
      </c>
      <c r="G45" s="2" t="s">
        <v>94</v>
      </c>
      <c r="H45" t="s">
        <v>1117</v>
      </c>
    </row>
    <row r="46" spans="1:8">
      <c r="A46" s="2" t="s">
        <v>84</v>
      </c>
      <c r="B46" t="s">
        <v>212</v>
      </c>
      <c r="G46" s="2" t="s">
        <v>83</v>
      </c>
      <c r="H46" t="s">
        <v>1117</v>
      </c>
    </row>
    <row r="47" spans="1:8">
      <c r="A47" s="2" t="s">
        <v>94</v>
      </c>
      <c r="B47" t="s">
        <v>1117</v>
      </c>
      <c r="G47" s="2" t="s">
        <v>81</v>
      </c>
      <c r="H47" t="s">
        <v>1117</v>
      </c>
    </row>
    <row r="48" spans="1:8">
      <c r="A48" s="2" t="s">
        <v>83</v>
      </c>
      <c r="B48" t="s">
        <v>1117</v>
      </c>
      <c r="G48" s="2" t="s">
        <v>1111</v>
      </c>
      <c r="H48" t="s">
        <v>1117</v>
      </c>
    </row>
    <row r="49" spans="1:11">
      <c r="A49" s="2" t="s">
        <v>81</v>
      </c>
      <c r="B49" t="s">
        <v>208</v>
      </c>
    </row>
    <row r="50" spans="1:11">
      <c r="H50" s="2" t="s">
        <v>1118</v>
      </c>
    </row>
    <row r="51" spans="1:11">
      <c r="A51" s="2" t="s">
        <v>1112</v>
      </c>
      <c r="B51" t="s">
        <v>1128</v>
      </c>
      <c r="C51" t="s">
        <v>1130</v>
      </c>
      <c r="H51" t="s">
        <v>152</v>
      </c>
      <c r="I51" t="s">
        <v>145</v>
      </c>
      <c r="J51" t="s">
        <v>221</v>
      </c>
      <c r="K51" t="s">
        <v>1115</v>
      </c>
    </row>
    <row r="52" spans="1:11">
      <c r="A52" s="3" t="s">
        <v>4</v>
      </c>
      <c r="B52" s="127">
        <v>160645</v>
      </c>
      <c r="C52" s="29">
        <v>0.48039629068094891</v>
      </c>
      <c r="G52" t="s">
        <v>1113</v>
      </c>
      <c r="H52" s="127">
        <v>3300</v>
      </c>
      <c r="I52" s="127">
        <v>135145</v>
      </c>
      <c r="J52" s="127">
        <v>375660</v>
      </c>
      <c r="K52" s="28">
        <v>514105</v>
      </c>
    </row>
    <row r="53" spans="1:11">
      <c r="A53" s="6" t="s">
        <v>11</v>
      </c>
      <c r="B53" s="127">
        <v>66800</v>
      </c>
      <c r="C53" s="29">
        <v>0.19976016818131526</v>
      </c>
      <c r="G53" s="2" t="s">
        <v>84</v>
      </c>
      <c r="H53" t="s">
        <v>212</v>
      </c>
    </row>
    <row r="54" spans="1:11">
      <c r="A54" s="6" t="s">
        <v>43</v>
      </c>
      <c r="B54" s="127">
        <v>52885</v>
      </c>
      <c r="C54" s="29">
        <v>0.15814845051300683</v>
      </c>
      <c r="G54" s="2" t="s">
        <v>94</v>
      </c>
      <c r="H54" t="s">
        <v>1117</v>
      </c>
    </row>
    <row r="55" spans="1:11">
      <c r="A55" s="6" t="s">
        <v>45</v>
      </c>
      <c r="B55" s="127">
        <v>38400</v>
      </c>
      <c r="C55" s="29">
        <v>0.11483219248746265</v>
      </c>
      <c r="G55" s="2" t="s">
        <v>83</v>
      </c>
      <c r="H55" t="s">
        <v>1117</v>
      </c>
    </row>
    <row r="56" spans="1:11">
      <c r="A56" s="6" t="s">
        <v>9</v>
      </c>
      <c r="B56" s="127">
        <v>2560</v>
      </c>
      <c r="C56" s="29">
        <v>7.6554794991641768E-3</v>
      </c>
      <c r="G56" s="2" t="s">
        <v>81</v>
      </c>
      <c r="H56" t="s">
        <v>1117</v>
      </c>
    </row>
    <row r="57" spans="1:11">
      <c r="A57" s="6" t="s">
        <v>37</v>
      </c>
      <c r="B57" s="127">
        <v>0</v>
      </c>
      <c r="C57" s="29">
        <v>0</v>
      </c>
      <c r="G57" s="2" t="s">
        <v>1111</v>
      </c>
      <c r="H57" t="s">
        <v>1117</v>
      </c>
    </row>
    <row r="58" spans="1:11">
      <c r="A58" s="3" t="s">
        <v>139</v>
      </c>
      <c r="B58" s="127">
        <v>143416</v>
      </c>
      <c r="C58" s="29">
        <v>0.42887431556723815</v>
      </c>
    </row>
    <row r="59" spans="1:11">
      <c r="A59" s="6" t="s">
        <v>139</v>
      </c>
      <c r="B59" s="127">
        <v>143416</v>
      </c>
      <c r="C59" s="29">
        <v>0.42887431556723815</v>
      </c>
      <c r="H59" s="2" t="s">
        <v>1118</v>
      </c>
    </row>
    <row r="60" spans="1:11">
      <c r="A60" s="3" t="s">
        <v>72</v>
      </c>
      <c r="B60" s="127">
        <v>29700</v>
      </c>
      <c r="C60" s="29">
        <v>8.8815523877021893E-2</v>
      </c>
      <c r="H60" t="s">
        <v>152</v>
      </c>
      <c r="I60" t="s">
        <v>145</v>
      </c>
      <c r="J60" t="s">
        <v>221</v>
      </c>
      <c r="K60" t="s">
        <v>1115</v>
      </c>
    </row>
    <row r="61" spans="1:11">
      <c r="A61" s="6" t="s">
        <v>11</v>
      </c>
      <c r="B61" s="127">
        <v>11000</v>
      </c>
      <c r="C61" s="29">
        <v>3.2894638472971076E-2</v>
      </c>
      <c r="G61" t="s">
        <v>1131</v>
      </c>
      <c r="H61" s="483">
        <v>1</v>
      </c>
      <c r="I61" s="483">
        <v>16</v>
      </c>
      <c r="J61" s="483">
        <v>5</v>
      </c>
      <c r="K61" s="28">
        <v>22</v>
      </c>
    </row>
    <row r="62" spans="1:11">
      <c r="A62" s="6" t="s">
        <v>73</v>
      </c>
      <c r="B62" s="127">
        <v>9900</v>
      </c>
      <c r="C62" s="29">
        <v>2.9605174625673965E-2</v>
      </c>
    </row>
    <row r="63" spans="1:11">
      <c r="A63" s="6" t="s">
        <v>77</v>
      </c>
      <c r="B63" s="127">
        <v>6600</v>
      </c>
      <c r="C63" s="29">
        <v>1.9736783083782645E-2</v>
      </c>
    </row>
    <row r="64" spans="1:11">
      <c r="A64" s="6" t="s">
        <v>74</v>
      </c>
      <c r="B64" s="127">
        <v>2200</v>
      </c>
      <c r="C64" s="29">
        <v>6.5789276945942146E-3</v>
      </c>
    </row>
    <row r="65" spans="1:3">
      <c r="A65" s="3" t="s">
        <v>24</v>
      </c>
      <c r="B65" s="127">
        <v>640</v>
      </c>
      <c r="C65" s="29">
        <v>1.9138698747910442E-3</v>
      </c>
    </row>
    <row r="66" spans="1:3">
      <c r="A66" s="3" t="s">
        <v>1115</v>
      </c>
      <c r="B66" s="127">
        <v>334401</v>
      </c>
      <c r="C66" s="29">
        <v>1</v>
      </c>
    </row>
    <row r="86" spans="1:3">
      <c r="A86" s="2" t="s">
        <v>84</v>
      </c>
      <c r="B86" t="s">
        <v>212</v>
      </c>
    </row>
    <row r="87" spans="1:3">
      <c r="A87" s="2" t="s">
        <v>94</v>
      </c>
      <c r="B87" t="s">
        <v>1117</v>
      </c>
    </row>
    <row r="88" spans="1:3">
      <c r="A88" s="2" t="s">
        <v>83</v>
      </c>
      <c r="B88" t="s">
        <v>1117</v>
      </c>
    </row>
    <row r="89" spans="1:3">
      <c r="A89" s="2" t="s">
        <v>81</v>
      </c>
      <c r="B89" t="s">
        <v>143</v>
      </c>
    </row>
    <row r="91" spans="1:3">
      <c r="A91" s="2" t="s">
        <v>1112</v>
      </c>
      <c r="B91" t="s">
        <v>1128</v>
      </c>
      <c r="C91" t="s">
        <v>1130</v>
      </c>
    </row>
    <row r="92" spans="1:3">
      <c r="A92" s="3" t="s">
        <v>139</v>
      </c>
      <c r="B92" s="127">
        <v>289120</v>
      </c>
      <c r="C92" s="29">
        <v>0.97163597257695922</v>
      </c>
    </row>
    <row r="93" spans="1:3">
      <c r="A93" s="6" t="s">
        <v>139</v>
      </c>
      <c r="B93" s="127">
        <v>289120</v>
      </c>
      <c r="C93" s="29">
        <v>0.97163597257695922</v>
      </c>
    </row>
    <row r="94" spans="1:3">
      <c r="A94" s="3" t="s">
        <v>4</v>
      </c>
      <c r="B94" s="127">
        <v>8440</v>
      </c>
      <c r="C94" s="29">
        <v>2.8364027423040731E-2</v>
      </c>
    </row>
    <row r="95" spans="1:3">
      <c r="A95" s="6" t="s">
        <v>139</v>
      </c>
      <c r="B95" s="127">
        <v>7340</v>
      </c>
      <c r="C95" s="29">
        <v>2.4667293991127839E-2</v>
      </c>
    </row>
    <row r="96" spans="1:3">
      <c r="A96" s="6" t="s">
        <v>37</v>
      </c>
      <c r="B96" s="127">
        <v>0</v>
      </c>
      <c r="C96" s="29">
        <v>0</v>
      </c>
    </row>
    <row r="97" spans="1:3">
      <c r="A97" s="6" t="s">
        <v>43</v>
      </c>
      <c r="B97" s="127">
        <v>1100</v>
      </c>
      <c r="C97" s="29">
        <v>3.6967334319128915E-3</v>
      </c>
    </row>
    <row r="98" spans="1:3">
      <c r="A98" s="3" t="s">
        <v>1115</v>
      </c>
      <c r="B98" s="127">
        <v>297560</v>
      </c>
      <c r="C98" s="29">
        <v>1</v>
      </c>
    </row>
  </sheetData>
  <pageMargins left="0.7" right="0.7" top="0.75" bottom="0.75" header="0.3" footer="0.3"/>
  <pageSetup paperSize="9" orientation="portrait" r:id="rId7"/>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A4E60-A79E-4644-B563-15C7099310C5}">
  <dimension ref="A1:AL11"/>
  <sheetViews>
    <sheetView workbookViewId="0"/>
  </sheetViews>
  <sheetFormatPr baseColWidth="10" defaultColWidth="9.1328125" defaultRowHeight="14.25"/>
  <cols>
    <col min="2" max="2" width="23.1328125" bestFit="1" customWidth="1"/>
    <col min="3" max="3" width="12.265625" bestFit="1" customWidth="1"/>
    <col min="4" max="4" width="110.73046875" bestFit="1" customWidth="1"/>
    <col min="5" max="5" width="12.59765625" bestFit="1" customWidth="1"/>
    <col min="6" max="6" width="79.59765625" bestFit="1" customWidth="1"/>
    <col min="7" max="7" width="11.59765625" bestFit="1" customWidth="1"/>
    <col min="8" max="8" width="39.265625" bestFit="1" customWidth="1"/>
    <col min="11" max="11" width="31" bestFit="1" customWidth="1"/>
    <col min="12" max="12" width="26" bestFit="1" customWidth="1"/>
    <col min="13" max="13" width="13.86328125" bestFit="1" customWidth="1"/>
    <col min="14" max="14" width="11.265625" bestFit="1" customWidth="1"/>
    <col min="15" max="15" width="18.59765625" bestFit="1" customWidth="1"/>
    <col min="16" max="16" width="14.1328125" bestFit="1" customWidth="1"/>
    <col min="17" max="17" width="81.265625" bestFit="1" customWidth="1"/>
    <col min="18" max="18" width="14.86328125" bestFit="1" customWidth="1"/>
    <col min="19" max="19" width="13.1328125" bestFit="1" customWidth="1"/>
    <col min="20" max="21" width="18.86328125" bestFit="1" customWidth="1"/>
    <col min="22" max="22" width="26.265625" bestFit="1" customWidth="1"/>
    <col min="23" max="23" width="14.86328125" bestFit="1" customWidth="1"/>
    <col min="25" max="25" width="20.1328125" bestFit="1" customWidth="1"/>
    <col min="27" max="27" width="11.86328125" bestFit="1" customWidth="1"/>
    <col min="28" max="28" width="11.1328125" bestFit="1" customWidth="1"/>
    <col min="29" max="29" width="16.265625" bestFit="1" customWidth="1"/>
    <col min="30" max="31" width="11.1328125" bestFit="1" customWidth="1"/>
    <col min="32" max="32" width="15.265625" bestFit="1" customWidth="1"/>
    <col min="33" max="33" width="12.86328125" bestFit="1" customWidth="1"/>
    <col min="34" max="34" width="11.1328125" bestFit="1" customWidth="1"/>
    <col min="35" max="35" width="17.265625" bestFit="1" customWidth="1"/>
    <col min="36" max="36" width="27.265625" bestFit="1" customWidth="1"/>
  </cols>
  <sheetData>
    <row r="1" spans="1:38" ht="85.5">
      <c r="A1" s="485" t="s">
        <v>1137</v>
      </c>
    </row>
    <row r="3" spans="1:38" ht="28.5">
      <c r="A3" t="s">
        <v>83</v>
      </c>
      <c r="B3" s="329" t="s">
        <v>1138</v>
      </c>
      <c r="C3" t="s">
        <v>84</v>
      </c>
      <c r="D3" t="s">
        <v>1111</v>
      </c>
      <c r="E3" t="s">
        <v>1139</v>
      </c>
      <c r="F3" t="s">
        <v>88</v>
      </c>
      <c r="G3" t="s">
        <v>89</v>
      </c>
      <c r="H3" t="s">
        <v>1140</v>
      </c>
      <c r="I3" t="s">
        <v>1</v>
      </c>
      <c r="J3" t="s">
        <v>94</v>
      </c>
      <c r="K3" t="s">
        <v>3</v>
      </c>
      <c r="L3" t="s">
        <v>96</v>
      </c>
      <c r="M3" t="s">
        <v>81</v>
      </c>
      <c r="N3" t="s">
        <v>97</v>
      </c>
      <c r="O3" t="s">
        <v>98</v>
      </c>
      <c r="P3" s="329" t="s">
        <v>99</v>
      </c>
      <c r="Q3" t="s">
        <v>100</v>
      </c>
      <c r="R3" t="s">
        <v>101</v>
      </c>
      <c r="S3" t="s">
        <v>102</v>
      </c>
      <c r="T3" s="329" t="s">
        <v>103</v>
      </c>
      <c r="U3" s="329" t="s">
        <v>106</v>
      </c>
      <c r="V3" s="329" t="s">
        <v>107</v>
      </c>
      <c r="W3" s="329" t="s">
        <v>108</v>
      </c>
      <c r="X3" t="s">
        <v>109</v>
      </c>
      <c r="Y3" s="329" t="s">
        <v>110</v>
      </c>
      <c r="Z3" t="s">
        <v>111</v>
      </c>
      <c r="AA3" t="s">
        <v>113</v>
      </c>
      <c r="AB3" t="s">
        <v>114</v>
      </c>
      <c r="AC3" t="s">
        <v>115</v>
      </c>
      <c r="AD3" t="s">
        <v>116</v>
      </c>
      <c r="AE3" t="s">
        <v>117</v>
      </c>
      <c r="AF3" t="s">
        <v>118</v>
      </c>
      <c r="AG3" t="s">
        <v>119</v>
      </c>
      <c r="AH3" t="s">
        <v>120</v>
      </c>
      <c r="AI3" t="s">
        <v>124</v>
      </c>
      <c r="AJ3" t="s">
        <v>125</v>
      </c>
      <c r="AK3" t="s">
        <v>126</v>
      </c>
      <c r="AL3" t="s">
        <v>127</v>
      </c>
    </row>
    <row r="4" spans="1:38">
      <c r="A4" t="s">
        <v>130</v>
      </c>
      <c r="C4" t="s">
        <v>134</v>
      </c>
      <c r="D4" t="s">
        <v>1175</v>
      </c>
      <c r="H4" t="s">
        <v>205</v>
      </c>
      <c r="I4" t="s">
        <v>4</v>
      </c>
      <c r="J4" t="s">
        <v>206</v>
      </c>
      <c r="K4" t="s">
        <v>23</v>
      </c>
      <c r="L4" t="s">
        <v>22</v>
      </c>
      <c r="M4" t="s">
        <v>208</v>
      </c>
      <c r="P4" t="s">
        <v>152</v>
      </c>
      <c r="R4" t="s">
        <v>210</v>
      </c>
      <c r="AC4" t="e">
        <v>#REF!</v>
      </c>
      <c r="AF4" s="484">
        <v>0</v>
      </c>
      <c r="AI4">
        <v>0</v>
      </c>
    </row>
    <row r="5" spans="1:38">
      <c r="A5" t="s">
        <v>130</v>
      </c>
      <c r="C5" t="s">
        <v>134</v>
      </c>
      <c r="D5" t="s">
        <v>615</v>
      </c>
      <c r="F5" t="s">
        <v>615</v>
      </c>
      <c r="H5" t="s">
        <v>616</v>
      </c>
      <c r="I5" t="s">
        <v>53</v>
      </c>
      <c r="J5" t="s">
        <v>206</v>
      </c>
      <c r="K5" t="s">
        <v>18</v>
      </c>
      <c r="L5" t="s">
        <v>61</v>
      </c>
      <c r="M5" t="s">
        <v>208</v>
      </c>
      <c r="N5" t="s">
        <v>144</v>
      </c>
      <c r="P5" t="s">
        <v>152</v>
      </c>
      <c r="R5" t="s">
        <v>136</v>
      </c>
      <c r="S5">
        <v>1</v>
      </c>
      <c r="T5">
        <v>8</v>
      </c>
      <c r="U5">
        <v>4</v>
      </c>
      <c r="V5">
        <v>550</v>
      </c>
      <c r="X5">
        <v>17600</v>
      </c>
      <c r="AA5">
        <v>45348</v>
      </c>
      <c r="AB5">
        <v>45411</v>
      </c>
      <c r="AC5" s="484">
        <v>63</v>
      </c>
      <c r="AD5">
        <v>45442</v>
      </c>
      <c r="AE5">
        <v>45460</v>
      </c>
      <c r="AF5" s="484">
        <v>363554</v>
      </c>
      <c r="AG5">
        <v>45460</v>
      </c>
      <c r="AH5">
        <v>45481</v>
      </c>
      <c r="AI5">
        <v>21</v>
      </c>
      <c r="AJ5" t="s">
        <v>532</v>
      </c>
    </row>
    <row r="6" spans="1:38">
      <c r="A6" t="s">
        <v>130</v>
      </c>
      <c r="C6" t="s">
        <v>134</v>
      </c>
      <c r="D6" t="s">
        <v>672</v>
      </c>
      <c r="F6" t="s">
        <v>672</v>
      </c>
      <c r="H6" t="s">
        <v>672</v>
      </c>
      <c r="I6" t="s">
        <v>4</v>
      </c>
      <c r="J6" t="s">
        <v>206</v>
      </c>
      <c r="K6" t="s">
        <v>31</v>
      </c>
      <c r="L6" t="s">
        <v>28</v>
      </c>
      <c r="M6" t="s">
        <v>208</v>
      </c>
      <c r="N6" t="s">
        <v>144</v>
      </c>
      <c r="P6" t="s">
        <v>152</v>
      </c>
      <c r="Q6" t="s">
        <v>673</v>
      </c>
      <c r="R6" t="s">
        <v>210</v>
      </c>
      <c r="S6">
        <v>1</v>
      </c>
      <c r="T6">
        <v>6</v>
      </c>
      <c r="U6">
        <v>2</v>
      </c>
      <c r="V6">
        <v>550</v>
      </c>
      <c r="X6">
        <v>6600</v>
      </c>
      <c r="AA6" s="1"/>
      <c r="AB6" s="1"/>
      <c r="AC6" s="1">
        <v>0</v>
      </c>
      <c r="AD6" s="1"/>
      <c r="AE6" s="1"/>
      <c r="AF6" s="1">
        <v>0</v>
      </c>
      <c r="AG6" s="1"/>
      <c r="AH6" s="1"/>
      <c r="AI6">
        <v>0</v>
      </c>
    </row>
    <row r="7" spans="1:38">
      <c r="A7" t="s">
        <v>130</v>
      </c>
      <c r="C7" t="s">
        <v>134</v>
      </c>
      <c r="D7" t="s">
        <v>528</v>
      </c>
      <c r="F7" s="329" t="s">
        <v>529</v>
      </c>
      <c r="H7" t="s">
        <v>220</v>
      </c>
      <c r="I7" t="s">
        <v>139</v>
      </c>
      <c r="J7" t="s">
        <v>206</v>
      </c>
      <c r="K7" t="s">
        <v>530</v>
      </c>
      <c r="L7" t="s">
        <v>139</v>
      </c>
      <c r="M7" t="s">
        <v>143</v>
      </c>
      <c r="N7" t="s">
        <v>144</v>
      </c>
      <c r="P7" t="s">
        <v>152</v>
      </c>
      <c r="R7" t="s">
        <v>136</v>
      </c>
      <c r="S7">
        <v>1</v>
      </c>
      <c r="T7">
        <v>20</v>
      </c>
      <c r="U7">
        <v>8</v>
      </c>
      <c r="V7">
        <v>550</v>
      </c>
      <c r="X7">
        <v>88000</v>
      </c>
      <c r="AA7" s="1">
        <v>45306</v>
      </c>
      <c r="AB7" s="1">
        <v>45501</v>
      </c>
      <c r="AC7" s="1" t="e">
        <v>#REF!</v>
      </c>
      <c r="AD7" s="1">
        <v>45502</v>
      </c>
      <c r="AE7" s="1">
        <v>45516</v>
      </c>
      <c r="AF7" s="1">
        <v>364030</v>
      </c>
      <c r="AG7" s="1"/>
      <c r="AH7" s="1">
        <v>45715</v>
      </c>
      <c r="AI7">
        <v>45715</v>
      </c>
      <c r="AJ7" t="s">
        <v>532</v>
      </c>
    </row>
    <row r="8" spans="1:38">
      <c r="A8" t="s">
        <v>130</v>
      </c>
      <c r="C8" t="s">
        <v>134</v>
      </c>
      <c r="D8" t="s">
        <v>1176</v>
      </c>
      <c r="F8" t="s">
        <v>601</v>
      </c>
      <c r="H8" t="s">
        <v>500</v>
      </c>
      <c r="I8" t="s">
        <v>53</v>
      </c>
      <c r="J8" t="s">
        <v>206</v>
      </c>
      <c r="K8" t="s">
        <v>68</v>
      </c>
      <c r="L8" t="s">
        <v>61</v>
      </c>
      <c r="M8" t="s">
        <v>208</v>
      </c>
      <c r="N8" t="s">
        <v>144</v>
      </c>
      <c r="O8">
        <v>1</v>
      </c>
      <c r="P8" t="s">
        <v>152</v>
      </c>
      <c r="R8" t="s">
        <v>210</v>
      </c>
      <c r="S8">
        <v>1</v>
      </c>
      <c r="T8">
        <v>2</v>
      </c>
      <c r="U8">
        <v>3</v>
      </c>
      <c r="V8">
        <v>550</v>
      </c>
      <c r="X8">
        <v>3300</v>
      </c>
      <c r="AA8" s="1">
        <v>45348</v>
      </c>
      <c r="AB8" s="1">
        <v>45369</v>
      </c>
      <c r="AC8" t="e">
        <v>#REF!</v>
      </c>
      <c r="AD8" s="1">
        <v>45370</v>
      </c>
      <c r="AE8" s="1">
        <v>45384</v>
      </c>
      <c r="AF8" s="1">
        <v>362974</v>
      </c>
      <c r="AG8">
        <v>45385</v>
      </c>
      <c r="AH8" s="1">
        <v>45399</v>
      </c>
      <c r="AI8">
        <v>14</v>
      </c>
      <c r="AJ8" t="s">
        <v>583</v>
      </c>
    </row>
    <row r="9" spans="1:38">
      <c r="A9" t="s">
        <v>130</v>
      </c>
      <c r="C9" t="s">
        <v>134</v>
      </c>
      <c r="D9" t="s">
        <v>1177</v>
      </c>
      <c r="F9" t="s">
        <v>286</v>
      </c>
      <c r="H9" t="s">
        <v>534</v>
      </c>
      <c r="I9" t="s">
        <v>139</v>
      </c>
      <c r="J9" t="s">
        <v>206</v>
      </c>
      <c r="K9" t="s">
        <v>1003</v>
      </c>
      <c r="L9" t="s">
        <v>139</v>
      </c>
      <c r="M9" t="s">
        <v>208</v>
      </c>
      <c r="N9" t="s">
        <v>179</v>
      </c>
      <c r="P9" t="s">
        <v>152</v>
      </c>
      <c r="R9" t="s">
        <v>210</v>
      </c>
      <c r="T9">
        <v>8</v>
      </c>
      <c r="U9">
        <v>2</v>
      </c>
      <c r="V9">
        <v>550</v>
      </c>
      <c r="X9">
        <v>8800</v>
      </c>
      <c r="AF9" s="484">
        <v>0</v>
      </c>
      <c r="AI9">
        <v>0</v>
      </c>
      <c r="AJ9" t="s">
        <v>155</v>
      </c>
    </row>
    <row r="10" spans="1:38">
      <c r="A10" t="s">
        <v>130</v>
      </c>
      <c r="C10" t="s">
        <v>134</v>
      </c>
      <c r="D10" t="s">
        <v>1178</v>
      </c>
      <c r="F10" t="s">
        <v>711</v>
      </c>
      <c r="H10" t="s">
        <v>694</v>
      </c>
      <c r="I10" t="s">
        <v>4</v>
      </c>
      <c r="J10" t="s">
        <v>206</v>
      </c>
      <c r="K10" t="s">
        <v>6</v>
      </c>
      <c r="L10" t="s">
        <v>5</v>
      </c>
      <c r="M10" t="s">
        <v>208</v>
      </c>
      <c r="N10" t="s">
        <v>144</v>
      </c>
      <c r="O10">
        <v>1</v>
      </c>
      <c r="P10" t="s">
        <v>152</v>
      </c>
      <c r="R10" t="s">
        <v>210</v>
      </c>
      <c r="S10">
        <v>1</v>
      </c>
      <c r="T10">
        <v>1</v>
      </c>
      <c r="U10">
        <v>2</v>
      </c>
      <c r="V10">
        <v>550</v>
      </c>
      <c r="X10">
        <v>1100</v>
      </c>
      <c r="AA10" s="1">
        <v>45376</v>
      </c>
      <c r="AB10" s="1">
        <v>45390</v>
      </c>
      <c r="AC10" s="1">
        <v>14</v>
      </c>
      <c r="AD10" s="1">
        <v>45391</v>
      </c>
      <c r="AE10" s="1">
        <v>45405</v>
      </c>
      <c r="AF10" s="1">
        <v>363142</v>
      </c>
      <c r="AG10" s="1">
        <v>45406</v>
      </c>
      <c r="AH10" s="1">
        <v>45420</v>
      </c>
      <c r="AI10">
        <v>14</v>
      </c>
    </row>
    <row r="11" spans="1:38">
      <c r="A11" t="s">
        <v>130</v>
      </c>
      <c r="C11" t="s">
        <v>134</v>
      </c>
      <c r="D11" t="s">
        <v>720</v>
      </c>
      <c r="F11" t="s">
        <v>721</v>
      </c>
      <c r="H11" t="s">
        <v>694</v>
      </c>
      <c r="I11" t="s">
        <v>4</v>
      </c>
      <c r="J11" t="s">
        <v>206</v>
      </c>
      <c r="K11" t="s">
        <v>6</v>
      </c>
      <c r="L11" t="s">
        <v>5</v>
      </c>
      <c r="M11" t="s">
        <v>208</v>
      </c>
      <c r="N11" t="s">
        <v>144</v>
      </c>
      <c r="O11">
        <v>1</v>
      </c>
      <c r="P11" t="s">
        <v>152</v>
      </c>
      <c r="Q11" t="s">
        <v>722</v>
      </c>
      <c r="R11" t="s">
        <v>210</v>
      </c>
      <c r="S11">
        <v>1</v>
      </c>
      <c r="T11">
        <v>4</v>
      </c>
      <c r="U11">
        <v>1</v>
      </c>
      <c r="V11">
        <v>550</v>
      </c>
      <c r="X11">
        <v>2200</v>
      </c>
      <c r="AA11" s="1">
        <v>45376</v>
      </c>
      <c r="AB11" s="1">
        <v>45404</v>
      </c>
      <c r="AC11">
        <v>28</v>
      </c>
      <c r="AD11" s="1">
        <v>45405</v>
      </c>
      <c r="AE11" s="1">
        <v>45419</v>
      </c>
      <c r="AF11" s="1">
        <v>363254</v>
      </c>
      <c r="AG11" s="1">
        <v>45420</v>
      </c>
      <c r="AH11" s="1">
        <v>45434</v>
      </c>
      <c r="AI11">
        <v>14</v>
      </c>
    </row>
  </sheetData>
  <pageMargins left="0.7" right="0.7" top="0.75" bottom="0.75" header="0.3" footer="0.3"/>
  <tableParts count="1">
    <tablePart r:id="rId1"/>
  </tableParts>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AD8B-E383-464E-AB27-C7AF3A108D0B}">
  <sheetPr>
    <tabColor rgb="FFC00000"/>
  </sheetPr>
  <dimension ref="A2:F41"/>
  <sheetViews>
    <sheetView topLeftCell="A16" zoomScale="115" zoomScaleNormal="115" workbookViewId="0">
      <selection activeCell="A33" sqref="A33:E38"/>
    </sheetView>
  </sheetViews>
  <sheetFormatPr baseColWidth="10" defaultColWidth="11.3984375" defaultRowHeight="14.25"/>
  <cols>
    <col min="1" max="1" width="18.86328125" bestFit="1" customWidth="1"/>
    <col min="2" max="2" width="20.1328125" bestFit="1" customWidth="1"/>
    <col min="3" max="3" width="15.73046875" bestFit="1" customWidth="1"/>
    <col min="4" max="5" width="3.59765625" bestFit="1" customWidth="1"/>
    <col min="6" max="7" width="12.59765625" bestFit="1" customWidth="1"/>
    <col min="8" max="8" width="14.73046875" bestFit="1" customWidth="1"/>
    <col min="9" max="9" width="15.86328125" bestFit="1" customWidth="1"/>
    <col min="10" max="10" width="19.73046875" bestFit="1" customWidth="1"/>
    <col min="11" max="11" width="20.86328125" bestFit="1" customWidth="1"/>
  </cols>
  <sheetData>
    <row r="2" spans="1:6">
      <c r="A2" s="2" t="s">
        <v>94</v>
      </c>
      <c r="B2" t="s">
        <v>329</v>
      </c>
    </row>
    <row r="3" spans="1:6">
      <c r="A3" s="2" t="s">
        <v>84</v>
      </c>
      <c r="B3" t="s">
        <v>1117</v>
      </c>
    </row>
    <row r="5" spans="1:6">
      <c r="B5" s="2" t="s">
        <v>1118</v>
      </c>
    </row>
    <row r="6" spans="1:6">
      <c r="A6" s="2" t="s">
        <v>1112</v>
      </c>
      <c r="B6" s="28" t="s">
        <v>152</v>
      </c>
      <c r="C6" s="28" t="s">
        <v>145</v>
      </c>
      <c r="D6" t="s">
        <v>221</v>
      </c>
      <c r="E6" s="28" t="s">
        <v>320</v>
      </c>
      <c r="F6" s="28" t="s">
        <v>1115</v>
      </c>
    </row>
    <row r="7" spans="1:6">
      <c r="A7" s="452" t="s">
        <v>146</v>
      </c>
      <c r="B7" s="28"/>
      <c r="C7" s="28"/>
      <c r="D7" s="28"/>
      <c r="E7" s="28"/>
      <c r="F7" s="28"/>
    </row>
    <row r="8" spans="1:6">
      <c r="A8" s="3" t="s">
        <v>136</v>
      </c>
      <c r="B8" s="28"/>
      <c r="C8" s="28"/>
      <c r="D8" s="28"/>
      <c r="E8" s="28"/>
      <c r="F8" s="28"/>
    </row>
    <row r="9" spans="1:6">
      <c r="A9" s="3" t="s">
        <v>210</v>
      </c>
      <c r="B9" s="28"/>
      <c r="C9" s="28"/>
      <c r="D9" s="28"/>
      <c r="E9" s="28"/>
      <c r="F9" s="28"/>
    </row>
    <row r="10" spans="1:6">
      <c r="A10" s="3" t="s">
        <v>1115</v>
      </c>
      <c r="B10" s="28"/>
      <c r="C10" s="28"/>
      <c r="D10" s="28"/>
      <c r="E10" s="28"/>
      <c r="F10" s="28"/>
    </row>
    <row r="13" spans="1:6">
      <c r="A13" s="3"/>
      <c r="B13" s="28"/>
      <c r="C13" s="28"/>
      <c r="D13" s="28"/>
      <c r="E13" s="28"/>
      <c r="F13" s="28"/>
    </row>
    <row r="14" spans="1:6">
      <c r="A14" s="3"/>
      <c r="B14" s="28"/>
      <c r="C14" s="28"/>
      <c r="D14" s="28"/>
      <c r="E14" s="28"/>
      <c r="F14" s="28"/>
    </row>
    <row r="15" spans="1:6">
      <c r="A15" s="2" t="s">
        <v>94</v>
      </c>
      <c r="B15" t="s">
        <v>329</v>
      </c>
    </row>
    <row r="16" spans="1:6">
      <c r="A16" s="2" t="s">
        <v>84</v>
      </c>
      <c r="B16" t="s">
        <v>1117</v>
      </c>
    </row>
    <row r="17" spans="1:6">
      <c r="A17" s="2" t="s">
        <v>83</v>
      </c>
      <c r="B17" t="s">
        <v>1117</v>
      </c>
    </row>
    <row r="19" spans="1:6">
      <c r="A19" s="2" t="s">
        <v>1113</v>
      </c>
      <c r="B19" s="2" t="s">
        <v>1118</v>
      </c>
    </row>
    <row r="20" spans="1:6">
      <c r="A20" s="2" t="s">
        <v>1112</v>
      </c>
      <c r="B20" s="28" t="s">
        <v>152</v>
      </c>
      <c r="C20" s="28" t="s">
        <v>145</v>
      </c>
      <c r="D20" t="s">
        <v>221</v>
      </c>
      <c r="E20" s="28" t="s">
        <v>320</v>
      </c>
      <c r="F20" s="28" t="s">
        <v>1115</v>
      </c>
    </row>
    <row r="21" spans="1:6">
      <c r="A21" s="452" t="s">
        <v>146</v>
      </c>
      <c r="B21" s="127">
        <v>1875</v>
      </c>
      <c r="C21" s="127">
        <v>50174.720000000001</v>
      </c>
      <c r="D21" s="127">
        <v>20155</v>
      </c>
      <c r="E21" s="127">
        <v>25660</v>
      </c>
      <c r="F21" s="127">
        <v>97864.72</v>
      </c>
    </row>
    <row r="22" spans="1:6">
      <c r="A22" s="3" t="s">
        <v>136</v>
      </c>
      <c r="B22" s="127">
        <v>35665</v>
      </c>
      <c r="C22" s="127">
        <v>37020</v>
      </c>
      <c r="D22" s="127">
        <v>58535</v>
      </c>
      <c r="E22" s="127">
        <v>37120</v>
      </c>
      <c r="F22" s="127">
        <v>168340</v>
      </c>
    </row>
    <row r="23" spans="1:6">
      <c r="A23" s="3" t="s">
        <v>210</v>
      </c>
      <c r="B23" s="127">
        <v>5500</v>
      </c>
      <c r="C23" s="127">
        <v>5130</v>
      </c>
      <c r="D23" s="127">
        <v>3390</v>
      </c>
      <c r="E23" s="127"/>
      <c r="F23" s="127">
        <v>14020</v>
      </c>
    </row>
    <row r="24" spans="1:6">
      <c r="A24" s="3" t="s">
        <v>1115</v>
      </c>
      <c r="B24" s="333">
        <v>43040</v>
      </c>
      <c r="C24" s="127">
        <v>92324.72</v>
      </c>
      <c r="D24" s="127">
        <v>82080</v>
      </c>
      <c r="E24" s="127">
        <v>62780</v>
      </c>
      <c r="F24" s="127">
        <v>280224.71999999997</v>
      </c>
    </row>
    <row r="28" spans="1:6">
      <c r="A28" s="3"/>
      <c r="B28" s="28"/>
      <c r="C28" s="28"/>
      <c r="D28" s="28"/>
    </row>
    <row r="29" spans="1:6">
      <c r="A29" s="2" t="s">
        <v>94</v>
      </c>
      <c r="B29" t="s">
        <v>329</v>
      </c>
    </row>
    <row r="30" spans="1:6">
      <c r="A30" s="2" t="s">
        <v>83</v>
      </c>
      <c r="B30" t="s">
        <v>1117</v>
      </c>
    </row>
    <row r="32" spans="1:6">
      <c r="A32" s="2" t="s">
        <v>1112</v>
      </c>
      <c r="B32" t="s">
        <v>1113</v>
      </c>
      <c r="C32" t="s">
        <v>1119</v>
      </c>
    </row>
    <row r="33" spans="1:4">
      <c r="A33" s="3" t="s">
        <v>131</v>
      </c>
      <c r="B33" s="127">
        <v>120099.72</v>
      </c>
      <c r="C33" s="284">
        <v>0.42573498477772331</v>
      </c>
    </row>
    <row r="34" spans="1:4">
      <c r="A34" s="3" t="s">
        <v>134</v>
      </c>
      <c r="B34" s="127">
        <v>55625</v>
      </c>
      <c r="C34" s="284">
        <v>0.19718204612184659</v>
      </c>
    </row>
    <row r="35" spans="1:4">
      <c r="A35" s="3" t="s">
        <v>457</v>
      </c>
      <c r="B35" s="127">
        <v>51600</v>
      </c>
      <c r="C35" s="284">
        <v>0.18291404188561408</v>
      </c>
    </row>
    <row r="36" spans="1:4">
      <c r="A36" s="3" t="s">
        <v>212</v>
      </c>
      <c r="B36" s="127">
        <v>38195</v>
      </c>
      <c r="C36" s="284">
        <v>0.13539538429885717</v>
      </c>
    </row>
    <row r="37" spans="1:4">
      <c r="A37" s="3" t="s">
        <v>218</v>
      </c>
      <c r="B37" s="127">
        <v>16580</v>
      </c>
      <c r="C37" s="284">
        <v>5.8773542915958946E-2</v>
      </c>
    </row>
    <row r="38" spans="1:4">
      <c r="A38" s="3" t="s">
        <v>1115</v>
      </c>
      <c r="B38" s="127">
        <v>282099.71999999997</v>
      </c>
      <c r="C38" s="284">
        <v>1</v>
      </c>
    </row>
    <row r="41" spans="1:4"/>
  </sheetData>
  <pageMargins left="0.7" right="0.7" top="0.75" bottom="0.75" header="0.3" footer="0.3"/>
  <pageSetup paperSize="9" orientation="portrait" r:id="rId4"/>
  <legacyDrawing r:id="rId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17A8D-9076-49C9-B901-0C0BF776EC10}">
  <sheetPr>
    <tabColor theme="4" tint="0.79998168889431442"/>
  </sheetPr>
  <dimension ref="A1:N22"/>
  <sheetViews>
    <sheetView zoomScale="115" zoomScaleNormal="115" workbookViewId="0">
      <selection activeCell="A20" sqref="A20"/>
    </sheetView>
  </sheetViews>
  <sheetFormatPr baseColWidth="10" defaultColWidth="11.3984375" defaultRowHeight="14.25"/>
  <cols>
    <col min="1" max="1" width="18.73046875" bestFit="1" customWidth="1"/>
    <col min="2" max="2" width="20.1328125" bestFit="1" customWidth="1"/>
    <col min="3" max="3" width="14.3984375" bestFit="1" customWidth="1"/>
    <col min="4" max="5" width="3.59765625" bestFit="1" customWidth="1"/>
    <col min="6" max="6" width="12.59765625" bestFit="1" customWidth="1"/>
    <col min="7" max="7" width="12.59765625" customWidth="1"/>
    <col min="9" max="9" width="17.86328125" bestFit="1" customWidth="1"/>
    <col min="10" max="10" width="22.86328125" bestFit="1" customWidth="1"/>
    <col min="11" max="13" width="11.86328125" bestFit="1" customWidth="1"/>
    <col min="14" max="14" width="13" bestFit="1" customWidth="1"/>
    <col min="15" max="15" width="12.73046875" bestFit="1" customWidth="1"/>
  </cols>
  <sheetData>
    <row r="1" spans="1:14">
      <c r="I1" s="2" t="s">
        <v>94</v>
      </c>
      <c r="J1" t="s">
        <v>140</v>
      </c>
    </row>
    <row r="2" spans="1:14">
      <c r="A2" s="2" t="s">
        <v>94</v>
      </c>
      <c r="B2" t="s">
        <v>140</v>
      </c>
      <c r="I2" s="2" t="s">
        <v>84</v>
      </c>
      <c r="J2" t="s">
        <v>1117</v>
      </c>
    </row>
    <row r="3" spans="1:14">
      <c r="A3" s="2" t="s">
        <v>84</v>
      </c>
      <c r="B3" t="s">
        <v>1117</v>
      </c>
    </row>
    <row r="4" spans="1:14">
      <c r="I4" s="2" t="s">
        <v>1113</v>
      </c>
      <c r="J4" s="2" t="s">
        <v>1118</v>
      </c>
    </row>
    <row r="5" spans="1:14">
      <c r="B5" s="2" t="s">
        <v>1118</v>
      </c>
      <c r="I5" s="2" t="s">
        <v>1112</v>
      </c>
      <c r="J5" s="28" t="s">
        <v>152</v>
      </c>
      <c r="K5" s="28" t="s">
        <v>145</v>
      </c>
      <c r="L5" s="28" t="s">
        <v>221</v>
      </c>
      <c r="M5" s="28" t="s">
        <v>320</v>
      </c>
      <c r="N5" s="28" t="s">
        <v>1115</v>
      </c>
    </row>
    <row r="6" spans="1:14">
      <c r="A6" s="2" t="s">
        <v>1112</v>
      </c>
      <c r="B6" s="28" t="s">
        <v>152</v>
      </c>
      <c r="C6" s="28" t="s">
        <v>145</v>
      </c>
      <c r="D6" s="28" t="s">
        <v>221</v>
      </c>
      <c r="E6" s="28" t="s">
        <v>320</v>
      </c>
      <c r="F6" s="28" t="s">
        <v>1115</v>
      </c>
      <c r="I6" s="452" t="s">
        <v>146</v>
      </c>
      <c r="J6" s="522">
        <v>29970</v>
      </c>
      <c r="K6" s="522">
        <v>64028.160000000003</v>
      </c>
      <c r="L6" s="522">
        <v>14620</v>
      </c>
      <c r="M6" s="522">
        <v>15910</v>
      </c>
      <c r="N6" s="522">
        <v>124528.16</v>
      </c>
    </row>
    <row r="7" spans="1:14">
      <c r="A7" s="452" t="s">
        <v>146</v>
      </c>
      <c r="B7" s="28"/>
      <c r="C7" s="28"/>
      <c r="D7" s="28"/>
      <c r="E7" s="28"/>
      <c r="F7" s="28"/>
      <c r="I7" s="3" t="s">
        <v>136</v>
      </c>
      <c r="J7" s="522">
        <v>28890</v>
      </c>
      <c r="K7" s="522">
        <v>16220</v>
      </c>
      <c r="L7" s="522">
        <v>4400</v>
      </c>
      <c r="M7" s="522"/>
      <c r="N7" s="522">
        <v>49510</v>
      </c>
    </row>
    <row r="8" spans="1:14">
      <c r="A8" s="3" t="s">
        <v>136</v>
      </c>
      <c r="B8" s="28"/>
      <c r="C8" s="28"/>
      <c r="D8" s="28"/>
      <c r="E8" s="28"/>
      <c r="F8" s="28"/>
      <c r="I8" s="3" t="s">
        <v>210</v>
      </c>
      <c r="J8" s="522"/>
      <c r="K8" s="522"/>
      <c r="L8" s="522">
        <v>2290</v>
      </c>
      <c r="M8" s="522"/>
      <c r="N8" s="522">
        <v>2290</v>
      </c>
    </row>
    <row r="9" spans="1:14">
      <c r="A9" s="3" t="s">
        <v>210</v>
      </c>
      <c r="B9" s="28"/>
      <c r="C9" s="28"/>
      <c r="D9" s="28"/>
      <c r="E9" s="28"/>
      <c r="F9" s="28"/>
      <c r="I9" s="3" t="s">
        <v>1115</v>
      </c>
      <c r="J9" s="333">
        <v>58860</v>
      </c>
      <c r="K9" s="333">
        <v>80248.160000000003</v>
      </c>
      <c r="L9" s="333">
        <v>21310</v>
      </c>
      <c r="M9" s="333">
        <v>15910</v>
      </c>
      <c r="N9" s="333">
        <v>176328.16</v>
      </c>
    </row>
    <row r="10" spans="1:14">
      <c r="A10" s="3" t="s">
        <v>1115</v>
      </c>
      <c r="B10" s="28"/>
      <c r="C10" s="28"/>
      <c r="D10" s="28"/>
      <c r="E10" s="28"/>
      <c r="F10" s="28"/>
    </row>
    <row r="14" spans="1:14">
      <c r="A14" s="3"/>
      <c r="B14" s="28"/>
      <c r="C14" s="28"/>
      <c r="D14" s="28"/>
    </row>
    <row r="15" spans="1:14">
      <c r="A15" s="2" t="s">
        <v>83</v>
      </c>
      <c r="B15" t="s">
        <v>1117</v>
      </c>
    </row>
    <row r="16" spans="1:14">
      <c r="A16" s="2" t="s">
        <v>94</v>
      </c>
      <c r="B16" t="s">
        <v>140</v>
      </c>
    </row>
    <row r="18" spans="1:3">
      <c r="A18" s="2" t="s">
        <v>1112</v>
      </c>
      <c r="B18" t="s">
        <v>1128</v>
      </c>
      <c r="C18" t="s">
        <v>1130</v>
      </c>
    </row>
    <row r="19" spans="1:3">
      <c r="A19" s="3" t="s">
        <v>131</v>
      </c>
      <c r="B19" s="127">
        <v>95258.16</v>
      </c>
      <c r="C19" s="29">
        <v>0.53827852422718303</v>
      </c>
    </row>
    <row r="20" spans="1:3">
      <c r="A20" s="3" t="s">
        <v>134</v>
      </c>
      <c r="B20" s="127">
        <v>63890</v>
      </c>
      <c r="C20" s="29">
        <v>0.36102539575480697</v>
      </c>
    </row>
    <row r="21" spans="1:3">
      <c r="A21" s="3" t="s">
        <v>218</v>
      </c>
      <c r="B21" s="127">
        <v>17820</v>
      </c>
      <c r="C21" s="29">
        <v>0.10069608001801002</v>
      </c>
    </row>
    <row r="22" spans="1:3">
      <c r="A22" s="3" t="s">
        <v>1115</v>
      </c>
      <c r="B22" s="127">
        <v>176968.16</v>
      </c>
      <c r="C22" s="29">
        <v>1</v>
      </c>
    </row>
  </sheetData>
  <pageMargins left="0.7" right="0.7" top="0.75" bottom="0.75" header="0.3" footer="0.3"/>
  <pageSetup paperSize="9" orientation="portrai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22EDA-2709-4C49-959E-2DD6966882F9}">
  <sheetPr>
    <tabColor theme="0"/>
  </sheetPr>
  <dimension ref="A2:N21"/>
  <sheetViews>
    <sheetView topLeftCell="A7" zoomScale="85" zoomScaleNormal="128" workbookViewId="0">
      <selection activeCell="J10" sqref="J10:M10"/>
    </sheetView>
  </sheetViews>
  <sheetFormatPr baseColWidth="10" defaultColWidth="11.3984375" defaultRowHeight="14.25"/>
  <cols>
    <col min="1" max="1" width="17.86328125" bestFit="1" customWidth="1"/>
    <col min="2" max="2" width="22.86328125" bestFit="1" customWidth="1"/>
    <col min="3" max="5" width="3.59765625" bestFit="1" customWidth="1"/>
    <col min="6" max="7" width="12.59765625" bestFit="1" customWidth="1"/>
    <col min="9" max="9" width="17.86328125" bestFit="1" customWidth="1"/>
    <col min="10" max="10" width="22.86328125" bestFit="1" customWidth="1"/>
    <col min="11" max="11" width="7.3984375" bestFit="1" customWidth="1"/>
    <col min="12" max="13" width="8.3984375" bestFit="1" customWidth="1"/>
    <col min="14" max="15" width="12.59765625" bestFit="1" customWidth="1"/>
  </cols>
  <sheetData>
    <row r="2" spans="1:14">
      <c r="A2" s="2" t="s">
        <v>94</v>
      </c>
      <c r="B2" t="s">
        <v>945</v>
      </c>
      <c r="I2" s="2" t="s">
        <v>94</v>
      </c>
      <c r="J2" t="s">
        <v>945</v>
      </c>
    </row>
    <row r="3" spans="1:14">
      <c r="A3" s="2" t="s">
        <v>84</v>
      </c>
      <c r="B3" t="s">
        <v>1117</v>
      </c>
      <c r="I3" s="2" t="s">
        <v>84</v>
      </c>
      <c r="J3" t="s">
        <v>1117</v>
      </c>
    </row>
    <row r="5" spans="1:14">
      <c r="B5" s="2" t="s">
        <v>1118</v>
      </c>
      <c r="I5" s="2" t="s">
        <v>1113</v>
      </c>
      <c r="J5" s="2" t="s">
        <v>1118</v>
      </c>
    </row>
    <row r="6" spans="1:14">
      <c r="A6" s="2" t="s">
        <v>1112</v>
      </c>
      <c r="B6" s="28" t="s">
        <v>152</v>
      </c>
      <c r="C6" s="28" t="s">
        <v>145</v>
      </c>
      <c r="D6" s="28" t="s">
        <v>221</v>
      </c>
      <c r="E6" s="28" t="s">
        <v>320</v>
      </c>
      <c r="F6" s="28" t="s">
        <v>1115</v>
      </c>
      <c r="I6" s="2" t="s">
        <v>1112</v>
      </c>
      <c r="J6" s="28" t="s">
        <v>152</v>
      </c>
      <c r="K6" s="28" t="s">
        <v>145</v>
      </c>
      <c r="L6" s="28" t="s">
        <v>221</v>
      </c>
      <c r="M6" s="28" t="s">
        <v>320</v>
      </c>
      <c r="N6" s="28" t="s">
        <v>1115</v>
      </c>
    </row>
    <row r="7" spans="1:14">
      <c r="A7" s="452" t="s">
        <v>146</v>
      </c>
      <c r="B7" s="28"/>
      <c r="C7" s="28"/>
      <c r="D7" s="28"/>
      <c r="E7" s="28"/>
      <c r="F7" s="28"/>
      <c r="I7" s="452" t="s">
        <v>146</v>
      </c>
      <c r="J7" s="28"/>
      <c r="K7" s="28"/>
      <c r="L7" s="28"/>
      <c r="M7" s="28">
        <v>15640</v>
      </c>
      <c r="N7" s="28">
        <v>15640</v>
      </c>
    </row>
    <row r="8" spans="1:14">
      <c r="A8" s="3" t="s">
        <v>136</v>
      </c>
      <c r="B8" s="28"/>
      <c r="C8" s="28"/>
      <c r="D8" s="28"/>
      <c r="E8" s="28"/>
      <c r="F8" s="28"/>
      <c r="I8" s="3" t="s">
        <v>136</v>
      </c>
      <c r="J8" s="28">
        <v>2500</v>
      </c>
      <c r="K8" s="28"/>
      <c r="L8" s="28">
        <v>6940</v>
      </c>
      <c r="M8" s="28"/>
      <c r="N8" s="28">
        <v>9440</v>
      </c>
    </row>
    <row r="9" spans="1:14">
      <c r="A9" s="3" t="s">
        <v>210</v>
      </c>
      <c r="B9" s="28"/>
      <c r="C9" s="28"/>
      <c r="D9" s="28"/>
      <c r="E9" s="28"/>
      <c r="F9" s="28"/>
      <c r="I9" s="3" t="s">
        <v>210</v>
      </c>
      <c r="J9" s="28"/>
      <c r="K9" s="28">
        <v>1875</v>
      </c>
      <c r="L9" s="28">
        <v>6250</v>
      </c>
      <c r="M9" s="28"/>
      <c r="N9" s="28">
        <v>8125</v>
      </c>
    </row>
    <row r="10" spans="1:14">
      <c r="A10" s="3" t="s">
        <v>1115</v>
      </c>
      <c r="B10" s="28"/>
      <c r="C10" s="28"/>
      <c r="D10" s="28"/>
      <c r="E10" s="28"/>
      <c r="F10" s="28"/>
      <c r="I10" s="3" t="s">
        <v>1115</v>
      </c>
      <c r="J10" s="127">
        <v>2500</v>
      </c>
      <c r="K10" s="127">
        <v>1875</v>
      </c>
      <c r="L10" s="127">
        <v>13190</v>
      </c>
      <c r="M10" s="127">
        <v>15640</v>
      </c>
      <c r="N10" s="127">
        <v>33205</v>
      </c>
    </row>
    <row r="14" spans="1:14">
      <c r="A14" s="3"/>
      <c r="B14" s="28"/>
      <c r="C14" s="28"/>
      <c r="D14" s="28"/>
    </row>
    <row r="15" spans="1:14">
      <c r="A15" s="2" t="s">
        <v>83</v>
      </c>
      <c r="B15" t="s">
        <v>1117</v>
      </c>
    </row>
    <row r="16" spans="1:14">
      <c r="A16" s="2" t="s">
        <v>94</v>
      </c>
      <c r="B16" t="s">
        <v>945</v>
      </c>
    </row>
    <row r="18" spans="1:6">
      <c r="A18" s="2" t="s">
        <v>1112</v>
      </c>
      <c r="B18" t="s">
        <v>1128</v>
      </c>
      <c r="C18" t="s">
        <v>1130</v>
      </c>
    </row>
    <row r="19" spans="1:6">
      <c r="A19" s="3" t="s">
        <v>218</v>
      </c>
      <c r="B19" s="127">
        <v>22580</v>
      </c>
      <c r="C19" s="29">
        <v>0.68001806956783617</v>
      </c>
    </row>
    <row r="20" spans="1:6">
      <c r="A20" s="3" t="s">
        <v>134</v>
      </c>
      <c r="B20" s="127">
        <v>10625</v>
      </c>
      <c r="C20" s="29">
        <v>0.31998193043216383</v>
      </c>
    </row>
    <row r="21" spans="1:6">
      <c r="A21" s="3" t="s">
        <v>1115</v>
      </c>
      <c r="B21" s="127">
        <v>33205</v>
      </c>
      <c r="C21" s="29">
        <v>1</v>
      </c>
      <c r="F21" t="s">
        <v>835</v>
      </c>
    </row>
  </sheetData>
  <pageMargins left="0.7" right="0.7" top="0.75" bottom="0.75" header="0.3" footer="0.3"/>
  <pageSetup paperSize="9" orientation="portrait"/>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133BD-8A09-4F5F-B4D3-A933BB128CBE}">
  <dimension ref="A1:AE20"/>
  <sheetViews>
    <sheetView topLeftCell="D2" workbookViewId="0">
      <selection activeCell="D2" sqref="D2"/>
    </sheetView>
  </sheetViews>
  <sheetFormatPr baseColWidth="10" defaultColWidth="11.3984375" defaultRowHeight="14.25"/>
  <sheetData>
    <row r="1" spans="1:31" ht="28.5">
      <c r="A1" s="336" t="s">
        <v>83</v>
      </c>
      <c r="B1" s="147" t="s">
        <v>1179</v>
      </c>
      <c r="C1" s="147" t="s">
        <v>84</v>
      </c>
      <c r="D1" s="337" t="s">
        <v>1180</v>
      </c>
      <c r="E1" s="147" t="s">
        <v>88</v>
      </c>
      <c r="F1" s="147" t="s">
        <v>1140</v>
      </c>
      <c r="G1" s="147" t="s">
        <v>1</v>
      </c>
      <c r="H1" s="147" t="s">
        <v>94</v>
      </c>
      <c r="I1" s="147" t="s">
        <v>3</v>
      </c>
      <c r="J1" s="147" t="s">
        <v>96</v>
      </c>
      <c r="K1" s="338" t="s">
        <v>81</v>
      </c>
      <c r="L1" s="338" t="s">
        <v>97</v>
      </c>
      <c r="M1" s="339" t="s">
        <v>98</v>
      </c>
      <c r="N1" s="339" t="s">
        <v>99</v>
      </c>
      <c r="O1" s="340" t="s">
        <v>100</v>
      </c>
      <c r="P1" s="340" t="s">
        <v>101</v>
      </c>
      <c r="Q1" s="341" t="s">
        <v>106</v>
      </c>
      <c r="R1" s="341" t="s">
        <v>103</v>
      </c>
      <c r="S1" s="341" t="s">
        <v>1181</v>
      </c>
      <c r="T1" s="341" t="s">
        <v>108</v>
      </c>
      <c r="U1" s="342" t="s">
        <v>109</v>
      </c>
      <c r="V1" s="343" t="s">
        <v>110</v>
      </c>
      <c r="W1" s="344" t="s">
        <v>111</v>
      </c>
      <c r="X1" s="345" t="s">
        <v>113</v>
      </c>
      <c r="Y1" s="345" t="s">
        <v>114</v>
      </c>
      <c r="Z1" s="345" t="s">
        <v>116</v>
      </c>
      <c r="AA1" s="345" t="s">
        <v>117</v>
      </c>
      <c r="AB1" s="345" t="s">
        <v>1182</v>
      </c>
      <c r="AC1" s="345" t="s">
        <v>1183</v>
      </c>
      <c r="AD1" s="346" t="s">
        <v>125</v>
      </c>
      <c r="AE1" s="142" t="s">
        <v>126</v>
      </c>
    </row>
    <row r="2" spans="1:31" ht="34.9">
      <c r="A2" s="347" t="s">
        <v>130</v>
      </c>
      <c r="B2" s="348"/>
      <c r="C2" s="349" t="s">
        <v>217</v>
      </c>
      <c r="D2" s="350" t="s">
        <v>1184</v>
      </c>
      <c r="E2" s="351" t="s">
        <v>1185</v>
      </c>
      <c r="F2" s="349"/>
      <c r="G2" s="349" t="s">
        <v>4</v>
      </c>
      <c r="H2" s="349" t="s">
        <v>206</v>
      </c>
      <c r="I2" s="349" t="s">
        <v>30</v>
      </c>
      <c r="J2" s="349" t="s">
        <v>28</v>
      </c>
      <c r="K2" s="349" t="s">
        <v>1186</v>
      </c>
      <c r="L2" s="349" t="s">
        <v>144</v>
      </c>
      <c r="M2" s="352"/>
      <c r="N2" s="352"/>
      <c r="O2" s="352"/>
      <c r="P2" s="352"/>
      <c r="Q2" s="352"/>
      <c r="R2" s="352"/>
      <c r="S2" s="352"/>
      <c r="T2" s="352"/>
      <c r="U2" s="353">
        <v>0</v>
      </c>
      <c r="V2" s="352"/>
      <c r="W2" s="352"/>
      <c r="X2" s="369"/>
      <c r="Y2" s="369"/>
      <c r="Z2" s="369"/>
      <c r="AA2" s="369"/>
      <c r="AB2" s="369"/>
      <c r="AC2" s="369"/>
      <c r="AD2" s="352"/>
      <c r="AE2" s="214"/>
    </row>
    <row r="3" spans="1:31" ht="69.75">
      <c r="A3" s="354" t="s">
        <v>130</v>
      </c>
      <c r="B3" s="355"/>
      <c r="C3" s="356" t="s">
        <v>217</v>
      </c>
      <c r="D3" s="357" t="s">
        <v>1184</v>
      </c>
      <c r="E3" s="358" t="s">
        <v>1187</v>
      </c>
      <c r="F3" s="356"/>
      <c r="G3" s="356" t="s">
        <v>4</v>
      </c>
      <c r="H3" s="356" t="s">
        <v>206</v>
      </c>
      <c r="I3" s="356" t="s">
        <v>30</v>
      </c>
      <c r="J3" s="356" t="s">
        <v>28</v>
      </c>
      <c r="K3" s="356" t="s">
        <v>1186</v>
      </c>
      <c r="L3" s="356" t="s">
        <v>144</v>
      </c>
      <c r="M3" s="359"/>
      <c r="N3" s="359"/>
      <c r="O3" s="359"/>
      <c r="P3" s="359"/>
      <c r="Q3" s="359"/>
      <c r="R3" s="359"/>
      <c r="S3" s="359"/>
      <c r="T3" s="359"/>
      <c r="U3" s="360"/>
      <c r="V3" s="359"/>
      <c r="W3" s="359"/>
      <c r="X3" s="359"/>
      <c r="Y3" s="359"/>
      <c r="Z3" s="359"/>
      <c r="AA3" s="359"/>
      <c r="AB3" s="359"/>
      <c r="AC3" s="359"/>
      <c r="AD3" s="359"/>
      <c r="AE3" s="223"/>
    </row>
    <row r="4" spans="1:31" ht="81.400000000000006">
      <c r="A4" s="347" t="s">
        <v>130</v>
      </c>
      <c r="B4" s="348"/>
      <c r="C4" s="349" t="s">
        <v>217</v>
      </c>
      <c r="D4" s="350" t="s">
        <v>1184</v>
      </c>
      <c r="E4" s="351" t="s">
        <v>1188</v>
      </c>
      <c r="F4" s="349"/>
      <c r="G4" s="349" t="s">
        <v>4</v>
      </c>
      <c r="H4" s="349" t="s">
        <v>206</v>
      </c>
      <c r="I4" s="349" t="s">
        <v>30</v>
      </c>
      <c r="J4" s="349" t="s">
        <v>28</v>
      </c>
      <c r="K4" s="349" t="s">
        <v>1186</v>
      </c>
      <c r="L4" s="349" t="s">
        <v>144</v>
      </c>
      <c r="M4" s="352"/>
      <c r="N4" s="352"/>
      <c r="O4" s="352"/>
      <c r="P4" s="352"/>
      <c r="Q4" s="352"/>
      <c r="R4" s="352"/>
      <c r="S4" s="352"/>
      <c r="T4" s="352"/>
      <c r="U4" s="353"/>
      <c r="V4" s="352"/>
      <c r="W4" s="352"/>
      <c r="X4" s="352"/>
      <c r="Y4" s="352"/>
      <c r="Z4" s="352"/>
      <c r="AA4" s="352"/>
      <c r="AB4" s="352"/>
      <c r="AC4" s="352"/>
      <c r="AD4" s="352"/>
      <c r="AE4" s="214"/>
    </row>
    <row r="5" spans="1:31" ht="46.5">
      <c r="A5" s="354" t="s">
        <v>130</v>
      </c>
      <c r="B5" s="355"/>
      <c r="C5" s="356" t="s">
        <v>217</v>
      </c>
      <c r="D5" s="357" t="s">
        <v>1184</v>
      </c>
      <c r="E5" s="358" t="s">
        <v>1189</v>
      </c>
      <c r="F5" s="356"/>
      <c r="G5" s="356" t="s">
        <v>4</v>
      </c>
      <c r="H5" s="356" t="s">
        <v>206</v>
      </c>
      <c r="I5" s="356" t="s">
        <v>30</v>
      </c>
      <c r="J5" s="356" t="s">
        <v>28</v>
      </c>
      <c r="K5" s="356" t="s">
        <v>1186</v>
      </c>
      <c r="L5" s="356" t="s">
        <v>144</v>
      </c>
      <c r="M5" s="359"/>
      <c r="N5" s="359"/>
      <c r="O5" s="359"/>
      <c r="P5" s="359"/>
      <c r="Q5" s="359"/>
      <c r="R5" s="359"/>
      <c r="S5" s="359"/>
      <c r="T5" s="359"/>
      <c r="U5" s="360"/>
      <c r="V5" s="359"/>
      <c r="W5" s="359"/>
      <c r="X5" s="359"/>
      <c r="Y5" s="359"/>
      <c r="Z5" s="359"/>
      <c r="AA5" s="359"/>
      <c r="AB5" s="359"/>
      <c r="AC5" s="359"/>
      <c r="AD5" s="359"/>
      <c r="AE5" s="223"/>
    </row>
    <row r="6" spans="1:31" ht="104.65">
      <c r="A6" s="347" t="s">
        <v>130</v>
      </c>
      <c r="B6" s="348"/>
      <c r="C6" s="349" t="s">
        <v>217</v>
      </c>
      <c r="D6" s="350" t="s">
        <v>1190</v>
      </c>
      <c r="E6" s="351" t="s">
        <v>1191</v>
      </c>
      <c r="F6" s="349"/>
      <c r="G6" s="349" t="s">
        <v>4</v>
      </c>
      <c r="H6" s="349" t="s">
        <v>206</v>
      </c>
      <c r="I6" s="349" t="s">
        <v>1192</v>
      </c>
      <c r="J6" s="349" t="s">
        <v>28</v>
      </c>
      <c r="K6" s="349" t="s">
        <v>1186</v>
      </c>
      <c r="L6" s="349" t="s">
        <v>144</v>
      </c>
      <c r="M6" s="352"/>
      <c r="N6" s="352"/>
      <c r="O6" s="352"/>
      <c r="P6" s="352"/>
      <c r="Q6" s="352"/>
      <c r="R6" s="352"/>
      <c r="S6" s="352"/>
      <c r="T6" s="352"/>
      <c r="U6" s="353"/>
      <c r="V6" s="352"/>
      <c r="W6" s="352"/>
      <c r="X6" s="352"/>
      <c r="Y6" s="352"/>
      <c r="Z6" s="352"/>
      <c r="AA6" s="352"/>
      <c r="AB6" s="352"/>
      <c r="AC6" s="352"/>
      <c r="AD6" s="352"/>
      <c r="AE6" s="214"/>
    </row>
    <row r="7" spans="1:31">
      <c r="A7" s="354" t="s">
        <v>130</v>
      </c>
      <c r="B7" s="355"/>
      <c r="C7" s="359" t="s">
        <v>217</v>
      </c>
      <c r="D7" s="357" t="s">
        <v>1193</v>
      </c>
      <c r="E7" s="358" t="s">
        <v>1194</v>
      </c>
      <c r="F7" s="356"/>
      <c r="G7" s="356" t="s">
        <v>4</v>
      </c>
      <c r="H7" s="356" t="s">
        <v>206</v>
      </c>
      <c r="I7" s="356" t="s">
        <v>20</v>
      </c>
      <c r="J7" s="356" t="s">
        <v>19</v>
      </c>
      <c r="K7" s="356" t="s">
        <v>1186</v>
      </c>
      <c r="L7" s="356" t="s">
        <v>144</v>
      </c>
      <c r="M7" s="359"/>
      <c r="N7" s="359"/>
      <c r="O7" s="359"/>
      <c r="P7" s="359"/>
      <c r="Q7" s="359"/>
      <c r="R7" s="359"/>
      <c r="S7" s="359"/>
      <c r="T7" s="359"/>
      <c r="U7" s="360"/>
      <c r="V7" s="359"/>
      <c r="W7" s="359"/>
      <c r="X7" s="359"/>
      <c r="Y7" s="359"/>
      <c r="Z7" s="359"/>
      <c r="AA7" s="359"/>
      <c r="AB7" s="359"/>
      <c r="AC7" s="359"/>
      <c r="AD7" s="359"/>
      <c r="AE7" s="223"/>
    </row>
    <row r="8" spans="1:31" ht="162.75">
      <c r="A8" s="347" t="s">
        <v>130</v>
      </c>
      <c r="B8" s="348"/>
      <c r="C8" s="352" t="s">
        <v>217</v>
      </c>
      <c r="D8" s="361" t="s">
        <v>1195</v>
      </c>
      <c r="E8" s="351" t="s">
        <v>1194</v>
      </c>
      <c r="F8" s="349"/>
      <c r="G8" s="349" t="s">
        <v>4</v>
      </c>
      <c r="H8" s="349" t="s">
        <v>206</v>
      </c>
      <c r="I8" s="349" t="s">
        <v>20</v>
      </c>
      <c r="J8" s="349" t="s">
        <v>19</v>
      </c>
      <c r="K8" s="349" t="s">
        <v>1186</v>
      </c>
      <c r="L8" s="349" t="s">
        <v>144</v>
      </c>
      <c r="M8" s="352"/>
      <c r="N8" s="352"/>
      <c r="O8" s="352"/>
      <c r="P8" s="352"/>
      <c r="Q8" s="352"/>
      <c r="R8" s="352"/>
      <c r="S8" s="352"/>
      <c r="T8" s="352"/>
      <c r="U8" s="353"/>
      <c r="V8" s="352"/>
      <c r="W8" s="352"/>
      <c r="X8" s="352"/>
      <c r="Y8" s="352"/>
      <c r="Z8" s="352"/>
      <c r="AA8" s="352"/>
      <c r="AB8" s="352"/>
      <c r="AC8" s="352"/>
      <c r="AD8" s="352"/>
      <c r="AE8" s="214"/>
    </row>
    <row r="9" spans="1:31" ht="255.75">
      <c r="A9" s="354" t="s">
        <v>130</v>
      </c>
      <c r="B9" s="355"/>
      <c r="C9" s="356" t="s">
        <v>217</v>
      </c>
      <c r="D9" s="357" t="s">
        <v>1196</v>
      </c>
      <c r="E9" s="358" t="s">
        <v>1197</v>
      </c>
      <c r="F9" s="356"/>
      <c r="G9" s="356" t="s">
        <v>53</v>
      </c>
      <c r="H9" s="356" t="s">
        <v>206</v>
      </c>
      <c r="I9" s="356" t="s">
        <v>57</v>
      </c>
      <c r="J9" s="356" t="s">
        <v>56</v>
      </c>
      <c r="K9" s="356" t="s">
        <v>1186</v>
      </c>
      <c r="L9" s="356" t="s">
        <v>144</v>
      </c>
      <c r="M9" s="359"/>
      <c r="N9" s="359"/>
      <c r="O9" s="359"/>
      <c r="P9" s="359"/>
      <c r="Q9" s="359"/>
      <c r="R9" s="359"/>
      <c r="S9" s="359"/>
      <c r="T9" s="359"/>
      <c r="U9" s="360"/>
      <c r="V9" s="359"/>
      <c r="W9" s="359"/>
      <c r="X9" s="359"/>
      <c r="Y9" s="359"/>
      <c r="Z9" s="359"/>
      <c r="AA9" s="359"/>
      <c r="AB9" s="359"/>
      <c r="AC9" s="359"/>
      <c r="AD9" s="359"/>
      <c r="AE9" s="223"/>
    </row>
    <row r="10" spans="1:31" ht="93">
      <c r="A10" s="347" t="s">
        <v>130</v>
      </c>
      <c r="B10" s="348"/>
      <c r="C10" s="352" t="s">
        <v>217</v>
      </c>
      <c r="D10" s="361" t="s">
        <v>1198</v>
      </c>
      <c r="E10" s="351" t="s">
        <v>1194</v>
      </c>
      <c r="F10" s="349"/>
      <c r="G10" s="349" t="s">
        <v>4</v>
      </c>
      <c r="H10" s="349" t="s">
        <v>206</v>
      </c>
      <c r="I10" s="349" t="s">
        <v>20</v>
      </c>
      <c r="J10" s="349" t="s">
        <v>19</v>
      </c>
      <c r="K10" s="349" t="s">
        <v>1186</v>
      </c>
      <c r="L10" s="349" t="s">
        <v>144</v>
      </c>
      <c r="M10" s="352"/>
      <c r="N10" s="352"/>
      <c r="O10" s="352"/>
      <c r="P10" s="352"/>
      <c r="Q10" s="352"/>
      <c r="R10" s="352"/>
      <c r="S10" s="352"/>
      <c r="T10" s="352"/>
      <c r="U10" s="353"/>
      <c r="V10" s="352"/>
      <c r="W10" s="352"/>
      <c r="X10" s="352"/>
      <c r="Y10" s="352"/>
      <c r="Z10" s="352"/>
      <c r="AA10" s="352"/>
      <c r="AB10" s="352"/>
      <c r="AC10" s="352"/>
      <c r="AD10" s="352"/>
      <c r="AE10" s="214"/>
    </row>
    <row r="11" spans="1:31" ht="69.75">
      <c r="A11" s="354" t="s">
        <v>130</v>
      </c>
      <c r="B11" s="355"/>
      <c r="C11" s="359" t="s">
        <v>217</v>
      </c>
      <c r="D11" s="362" t="s">
        <v>1199</v>
      </c>
      <c r="E11" s="358" t="s">
        <v>1200</v>
      </c>
      <c r="F11" s="356"/>
      <c r="G11" s="356" t="s">
        <v>4</v>
      </c>
      <c r="H11" s="356" t="s">
        <v>206</v>
      </c>
      <c r="I11" s="356" t="s">
        <v>6</v>
      </c>
      <c r="J11" s="356" t="s">
        <v>5</v>
      </c>
      <c r="K11" s="356" t="s">
        <v>1186</v>
      </c>
      <c r="L11" s="356" t="s">
        <v>144</v>
      </c>
      <c r="M11" s="359">
        <v>2</v>
      </c>
      <c r="N11" s="359"/>
      <c r="O11" s="359"/>
      <c r="P11" s="359"/>
      <c r="Q11" s="359"/>
      <c r="R11" s="359"/>
      <c r="S11" s="359"/>
      <c r="T11" s="359"/>
      <c r="U11" s="360"/>
      <c r="V11" s="359"/>
      <c r="W11" s="359"/>
      <c r="X11" s="359"/>
      <c r="Y11" s="359"/>
      <c r="Z11" s="359"/>
      <c r="AA11" s="359"/>
      <c r="AB11" s="359"/>
      <c r="AC11" s="359"/>
      <c r="AD11" s="359"/>
      <c r="AE11" s="223"/>
    </row>
    <row r="12" spans="1:31" ht="93">
      <c r="A12" s="347" t="s">
        <v>251</v>
      </c>
      <c r="B12" s="348"/>
      <c r="C12" s="352" t="s">
        <v>217</v>
      </c>
      <c r="D12" s="363" t="s">
        <v>1201</v>
      </c>
      <c r="E12" s="351" t="s">
        <v>1202</v>
      </c>
      <c r="F12" s="349"/>
      <c r="G12" s="349" t="s">
        <v>4</v>
      </c>
      <c r="H12" s="349" t="s">
        <v>206</v>
      </c>
      <c r="I12" s="349" t="s">
        <v>6</v>
      </c>
      <c r="J12" s="349" t="s">
        <v>5</v>
      </c>
      <c r="K12" s="349" t="s">
        <v>1203</v>
      </c>
      <c r="L12" s="352" t="s">
        <v>179</v>
      </c>
      <c r="M12" s="352">
        <v>1</v>
      </c>
      <c r="N12" s="352"/>
      <c r="O12" s="352"/>
      <c r="P12" s="352"/>
      <c r="Q12" s="352"/>
      <c r="R12" s="352"/>
      <c r="S12" s="352"/>
      <c r="T12" s="352"/>
      <c r="U12" s="353"/>
      <c r="V12" s="352"/>
      <c r="W12" s="352"/>
      <c r="X12" s="352"/>
      <c r="Y12" s="352"/>
      <c r="Z12" s="352"/>
      <c r="AA12" s="352"/>
      <c r="AB12" s="352"/>
      <c r="AC12" s="352"/>
      <c r="AD12" s="352"/>
      <c r="AE12" s="214"/>
    </row>
    <row r="13" spans="1:31" ht="69.75">
      <c r="A13" s="354" t="s">
        <v>130</v>
      </c>
      <c r="B13" s="355"/>
      <c r="C13" s="359" t="s">
        <v>217</v>
      </c>
      <c r="D13" s="362" t="s">
        <v>1204</v>
      </c>
      <c r="E13" s="358" t="s">
        <v>1205</v>
      </c>
      <c r="F13" s="356"/>
      <c r="G13" s="356" t="s">
        <v>4</v>
      </c>
      <c r="H13" s="356" t="s">
        <v>206</v>
      </c>
      <c r="I13" s="356" t="s">
        <v>6</v>
      </c>
      <c r="J13" s="356" t="s">
        <v>5</v>
      </c>
      <c r="K13" s="356" t="s">
        <v>1186</v>
      </c>
      <c r="L13" s="356" t="s">
        <v>144</v>
      </c>
      <c r="M13" s="359">
        <v>2</v>
      </c>
      <c r="N13" s="359"/>
      <c r="O13" s="359"/>
      <c r="P13" s="359"/>
      <c r="Q13" s="359"/>
      <c r="R13" s="359"/>
      <c r="S13" s="359"/>
      <c r="T13" s="359"/>
      <c r="U13" s="360"/>
      <c r="V13" s="359"/>
      <c r="W13" s="359"/>
      <c r="X13" s="359"/>
      <c r="Y13" s="359"/>
      <c r="Z13" s="359"/>
      <c r="AA13" s="359"/>
      <c r="AB13" s="359"/>
      <c r="AC13" s="359"/>
      <c r="AD13" s="359"/>
      <c r="AE13" s="223"/>
    </row>
    <row r="14" spans="1:31" ht="104.65">
      <c r="A14" s="347" t="s">
        <v>130</v>
      </c>
      <c r="B14" s="348"/>
      <c r="C14" s="349" t="s">
        <v>217</v>
      </c>
      <c r="D14" s="350" t="s">
        <v>1206</v>
      </c>
      <c r="E14" s="351" t="s">
        <v>1207</v>
      </c>
      <c r="F14" s="349"/>
      <c r="G14" s="349" t="s">
        <v>53</v>
      </c>
      <c r="H14" s="349" t="s">
        <v>206</v>
      </c>
      <c r="I14" s="349" t="s">
        <v>55</v>
      </c>
      <c r="J14" s="349" t="s">
        <v>54</v>
      </c>
      <c r="K14" s="349" t="s">
        <v>1186</v>
      </c>
      <c r="L14" s="349" t="s">
        <v>144</v>
      </c>
      <c r="M14" s="352">
        <v>4</v>
      </c>
      <c r="N14" s="352"/>
      <c r="O14" s="352"/>
      <c r="P14" s="352"/>
      <c r="Q14" s="352"/>
      <c r="R14" s="352"/>
      <c r="S14" s="352"/>
      <c r="T14" s="352"/>
      <c r="U14" s="353"/>
      <c r="V14" s="352"/>
      <c r="W14" s="352"/>
      <c r="X14" s="352"/>
      <c r="Y14" s="352"/>
      <c r="Z14" s="352"/>
      <c r="AA14" s="352"/>
      <c r="AB14" s="352"/>
      <c r="AC14" s="352"/>
      <c r="AD14" s="352"/>
      <c r="AE14" s="214"/>
    </row>
    <row r="15" spans="1:31" ht="58.15">
      <c r="A15" s="354" t="s">
        <v>130</v>
      </c>
      <c r="B15" s="355"/>
      <c r="C15" s="356" t="s">
        <v>217</v>
      </c>
      <c r="D15" s="357" t="s">
        <v>1208</v>
      </c>
      <c r="E15" s="358" t="s">
        <v>1209</v>
      </c>
      <c r="F15" s="356"/>
      <c r="G15" s="356" t="s">
        <v>4</v>
      </c>
      <c r="H15" s="356" t="s">
        <v>206</v>
      </c>
      <c r="I15" s="356" t="s">
        <v>6</v>
      </c>
      <c r="J15" s="356" t="s">
        <v>5</v>
      </c>
      <c r="K15" s="356" t="s">
        <v>1186</v>
      </c>
      <c r="L15" s="356" t="s">
        <v>144</v>
      </c>
      <c r="M15" s="359">
        <v>23</v>
      </c>
      <c r="N15" s="359"/>
      <c r="O15" s="359"/>
      <c r="P15" s="359"/>
      <c r="Q15" s="359"/>
      <c r="R15" s="359"/>
      <c r="S15" s="359"/>
      <c r="T15" s="359"/>
      <c r="U15" s="360"/>
      <c r="V15" s="359"/>
      <c r="W15" s="359"/>
      <c r="X15" s="359"/>
      <c r="Y15" s="359"/>
      <c r="Z15" s="359"/>
      <c r="AA15" s="359"/>
      <c r="AB15" s="359"/>
      <c r="AC15" s="359"/>
      <c r="AD15" s="359"/>
      <c r="AE15" s="223"/>
    </row>
    <row r="16" spans="1:31" ht="116.25">
      <c r="A16" s="347" t="s">
        <v>130</v>
      </c>
      <c r="B16" s="348"/>
      <c r="C16" s="349" t="s">
        <v>217</v>
      </c>
      <c r="D16" s="364" t="s">
        <v>1210</v>
      </c>
      <c r="E16" s="365" t="s">
        <v>1211</v>
      </c>
      <c r="F16" s="349" t="s">
        <v>1212</v>
      </c>
      <c r="G16" s="349" t="s">
        <v>4</v>
      </c>
      <c r="H16" s="349" t="s">
        <v>206</v>
      </c>
      <c r="I16" s="349" t="s">
        <v>10</v>
      </c>
      <c r="J16" s="349" t="s">
        <v>9</v>
      </c>
      <c r="K16" s="349" t="s">
        <v>1186</v>
      </c>
      <c r="L16" s="349" t="s">
        <v>144</v>
      </c>
      <c r="M16" s="352"/>
      <c r="N16" s="352"/>
      <c r="O16" s="352"/>
      <c r="P16" s="352"/>
      <c r="Q16" s="352"/>
      <c r="R16" s="352"/>
      <c r="S16" s="352"/>
      <c r="T16" s="352"/>
      <c r="U16" s="353"/>
      <c r="V16" s="352"/>
      <c r="W16" s="352"/>
      <c r="X16" s="370"/>
      <c r="Y16" s="370"/>
      <c r="Z16" s="370"/>
      <c r="AA16" s="370"/>
      <c r="AB16" s="370"/>
      <c r="AC16" s="370"/>
      <c r="AD16" s="352"/>
      <c r="AE16" s="256"/>
    </row>
    <row r="17" spans="1:31" ht="232.5">
      <c r="A17" s="354" t="s">
        <v>130</v>
      </c>
      <c r="B17" s="355"/>
      <c r="C17" s="356" t="s">
        <v>217</v>
      </c>
      <c r="D17" s="366" t="s">
        <v>1213</v>
      </c>
      <c r="E17" s="358" t="s">
        <v>1214</v>
      </c>
      <c r="F17" s="356"/>
      <c r="G17" s="356" t="s">
        <v>53</v>
      </c>
      <c r="H17" s="356" t="s">
        <v>206</v>
      </c>
      <c r="I17" s="356" t="s">
        <v>55</v>
      </c>
      <c r="J17" s="356" t="s">
        <v>54</v>
      </c>
      <c r="K17" s="356" t="s">
        <v>1186</v>
      </c>
      <c r="L17" s="356" t="s">
        <v>144</v>
      </c>
      <c r="M17" s="359">
        <v>1</v>
      </c>
      <c r="N17" s="359"/>
      <c r="O17" s="359"/>
      <c r="P17" s="359"/>
      <c r="Q17" s="359"/>
      <c r="R17" s="359">
        <v>1</v>
      </c>
      <c r="S17" s="359">
        <v>0</v>
      </c>
      <c r="T17" s="359"/>
      <c r="U17" s="360"/>
      <c r="V17" s="359"/>
      <c r="W17" s="359"/>
      <c r="X17" s="359"/>
      <c r="Y17" s="359"/>
      <c r="Z17" s="359"/>
      <c r="AA17" s="359"/>
      <c r="AB17" s="359"/>
      <c r="AC17" s="359"/>
      <c r="AD17" s="359" t="s">
        <v>217</v>
      </c>
      <c r="AE17" s="223"/>
    </row>
    <row r="18" spans="1:31" ht="139.5">
      <c r="A18" s="347" t="s">
        <v>130</v>
      </c>
      <c r="B18" s="348"/>
      <c r="C18" s="349" t="s">
        <v>217</v>
      </c>
      <c r="D18" s="367" t="s">
        <v>1215</v>
      </c>
      <c r="E18" s="351" t="s">
        <v>1216</v>
      </c>
      <c r="F18" s="349"/>
      <c r="G18" s="349" t="s">
        <v>72</v>
      </c>
      <c r="H18" s="349" t="s">
        <v>206</v>
      </c>
      <c r="I18" s="349" t="s">
        <v>76</v>
      </c>
      <c r="J18" s="349" t="s">
        <v>1217</v>
      </c>
      <c r="K18" s="349" t="s">
        <v>1186</v>
      </c>
      <c r="L18" s="349" t="s">
        <v>144</v>
      </c>
      <c r="M18" s="352" t="s">
        <v>221</v>
      </c>
      <c r="N18" s="352" t="s">
        <v>221</v>
      </c>
      <c r="O18" s="352"/>
      <c r="P18" s="368" t="s">
        <v>1218</v>
      </c>
      <c r="Q18" s="352">
        <v>10</v>
      </c>
      <c r="R18" s="352">
        <v>1</v>
      </c>
      <c r="S18" s="352">
        <v>550</v>
      </c>
      <c r="T18" s="352"/>
      <c r="U18" s="353">
        <v>6140</v>
      </c>
      <c r="V18" s="352"/>
      <c r="W18" s="352"/>
      <c r="X18" s="370">
        <v>45505</v>
      </c>
      <c r="Y18" s="370">
        <v>45566</v>
      </c>
      <c r="Z18" s="370">
        <v>45566</v>
      </c>
      <c r="AA18" s="370">
        <v>45572</v>
      </c>
      <c r="AB18" s="370">
        <v>45579</v>
      </c>
      <c r="AC18" s="370">
        <v>45220</v>
      </c>
      <c r="AD18" s="352" t="s">
        <v>1219</v>
      </c>
      <c r="AE18" s="214"/>
    </row>
    <row r="19" spans="1:31" ht="46.5">
      <c r="A19" s="354" t="s">
        <v>130</v>
      </c>
      <c r="B19" s="355"/>
      <c r="C19" s="356" t="s">
        <v>217</v>
      </c>
      <c r="D19" s="371" t="s">
        <v>1220</v>
      </c>
      <c r="E19" s="372" t="s">
        <v>1221</v>
      </c>
      <c r="F19" s="356"/>
      <c r="G19" s="356" t="s">
        <v>4</v>
      </c>
      <c r="H19" s="357" t="s">
        <v>206</v>
      </c>
      <c r="I19" s="356" t="s">
        <v>1222</v>
      </c>
      <c r="J19" s="356" t="s">
        <v>9</v>
      </c>
      <c r="K19" s="356" t="s">
        <v>1186</v>
      </c>
      <c r="L19" s="356" t="s">
        <v>144</v>
      </c>
      <c r="M19" s="359"/>
      <c r="N19" s="359"/>
      <c r="O19" s="359"/>
      <c r="P19" s="359"/>
      <c r="Q19" s="359"/>
      <c r="R19" s="359"/>
      <c r="S19" s="359"/>
      <c r="T19" s="359"/>
      <c r="U19" s="360"/>
      <c r="V19" s="359"/>
      <c r="W19" s="359"/>
      <c r="X19" s="359"/>
      <c r="Y19" s="359"/>
      <c r="Z19" s="359"/>
      <c r="AA19" s="359"/>
      <c r="AB19" s="359"/>
      <c r="AC19" s="359"/>
      <c r="AD19" s="359"/>
      <c r="AE19" s="223"/>
    </row>
    <row r="20" spans="1:31" ht="127.9">
      <c r="A20" s="373" t="s">
        <v>251</v>
      </c>
      <c r="B20" s="374"/>
      <c r="C20" s="349" t="s">
        <v>217</v>
      </c>
      <c r="D20" s="350" t="s">
        <v>1223</v>
      </c>
      <c r="E20" s="351" t="s">
        <v>1224</v>
      </c>
      <c r="F20" s="349"/>
      <c r="G20" s="375" t="s">
        <v>4</v>
      </c>
      <c r="H20" s="376" t="s">
        <v>206</v>
      </c>
      <c r="I20" s="375" t="s">
        <v>1222</v>
      </c>
      <c r="J20" s="375" t="s">
        <v>9</v>
      </c>
      <c r="K20" s="375" t="s">
        <v>1186</v>
      </c>
      <c r="L20" s="375" t="s">
        <v>197</v>
      </c>
      <c r="M20" s="368"/>
      <c r="N20" s="368"/>
      <c r="O20" s="368"/>
      <c r="P20" s="368"/>
      <c r="Q20" s="368"/>
      <c r="R20" s="368"/>
      <c r="S20" s="368"/>
      <c r="T20" s="368"/>
      <c r="U20" s="377"/>
      <c r="V20" s="368"/>
      <c r="W20" s="352"/>
      <c r="X20" s="378"/>
      <c r="Y20" s="378"/>
      <c r="Z20" s="378"/>
      <c r="AA20" s="378"/>
      <c r="AB20" s="378"/>
      <c r="AC20" s="378"/>
      <c r="AD20" s="368"/>
      <c r="AE20" s="379"/>
    </row>
  </sheetData>
  <autoFilter ref="D1:AE1" xr:uid="{E2B133BD-8A09-4F5F-B4D3-A933BB128CBE}"/>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065A-6669-4A5B-BF38-36B4476F568A}">
  <sheetPr>
    <tabColor rgb="FFFFFF00"/>
  </sheetPr>
  <dimension ref="A2:N23"/>
  <sheetViews>
    <sheetView zoomScale="85" zoomScaleNormal="128" workbookViewId="0">
      <selection activeCell="E15" sqref="E15"/>
    </sheetView>
  </sheetViews>
  <sheetFormatPr baseColWidth="10" defaultColWidth="11.3984375" defaultRowHeight="14.25"/>
  <cols>
    <col min="1" max="1" width="17.86328125" bestFit="1" customWidth="1"/>
    <col min="2" max="2" width="22.86328125" bestFit="1" customWidth="1"/>
    <col min="3" max="5" width="3.59765625" bestFit="1" customWidth="1"/>
    <col min="6" max="7" width="12.59765625" bestFit="1" customWidth="1"/>
    <col min="9" max="9" width="17.86328125" bestFit="1" customWidth="1"/>
    <col min="10" max="10" width="22.86328125" bestFit="1" customWidth="1"/>
    <col min="11" max="13" width="8.3984375" bestFit="1" customWidth="1"/>
    <col min="14" max="15" width="12.59765625" bestFit="1" customWidth="1"/>
  </cols>
  <sheetData>
    <row r="2" spans="1:14">
      <c r="I2" s="2" t="s">
        <v>83</v>
      </c>
      <c r="J2" t="s">
        <v>82</v>
      </c>
    </row>
    <row r="3" spans="1:14">
      <c r="A3" s="2" t="s">
        <v>94</v>
      </c>
      <c r="B3" t="s">
        <v>328</v>
      </c>
      <c r="I3" s="2" t="s">
        <v>94</v>
      </c>
      <c r="J3" t="s">
        <v>328</v>
      </c>
    </row>
    <row r="4" spans="1:14">
      <c r="A4" s="2" t="s">
        <v>84</v>
      </c>
      <c r="B4" t="s">
        <v>1117</v>
      </c>
      <c r="I4" s="2" t="s">
        <v>84</v>
      </c>
      <c r="J4" t="s">
        <v>1117</v>
      </c>
    </row>
    <row r="6" spans="1:14">
      <c r="B6" s="2" t="s">
        <v>1118</v>
      </c>
      <c r="I6" s="2" t="s">
        <v>1113</v>
      </c>
      <c r="J6" s="2" t="s">
        <v>1118</v>
      </c>
    </row>
    <row r="7" spans="1:14">
      <c r="A7" s="2" t="s">
        <v>1112</v>
      </c>
      <c r="B7" s="28" t="s">
        <v>152</v>
      </c>
      <c r="C7" s="28" t="s">
        <v>145</v>
      </c>
      <c r="D7" s="28" t="s">
        <v>221</v>
      </c>
      <c r="E7" s="28" t="s">
        <v>320</v>
      </c>
      <c r="F7" s="28" t="s">
        <v>1115</v>
      </c>
      <c r="I7" s="2" t="s">
        <v>1112</v>
      </c>
      <c r="J7" s="4" t="s">
        <v>152</v>
      </c>
      <c r="K7" s="4" t="s">
        <v>145</v>
      </c>
      <c r="L7" s="4" t="s">
        <v>221</v>
      </c>
      <c r="M7" s="4" t="s">
        <v>320</v>
      </c>
      <c r="N7" s="4" t="s">
        <v>1115</v>
      </c>
    </row>
    <row r="8" spans="1:14">
      <c r="A8" s="452" t="s">
        <v>146</v>
      </c>
      <c r="B8" s="28"/>
      <c r="C8" s="28"/>
      <c r="D8" s="28"/>
      <c r="E8" s="28"/>
      <c r="F8" s="28"/>
      <c r="I8" s="452" t="s">
        <v>146</v>
      </c>
      <c r="J8" s="333">
        <v>16480</v>
      </c>
      <c r="K8" s="333">
        <v>36038.36</v>
      </c>
      <c r="L8" s="333">
        <v>8380</v>
      </c>
      <c r="M8" s="333">
        <v>28070</v>
      </c>
      <c r="N8" s="333">
        <v>88968.36</v>
      </c>
    </row>
    <row r="9" spans="1:14">
      <c r="A9" s="3" t="s">
        <v>136</v>
      </c>
      <c r="B9" s="28"/>
      <c r="C9" s="28"/>
      <c r="D9" s="28"/>
      <c r="E9" s="28"/>
      <c r="F9" s="28"/>
      <c r="I9" s="3" t="s">
        <v>136</v>
      </c>
      <c r="J9" s="333">
        <v>51820</v>
      </c>
      <c r="K9" s="333">
        <v>8680</v>
      </c>
      <c r="L9" s="333">
        <v>44670</v>
      </c>
      <c r="M9" s="333"/>
      <c r="N9" s="333">
        <v>105170</v>
      </c>
    </row>
    <row r="10" spans="1:14">
      <c r="A10" s="3" t="s">
        <v>210</v>
      </c>
      <c r="B10" s="28"/>
      <c r="C10" s="28"/>
      <c r="D10" s="28"/>
      <c r="E10" s="28"/>
      <c r="F10" s="28"/>
      <c r="I10" s="3" t="s">
        <v>210</v>
      </c>
      <c r="J10" s="333"/>
      <c r="K10" s="333">
        <v>5000</v>
      </c>
      <c r="L10" s="333">
        <v>2290</v>
      </c>
      <c r="M10" s="333"/>
      <c r="N10" s="333">
        <v>7290</v>
      </c>
    </row>
    <row r="11" spans="1:14">
      <c r="A11" s="3" t="s">
        <v>1115</v>
      </c>
      <c r="B11" s="28"/>
      <c r="C11" s="28"/>
      <c r="D11" s="28"/>
      <c r="E11" s="28"/>
      <c r="F11" s="28"/>
      <c r="I11" s="3" t="s">
        <v>1115</v>
      </c>
      <c r="J11" s="333">
        <v>68300</v>
      </c>
      <c r="K11" s="333">
        <v>49718.36</v>
      </c>
      <c r="L11" s="333">
        <v>55340</v>
      </c>
      <c r="M11" s="333">
        <v>28070</v>
      </c>
      <c r="N11" s="333">
        <v>201428.36</v>
      </c>
    </row>
    <row r="14" spans="1:14">
      <c r="A14" s="3"/>
      <c r="B14" s="28"/>
      <c r="C14" s="28"/>
      <c r="D14" s="28"/>
    </row>
    <row r="15" spans="1:14">
      <c r="A15" s="2" t="s">
        <v>83</v>
      </c>
      <c r="B15" t="s">
        <v>1117</v>
      </c>
    </row>
    <row r="16" spans="1:14">
      <c r="A16" s="2" t="s">
        <v>94</v>
      </c>
      <c r="B16" t="s">
        <v>328</v>
      </c>
    </row>
    <row r="18" spans="1:3">
      <c r="A18" s="2" t="s">
        <v>1112</v>
      </c>
      <c r="B18" t="s">
        <v>1128</v>
      </c>
      <c r="C18" t="s">
        <v>1130</v>
      </c>
    </row>
    <row r="19" spans="1:3">
      <c r="A19" s="3" t="s">
        <v>131</v>
      </c>
      <c r="B19" s="127">
        <v>75318.36</v>
      </c>
      <c r="C19" s="29">
        <v>0.37392132865501165</v>
      </c>
    </row>
    <row r="20" spans="1:3">
      <c r="A20" s="3" t="s">
        <v>134</v>
      </c>
      <c r="B20" s="127">
        <v>57500</v>
      </c>
      <c r="C20" s="29">
        <v>0.28546129254093122</v>
      </c>
    </row>
    <row r="21" spans="1:3">
      <c r="A21" s="3" t="s">
        <v>212</v>
      </c>
      <c r="B21" s="127">
        <v>45630</v>
      </c>
      <c r="C21" s="29">
        <v>0.22653215267204679</v>
      </c>
    </row>
    <row r="22" spans="1:3">
      <c r="A22" s="3" t="s">
        <v>218</v>
      </c>
      <c r="B22" s="127">
        <v>22980</v>
      </c>
      <c r="C22" s="29">
        <v>0.11408522613201041</v>
      </c>
    </row>
    <row r="23" spans="1:3">
      <c r="A23" s="3" t="s">
        <v>1115</v>
      </c>
      <c r="B23" s="127">
        <v>201428.36</v>
      </c>
      <c r="C23" s="29">
        <v>1</v>
      </c>
    </row>
  </sheetData>
  <pageMargins left="0.7" right="0.7" top="0.75" bottom="0.75" header="0.3" footer="0.3"/>
  <pageSetup paperSize="9" orientation="portrait"/>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147A9-E3E0-48E9-ACBA-226AA28C8C5E}">
  <dimension ref="A1:F38"/>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ColWidth="10.86328125" defaultRowHeight="13.5"/>
  <cols>
    <col min="1" max="1" width="2.1328125" style="303" customWidth="1"/>
    <col min="2" max="2" width="113.3984375" style="303" customWidth="1"/>
    <col min="3" max="3" width="16" style="303" customWidth="1"/>
    <col min="4" max="4" width="8" style="303" bestFit="1" customWidth="1"/>
    <col min="5" max="5" width="48.73046875" style="303" bestFit="1" customWidth="1"/>
    <col min="6" max="16384" width="10.86328125" style="303"/>
  </cols>
  <sheetData>
    <row r="1" spans="1:6" ht="25.15">
      <c r="A1" s="312" t="s">
        <v>1225</v>
      </c>
    </row>
    <row r="2" spans="1:6" ht="13.9" thickBot="1"/>
    <row r="3" spans="1:6" ht="13.9">
      <c r="B3" s="311" t="s">
        <v>1226</v>
      </c>
      <c r="C3" s="310" t="s">
        <v>96</v>
      </c>
      <c r="D3" s="309" t="s">
        <v>1227</v>
      </c>
      <c r="E3" s="308" t="s">
        <v>1228</v>
      </c>
      <c r="F3" s="308" t="s">
        <v>1229</v>
      </c>
    </row>
    <row r="4" spans="1:6">
      <c r="A4" s="314">
        <v>1</v>
      </c>
      <c r="B4" s="470" t="s">
        <v>454</v>
      </c>
      <c r="C4" s="314" t="s">
        <v>1230</v>
      </c>
      <c r="D4" s="314" t="s">
        <v>139</v>
      </c>
      <c r="E4" s="314" t="s">
        <v>1231</v>
      </c>
      <c r="F4" s="314"/>
    </row>
    <row r="5" spans="1:6">
      <c r="A5" s="314">
        <v>1</v>
      </c>
      <c r="B5" s="314" t="s">
        <v>1232</v>
      </c>
      <c r="C5" s="314" t="s">
        <v>1233</v>
      </c>
      <c r="D5" s="314" t="s">
        <v>1234</v>
      </c>
      <c r="E5" s="314" t="s">
        <v>916</v>
      </c>
      <c r="F5" s="314" t="s">
        <v>1235</v>
      </c>
    </row>
    <row r="6" spans="1:6">
      <c r="A6" s="314">
        <v>1</v>
      </c>
      <c r="B6" s="314" t="s">
        <v>1236</v>
      </c>
      <c r="C6" s="314" t="s">
        <v>1233</v>
      </c>
      <c r="D6" s="314" t="s">
        <v>1234</v>
      </c>
      <c r="E6" s="314" t="s">
        <v>170</v>
      </c>
      <c r="F6" s="314"/>
    </row>
    <row r="7" spans="1:6">
      <c r="A7" s="314">
        <v>1</v>
      </c>
      <c r="B7" s="314" t="s">
        <v>1237</v>
      </c>
      <c r="C7" s="314" t="s">
        <v>1233</v>
      </c>
      <c r="D7" s="314" t="s">
        <v>1234</v>
      </c>
      <c r="E7" s="314" t="s">
        <v>1238</v>
      </c>
      <c r="F7" s="314" t="s">
        <v>1239</v>
      </c>
    </row>
    <row r="8" spans="1:6" ht="14.25">
      <c r="A8" s="33">
        <v>1</v>
      </c>
      <c r="B8" s="298" t="s">
        <v>471</v>
      </c>
      <c r="C8" s="314" t="s">
        <v>1240</v>
      </c>
      <c r="D8" s="314" t="s">
        <v>139</v>
      </c>
      <c r="E8" s="314"/>
      <c r="F8" s="314"/>
    </row>
    <row r="9" spans="1:6" ht="40.5">
      <c r="A9" s="314">
        <v>2</v>
      </c>
      <c r="B9" s="315" t="s">
        <v>1241</v>
      </c>
      <c r="C9" s="316" t="s">
        <v>1230</v>
      </c>
      <c r="D9" s="316" t="s">
        <v>139</v>
      </c>
      <c r="E9" s="314" t="s">
        <v>1231</v>
      </c>
      <c r="F9" s="314"/>
    </row>
    <row r="10" spans="1:6">
      <c r="A10" s="314">
        <v>2</v>
      </c>
      <c r="B10" s="314" t="s">
        <v>452</v>
      </c>
      <c r="C10" s="314" t="s">
        <v>1230</v>
      </c>
      <c r="D10" s="314" t="s">
        <v>139</v>
      </c>
      <c r="E10" s="314" t="s">
        <v>459</v>
      </c>
      <c r="F10" s="314"/>
    </row>
    <row r="11" spans="1:6">
      <c r="A11" s="314">
        <v>2</v>
      </c>
      <c r="B11" s="314" t="s">
        <v>1242</v>
      </c>
      <c r="C11" s="314" t="s">
        <v>1230</v>
      </c>
      <c r="D11" s="314" t="s">
        <v>139</v>
      </c>
      <c r="E11" s="314" t="s">
        <v>1243</v>
      </c>
      <c r="F11" s="314"/>
    </row>
    <row r="12" spans="1:6" ht="40.5">
      <c r="A12" s="314">
        <v>2</v>
      </c>
      <c r="B12" s="316" t="s">
        <v>449</v>
      </c>
      <c r="C12" s="316" t="s">
        <v>1244</v>
      </c>
      <c r="D12" s="316" t="s">
        <v>139</v>
      </c>
      <c r="E12" s="317" t="s">
        <v>733</v>
      </c>
      <c r="F12" s="314"/>
    </row>
    <row r="13" spans="1:6" ht="33" customHeight="1">
      <c r="A13" s="314">
        <v>2</v>
      </c>
      <c r="B13" s="314" t="s">
        <v>1245</v>
      </c>
      <c r="C13" s="314" t="s">
        <v>1246</v>
      </c>
      <c r="D13" s="316" t="s">
        <v>139</v>
      </c>
      <c r="E13" s="317" t="s">
        <v>465</v>
      </c>
      <c r="F13" s="314"/>
    </row>
    <row r="14" spans="1:6" ht="27">
      <c r="A14" s="314">
        <v>2</v>
      </c>
      <c r="B14" s="315" t="s">
        <v>1247</v>
      </c>
      <c r="C14" s="314" t="s">
        <v>1244</v>
      </c>
      <c r="D14" s="314" t="s">
        <v>139</v>
      </c>
      <c r="E14" s="33" t="s">
        <v>462</v>
      </c>
      <c r="F14" s="304" t="s">
        <v>1248</v>
      </c>
    </row>
    <row r="15" spans="1:6" ht="14.25">
      <c r="A15" s="33">
        <v>2</v>
      </c>
      <c r="B15" s="298" t="s">
        <v>1249</v>
      </c>
      <c r="C15" s="314" t="s">
        <v>1240</v>
      </c>
      <c r="D15" s="314" t="s">
        <v>139</v>
      </c>
      <c r="E15" s="33" t="s">
        <v>1250</v>
      </c>
      <c r="F15" s="304" t="s">
        <v>218</v>
      </c>
    </row>
    <row r="16" spans="1:6" ht="14.25">
      <c r="A16" s="33">
        <v>2</v>
      </c>
      <c r="B16" s="298" t="s">
        <v>477</v>
      </c>
      <c r="C16" s="314" t="s">
        <v>1240</v>
      </c>
      <c r="D16" s="314" t="s">
        <v>139</v>
      </c>
      <c r="E16" s="33" t="s">
        <v>1251</v>
      </c>
      <c r="F16" s="304" t="s">
        <v>1248</v>
      </c>
    </row>
    <row r="17" spans="1:6" ht="14.25">
      <c r="A17" s="33">
        <v>3</v>
      </c>
      <c r="B17" s="298" t="s">
        <v>482</v>
      </c>
      <c r="C17" s="314" t="s">
        <v>1240</v>
      </c>
      <c r="D17" s="314" t="s">
        <v>139</v>
      </c>
      <c r="E17" s="302" t="s">
        <v>1252</v>
      </c>
      <c r="F17" s="307" t="s">
        <v>1253</v>
      </c>
    </row>
    <row r="18" spans="1:6" ht="14.25">
      <c r="A18" s="33">
        <v>3</v>
      </c>
      <c r="B18" s="298" t="s">
        <v>918</v>
      </c>
      <c r="C18" s="314" t="s">
        <v>1240</v>
      </c>
      <c r="D18" s="314" t="s">
        <v>139</v>
      </c>
      <c r="E18" s="302" t="s">
        <v>1254</v>
      </c>
      <c r="F18" s="307" t="s">
        <v>1255</v>
      </c>
    </row>
    <row r="19" spans="1:6" ht="14.25">
      <c r="A19" s="314"/>
      <c r="B19" s="297" t="s">
        <v>1256</v>
      </c>
      <c r="C19" s="314" t="s">
        <v>1240</v>
      </c>
      <c r="D19" s="314" t="s">
        <v>139</v>
      </c>
      <c r="E19" s="33" t="s">
        <v>1257</v>
      </c>
      <c r="F19" s="304" t="s">
        <v>1248</v>
      </c>
    </row>
    <row r="20" spans="1:6" ht="26.65">
      <c r="A20" s="314"/>
      <c r="B20" s="298" t="s">
        <v>1258</v>
      </c>
      <c r="C20" s="314" t="s">
        <v>1240</v>
      </c>
      <c r="D20" s="314" t="s">
        <v>139</v>
      </c>
      <c r="E20" s="299" t="s">
        <v>1259</v>
      </c>
      <c r="F20" s="305" t="s">
        <v>1260</v>
      </c>
    </row>
    <row r="21" spans="1:6" ht="14.25">
      <c r="A21" s="314"/>
      <c r="B21" s="298" t="s">
        <v>1261</v>
      </c>
      <c r="C21" s="314" t="s">
        <v>1240</v>
      </c>
      <c r="D21" s="314" t="s">
        <v>139</v>
      </c>
      <c r="E21" s="299" t="s">
        <v>1262</v>
      </c>
      <c r="F21" s="305" t="s">
        <v>1263</v>
      </c>
    </row>
    <row r="22" spans="1:6" ht="14.25">
      <c r="A22" s="314"/>
      <c r="B22" s="301" t="s">
        <v>1264</v>
      </c>
      <c r="C22" s="314" t="s">
        <v>1240</v>
      </c>
      <c r="D22" s="314" t="s">
        <v>139</v>
      </c>
      <c r="E22" s="299" t="s">
        <v>1262</v>
      </c>
      <c r="F22" s="305" t="s">
        <v>1265</v>
      </c>
    </row>
    <row r="23" spans="1:6" ht="14.25">
      <c r="A23" s="314"/>
      <c r="B23" s="301" t="s">
        <v>1266</v>
      </c>
      <c r="C23" s="314" t="s">
        <v>1240</v>
      </c>
      <c r="D23" s="314" t="s">
        <v>139</v>
      </c>
      <c r="E23" s="299" t="s">
        <v>1262</v>
      </c>
      <c r="F23" s="305" t="s">
        <v>1265</v>
      </c>
    </row>
    <row r="24" spans="1:6" ht="14.25">
      <c r="A24" s="314"/>
      <c r="B24" s="297" t="s">
        <v>1267</v>
      </c>
      <c r="C24" s="314" t="s">
        <v>1240</v>
      </c>
      <c r="D24" s="314" t="s">
        <v>139</v>
      </c>
      <c r="E24" s="299" t="s">
        <v>1262</v>
      </c>
      <c r="F24" s="305" t="s">
        <v>1265</v>
      </c>
    </row>
    <row r="25" spans="1:6" ht="14.25">
      <c r="A25" s="314"/>
      <c r="B25" s="300" t="s">
        <v>1268</v>
      </c>
      <c r="C25" s="314" t="s">
        <v>1240</v>
      </c>
      <c r="D25" s="314" t="s">
        <v>139</v>
      </c>
      <c r="E25" s="33" t="s">
        <v>1269</v>
      </c>
      <c r="F25" s="304" t="s">
        <v>1248</v>
      </c>
    </row>
    <row r="26" spans="1:6" ht="14.25">
      <c r="A26" s="314"/>
      <c r="B26" s="300" t="s">
        <v>1270</v>
      </c>
      <c r="C26" s="314" t="s">
        <v>1240</v>
      </c>
      <c r="D26" s="314" t="s">
        <v>139</v>
      </c>
      <c r="E26" s="33" t="s">
        <v>1271</v>
      </c>
      <c r="F26" s="304" t="s">
        <v>1248</v>
      </c>
    </row>
    <row r="27" spans="1:6" ht="14.25">
      <c r="A27" s="314"/>
      <c r="B27" s="306" t="s">
        <v>1272</v>
      </c>
      <c r="C27" s="314" t="s">
        <v>1240</v>
      </c>
      <c r="D27" s="314" t="s">
        <v>139</v>
      </c>
      <c r="E27" s="33" t="s">
        <v>1273</v>
      </c>
      <c r="F27" s="304" t="s">
        <v>1248</v>
      </c>
    </row>
    <row r="28" spans="1:6" ht="14.25">
      <c r="A28" s="314"/>
      <c r="B28" s="306" t="s">
        <v>1274</v>
      </c>
      <c r="C28" s="314" t="s">
        <v>1240</v>
      </c>
      <c r="D28" s="314" t="s">
        <v>139</v>
      </c>
      <c r="E28" s="33" t="s">
        <v>930</v>
      </c>
      <c r="F28" s="304" t="s">
        <v>1265</v>
      </c>
    </row>
    <row r="29" spans="1:6" ht="14.25">
      <c r="A29" s="314"/>
      <c r="B29" s="306" t="s">
        <v>1275</v>
      </c>
      <c r="C29" s="314" t="s">
        <v>1240</v>
      </c>
      <c r="D29" s="314" t="s">
        <v>139</v>
      </c>
      <c r="E29" s="33" t="s">
        <v>497</v>
      </c>
      <c r="F29" s="304" t="s">
        <v>218</v>
      </c>
    </row>
    <row r="30" spans="1:6" ht="14.25">
      <c r="A30" s="314"/>
      <c r="B30" s="295" t="s">
        <v>1276</v>
      </c>
      <c r="C30" s="314" t="s">
        <v>1240</v>
      </c>
      <c r="D30" s="314" t="s">
        <v>139</v>
      </c>
      <c r="E30" s="33" t="s">
        <v>1277</v>
      </c>
      <c r="F30" s="304" t="s">
        <v>1248</v>
      </c>
    </row>
    <row r="31" spans="1:6" ht="14.25">
      <c r="A31" s="314"/>
      <c r="B31" s="297" t="s">
        <v>1278</v>
      </c>
      <c r="C31" s="314" t="s">
        <v>1240</v>
      </c>
      <c r="D31" s="314" t="s">
        <v>139</v>
      </c>
      <c r="E31" s="33" t="s">
        <v>1271</v>
      </c>
      <c r="F31" s="304" t="s">
        <v>1248</v>
      </c>
    </row>
    <row r="32" spans="1:6" ht="14.25">
      <c r="A32" s="314"/>
      <c r="B32" s="298" t="s">
        <v>1279</v>
      </c>
      <c r="C32" s="314" t="s">
        <v>1240</v>
      </c>
      <c r="D32" s="314" t="s">
        <v>139</v>
      </c>
      <c r="E32" s="33" t="s">
        <v>1280</v>
      </c>
      <c r="F32" s="304" t="s">
        <v>1248</v>
      </c>
    </row>
    <row r="33" spans="1:6" ht="14.25">
      <c r="A33" s="314"/>
      <c r="B33" s="295" t="s">
        <v>1281</v>
      </c>
      <c r="C33" s="314" t="s">
        <v>1240</v>
      </c>
      <c r="D33" s="314" t="s">
        <v>139</v>
      </c>
      <c r="E33" s="33" t="s">
        <v>1282</v>
      </c>
      <c r="F33" s="304" t="s">
        <v>1283</v>
      </c>
    </row>
    <row r="34" spans="1:6" ht="13.9">
      <c r="A34" s="314"/>
      <c r="B34" s="295" t="s">
        <v>1284</v>
      </c>
      <c r="C34" s="314" t="s">
        <v>1240</v>
      </c>
      <c r="D34" s="314" t="s">
        <v>139</v>
      </c>
      <c r="E34" s="304" t="s">
        <v>1285</v>
      </c>
      <c r="F34" s="313" t="s">
        <v>1248</v>
      </c>
    </row>
    <row r="35" spans="1:6" ht="13.9">
      <c r="A35" s="314"/>
      <c r="B35" s="295" t="s">
        <v>1286</v>
      </c>
      <c r="C35" s="314" t="s">
        <v>1240</v>
      </c>
      <c r="D35" s="314" t="s">
        <v>139</v>
      </c>
      <c r="E35" s="304" t="s">
        <v>1285</v>
      </c>
      <c r="F35" s="313" t="s">
        <v>1248</v>
      </c>
    </row>
    <row r="36" spans="1:6" ht="13.9">
      <c r="A36" s="314"/>
      <c r="B36" s="298" t="s">
        <v>1287</v>
      </c>
      <c r="C36" s="314" t="s">
        <v>1240</v>
      </c>
      <c r="D36" s="314" t="s">
        <v>139</v>
      </c>
      <c r="E36" s="304" t="s">
        <v>1285</v>
      </c>
      <c r="F36" s="313" t="s">
        <v>1248</v>
      </c>
    </row>
    <row r="37" spans="1:6" ht="13.9">
      <c r="A37" s="314"/>
      <c r="B37" s="298" t="s">
        <v>1288</v>
      </c>
      <c r="C37" s="314" t="s">
        <v>1240</v>
      </c>
      <c r="D37" s="314" t="s">
        <v>139</v>
      </c>
      <c r="E37" s="304" t="s">
        <v>1285</v>
      </c>
      <c r="F37" s="313" t="s">
        <v>1248</v>
      </c>
    </row>
    <row r="38" spans="1:6" ht="13.9">
      <c r="A38" s="314"/>
      <c r="B38" s="295" t="s">
        <v>1289</v>
      </c>
      <c r="C38" s="314" t="s">
        <v>1240</v>
      </c>
      <c r="D38" s="314" t="s">
        <v>139</v>
      </c>
      <c r="E38" s="304" t="s">
        <v>1285</v>
      </c>
      <c r="F38" s="313" t="s">
        <v>1248</v>
      </c>
    </row>
  </sheetData>
  <autoFilter ref="A3:D38" xr:uid="{5F7AD3F9-F11D-433C-AAEA-E9FA7B937A0D}">
    <sortState xmlns:xlrd2="http://schemas.microsoft.com/office/spreadsheetml/2017/richdata2" ref="A4:D38">
      <sortCondition ref="A3:A38"/>
    </sortState>
  </autoFilter>
  <pageMargins left="0.7" right="0.7" top="0.75" bottom="0.75" header="0.3" footer="0.3"/>
  <pageSetup orientation="portrait" r:id="rId1"/>
  <drawing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5D15F-8DF0-4C29-946A-13A6B93AFD58}">
  <dimension ref="B1:D31"/>
  <sheetViews>
    <sheetView workbookViewId="0">
      <selection activeCell="B1" sqref="B1:D31"/>
    </sheetView>
  </sheetViews>
  <sheetFormatPr baseColWidth="10" defaultColWidth="9.1328125" defaultRowHeight="14.25"/>
  <cols>
    <col min="2" max="2" width="56.1328125" bestFit="1" customWidth="1"/>
  </cols>
  <sheetData>
    <row r="1" spans="2:4">
      <c r="B1" s="477" t="s">
        <v>88</v>
      </c>
      <c r="C1" s="477" t="s">
        <v>1290</v>
      </c>
      <c r="D1" s="477" t="s">
        <v>1291</v>
      </c>
    </row>
    <row r="2" spans="2:4" ht="28.5">
      <c r="B2" s="478" t="s">
        <v>1292</v>
      </c>
      <c r="C2" s="479">
        <v>7</v>
      </c>
      <c r="D2" s="478" t="s">
        <v>1293</v>
      </c>
    </row>
    <row r="3" spans="2:4" ht="28.5">
      <c r="B3" s="478" t="s">
        <v>1294</v>
      </c>
      <c r="C3" s="478">
        <v>3</v>
      </c>
      <c r="D3" s="478" t="s">
        <v>1295</v>
      </c>
    </row>
    <row r="4" spans="2:4" ht="42.75">
      <c r="B4" s="478" t="s">
        <v>1296</v>
      </c>
      <c r="C4" s="478">
        <v>2</v>
      </c>
      <c r="D4" s="478" t="s">
        <v>1297</v>
      </c>
    </row>
    <row r="5" spans="2:4" ht="57">
      <c r="B5" s="478" t="s">
        <v>1298</v>
      </c>
      <c r="C5" s="478">
        <v>2</v>
      </c>
      <c r="D5" s="478" t="s">
        <v>1299</v>
      </c>
    </row>
    <row r="6" spans="2:4" ht="42.75">
      <c r="B6" s="478" t="s">
        <v>1300</v>
      </c>
      <c r="C6" s="478">
        <v>2</v>
      </c>
      <c r="D6" s="478" t="s">
        <v>1301</v>
      </c>
    </row>
    <row r="7" spans="2:4" ht="57">
      <c r="B7" s="478" t="s">
        <v>1302</v>
      </c>
      <c r="C7" s="478">
        <v>3</v>
      </c>
      <c r="D7" s="478" t="s">
        <v>1293</v>
      </c>
    </row>
    <row r="8" spans="2:4" ht="28.5">
      <c r="B8" s="478" t="s">
        <v>1303</v>
      </c>
      <c r="C8" s="478">
        <v>2</v>
      </c>
      <c r="D8" s="478" t="s">
        <v>1295</v>
      </c>
    </row>
    <row r="9" spans="2:4" ht="28.5">
      <c r="B9" s="478" t="s">
        <v>1304</v>
      </c>
      <c r="C9" s="478">
        <v>2</v>
      </c>
      <c r="D9" s="478" t="s">
        <v>1297</v>
      </c>
    </row>
    <row r="10" spans="2:4" ht="28.5">
      <c r="B10" s="478" t="s">
        <v>1305</v>
      </c>
      <c r="C10" s="478">
        <v>2</v>
      </c>
      <c r="D10" s="478" t="s">
        <v>1299</v>
      </c>
    </row>
    <row r="11" spans="2:4" ht="42.75">
      <c r="B11" s="478" t="s">
        <v>1306</v>
      </c>
      <c r="C11" s="478">
        <v>3</v>
      </c>
      <c r="D11" s="478" t="s">
        <v>1301</v>
      </c>
    </row>
    <row r="12" spans="2:4" ht="28.5">
      <c r="B12" s="478" t="s">
        <v>1307</v>
      </c>
      <c r="C12" s="478">
        <v>2</v>
      </c>
      <c r="D12" s="478" t="s">
        <v>1293</v>
      </c>
    </row>
    <row r="13" spans="2:4" ht="42.75">
      <c r="B13" s="478" t="s">
        <v>1308</v>
      </c>
      <c r="C13" s="478">
        <v>3</v>
      </c>
      <c r="D13" s="478" t="s">
        <v>1295</v>
      </c>
    </row>
    <row r="14" spans="2:4" ht="42.75">
      <c r="B14" s="478" t="s">
        <v>1309</v>
      </c>
      <c r="C14" s="478">
        <v>3</v>
      </c>
      <c r="D14" s="478" t="s">
        <v>1297</v>
      </c>
    </row>
    <row r="15" spans="2:4" ht="42.75">
      <c r="B15" s="478" t="s">
        <v>1310</v>
      </c>
      <c r="C15" s="478">
        <v>3</v>
      </c>
      <c r="D15" s="478" t="s">
        <v>1299</v>
      </c>
    </row>
    <row r="16" spans="2:4" ht="42.75">
      <c r="B16" s="478" t="s">
        <v>1311</v>
      </c>
      <c r="C16" s="478">
        <v>3</v>
      </c>
      <c r="D16" s="478" t="s">
        <v>1301</v>
      </c>
    </row>
    <row r="17" spans="2:4" ht="28.5">
      <c r="B17" s="478" t="s">
        <v>1312</v>
      </c>
      <c r="C17" s="478">
        <v>4</v>
      </c>
      <c r="D17" s="478" t="s">
        <v>1293</v>
      </c>
    </row>
    <row r="18" spans="2:4" ht="28.5">
      <c r="B18" s="478" t="s">
        <v>1313</v>
      </c>
      <c r="C18" s="478">
        <v>5</v>
      </c>
      <c r="D18" s="478" t="s">
        <v>1295</v>
      </c>
    </row>
    <row r="19" spans="2:4" ht="42.75">
      <c r="B19" s="478" t="s">
        <v>1314</v>
      </c>
      <c r="C19" s="478">
        <v>3</v>
      </c>
      <c r="D19" s="478" t="s">
        <v>1297</v>
      </c>
    </row>
    <row r="20" spans="2:4" ht="28.5">
      <c r="B20" s="478" t="s">
        <v>1315</v>
      </c>
      <c r="C20" s="478">
        <v>3</v>
      </c>
      <c r="D20" s="478" t="s">
        <v>1299</v>
      </c>
    </row>
    <row r="21" spans="2:4" ht="28.5">
      <c r="B21" s="478" t="s">
        <v>1316</v>
      </c>
      <c r="C21" s="478">
        <v>3</v>
      </c>
      <c r="D21" s="478" t="s">
        <v>1301</v>
      </c>
    </row>
    <row r="22" spans="2:4" ht="28.5">
      <c r="B22" s="478" t="s">
        <v>1317</v>
      </c>
      <c r="C22" s="478">
        <v>4</v>
      </c>
      <c r="D22" s="478" t="s">
        <v>1293</v>
      </c>
    </row>
    <row r="23" spans="2:4" ht="28.5">
      <c r="B23" s="478" t="s">
        <v>1318</v>
      </c>
      <c r="C23" s="478">
        <v>3</v>
      </c>
      <c r="D23" s="478" t="s">
        <v>1295</v>
      </c>
    </row>
    <row r="24" spans="2:4" ht="28.5">
      <c r="B24" s="478" t="s">
        <v>1319</v>
      </c>
      <c r="C24" s="478">
        <v>5</v>
      </c>
      <c r="D24" s="478" t="s">
        <v>1297</v>
      </c>
    </row>
    <row r="25" spans="2:4" ht="28.5">
      <c r="B25" s="478" t="s">
        <v>1320</v>
      </c>
      <c r="C25" s="478">
        <v>5</v>
      </c>
      <c r="D25" s="478" t="s">
        <v>1299</v>
      </c>
    </row>
    <row r="26" spans="2:4" ht="28.5">
      <c r="B26" s="478" t="s">
        <v>1321</v>
      </c>
      <c r="C26" s="478">
        <v>2</v>
      </c>
      <c r="D26" s="478" t="s">
        <v>1301</v>
      </c>
    </row>
    <row r="27" spans="2:4" ht="28.5">
      <c r="B27" s="480" t="s">
        <v>1322</v>
      </c>
      <c r="C27" s="480">
        <v>3</v>
      </c>
      <c r="D27" s="478" t="s">
        <v>1301</v>
      </c>
    </row>
    <row r="28" spans="2:4" ht="28.5">
      <c r="B28" s="480" t="s">
        <v>1323</v>
      </c>
      <c r="C28" s="480">
        <v>3</v>
      </c>
      <c r="D28" s="478" t="s">
        <v>1295</v>
      </c>
    </row>
    <row r="29" spans="2:4" ht="28.5">
      <c r="B29" s="480" t="s">
        <v>1324</v>
      </c>
      <c r="C29" s="479">
        <v>3</v>
      </c>
      <c r="D29" s="478" t="s">
        <v>1297</v>
      </c>
    </row>
    <row r="30" spans="2:4" ht="37.5">
      <c r="B30" s="478" t="s">
        <v>1325</v>
      </c>
      <c r="C30" s="479">
        <v>3</v>
      </c>
      <c r="D30" s="478" t="s">
        <v>1299</v>
      </c>
    </row>
    <row r="31" spans="2:4" ht="51.75">
      <c r="B31" s="478" t="s">
        <v>1326</v>
      </c>
      <c r="C31" s="479">
        <v>4</v>
      </c>
      <c r="D31" s="478" t="s">
        <v>1301</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O117"/>
  <sheetViews>
    <sheetView topLeftCell="B1" zoomScaleNormal="100" workbookViewId="0">
      <selection activeCell="E17" sqref="E17"/>
    </sheetView>
  </sheetViews>
  <sheetFormatPr baseColWidth="10" defaultColWidth="11.3984375" defaultRowHeight="14.25"/>
  <cols>
    <col min="3" max="3" width="5.59765625" style="4" customWidth="1"/>
    <col min="4" max="4" width="20.73046875" style="4" customWidth="1"/>
    <col min="5" max="5" width="76.265625" bestFit="1" customWidth="1"/>
    <col min="6" max="7" width="5.73046875" style="30" customWidth="1"/>
    <col min="8" max="8" width="8.1328125" style="30" bestFit="1" customWidth="1"/>
    <col min="10" max="10" width="8.73046875" customWidth="1"/>
    <col min="11" max="11" width="9.1328125" bestFit="1" customWidth="1"/>
    <col min="12" max="12" width="11.3984375" style="28" bestFit="1" customWidth="1"/>
    <col min="14" max="14" width="20.59765625" customWidth="1"/>
  </cols>
  <sheetData>
    <row r="1" spans="1:15" ht="15" customHeight="1">
      <c r="E1" s="724" t="s">
        <v>1327</v>
      </c>
      <c r="F1" s="724"/>
      <c r="G1" s="105"/>
      <c r="H1" s="105"/>
    </row>
    <row r="2" spans="1:15" ht="21" customHeight="1">
      <c r="E2" s="724"/>
      <c r="F2" s="724"/>
      <c r="G2" s="105"/>
      <c r="H2" s="105"/>
    </row>
    <row r="4" spans="1:15" ht="18">
      <c r="J4" s="104" t="s">
        <v>1328</v>
      </c>
      <c r="K4" s="104"/>
      <c r="L4" s="326"/>
    </row>
    <row r="5" spans="1:15" ht="23.25">
      <c r="C5" s="725" t="s">
        <v>1329</v>
      </c>
      <c r="D5" s="725"/>
      <c r="E5" s="725"/>
      <c r="F5" s="103"/>
      <c r="G5" s="102"/>
      <c r="H5" s="102"/>
      <c r="J5" s="101" t="s">
        <v>1330</v>
      </c>
      <c r="K5" s="101"/>
      <c r="L5" s="30"/>
      <c r="N5">
        <f>8+1+1+6+11+12+19+9+17+1</f>
        <v>85</v>
      </c>
    </row>
    <row r="6" spans="1:15" s="97" customFormat="1" ht="10.5" customHeight="1">
      <c r="C6" s="100"/>
      <c r="D6" s="100"/>
      <c r="E6" s="100"/>
      <c r="F6" s="99"/>
      <c r="G6" s="99"/>
      <c r="H6" s="99"/>
      <c r="J6" s="98"/>
      <c r="K6" s="98"/>
      <c r="L6" s="327"/>
    </row>
    <row r="7" spans="1:15" ht="18">
      <c r="B7" t="s">
        <v>1331</v>
      </c>
      <c r="C7" s="96" t="s">
        <v>1332</v>
      </c>
      <c r="D7" s="96" t="s">
        <v>1333</v>
      </c>
      <c r="E7" s="95" t="s">
        <v>1334</v>
      </c>
      <c r="F7" s="30" t="s">
        <v>1335</v>
      </c>
      <c r="I7" s="30" t="s">
        <v>101</v>
      </c>
      <c r="J7" s="30" t="s">
        <v>1331</v>
      </c>
      <c r="K7" s="94" t="s">
        <v>89</v>
      </c>
      <c r="L7" s="30" t="s">
        <v>1336</v>
      </c>
      <c r="N7">
        <v>9</v>
      </c>
    </row>
    <row r="8" spans="1:15" ht="15.75" hidden="1">
      <c r="A8" s="91"/>
      <c r="B8" t="s">
        <v>1337</v>
      </c>
      <c r="C8" s="36">
        <v>1</v>
      </c>
      <c r="D8" s="36" t="s">
        <v>1338</v>
      </c>
      <c r="E8" s="78" t="s">
        <v>1339</v>
      </c>
      <c r="F8" s="59">
        <v>3</v>
      </c>
      <c r="G8" s="58" t="s">
        <v>1340</v>
      </c>
      <c r="H8" s="58" t="s">
        <v>1341</v>
      </c>
      <c r="I8" t="s">
        <v>1342</v>
      </c>
      <c r="J8" t="s">
        <v>1343</v>
      </c>
      <c r="K8" s="31"/>
      <c r="L8"/>
      <c r="M8" s="6" t="s">
        <v>1344</v>
      </c>
      <c r="O8" s="75">
        <f>11+22</f>
        <v>33</v>
      </c>
    </row>
    <row r="9" spans="1:15" ht="15" hidden="1" customHeight="1">
      <c r="A9" s="76"/>
      <c r="B9" t="s">
        <v>1345</v>
      </c>
      <c r="C9" s="36">
        <f t="shared" ref="C9:C54" si="0">+C8+1</f>
        <v>2</v>
      </c>
      <c r="D9" s="36" t="s">
        <v>1338</v>
      </c>
      <c r="E9" s="89" t="s">
        <v>1346</v>
      </c>
      <c r="F9" s="59">
        <v>3</v>
      </c>
      <c r="G9" s="58" t="s">
        <v>1340</v>
      </c>
      <c r="H9" s="58" t="s">
        <v>1341</v>
      </c>
      <c r="I9" t="s">
        <v>1342</v>
      </c>
      <c r="J9" t="s">
        <v>1343</v>
      </c>
      <c r="K9" s="31"/>
      <c r="L9"/>
      <c r="M9" s="6" t="s">
        <v>1347</v>
      </c>
      <c r="O9" s="75">
        <f>2+1</f>
        <v>3</v>
      </c>
    </row>
    <row r="10" spans="1:15" hidden="1">
      <c r="A10" s="76"/>
      <c r="B10" t="s">
        <v>1345</v>
      </c>
      <c r="C10" s="36">
        <f t="shared" si="0"/>
        <v>3</v>
      </c>
      <c r="D10" s="36" t="s">
        <v>1338</v>
      </c>
      <c r="E10" s="80" t="s">
        <v>1348</v>
      </c>
      <c r="F10" s="59">
        <v>3</v>
      </c>
      <c r="G10" s="58" t="s">
        <v>1340</v>
      </c>
      <c r="H10" s="58" t="s">
        <v>1341</v>
      </c>
      <c r="I10" t="s">
        <v>1342</v>
      </c>
      <c r="J10" t="s">
        <v>1343</v>
      </c>
      <c r="K10" s="31"/>
      <c r="L10"/>
    </row>
    <row r="11" spans="1:15" ht="21" hidden="1">
      <c r="A11" s="76"/>
      <c r="B11" t="s">
        <v>53</v>
      </c>
      <c r="C11" s="36">
        <f t="shared" si="0"/>
        <v>4</v>
      </c>
      <c r="D11" s="36" t="s">
        <v>1338</v>
      </c>
      <c r="E11" s="80" t="s">
        <v>1349</v>
      </c>
      <c r="F11" s="59">
        <v>3</v>
      </c>
      <c r="G11" s="58" t="s">
        <v>1340</v>
      </c>
      <c r="H11" s="58" t="s">
        <v>1341</v>
      </c>
      <c r="I11" t="s">
        <v>1342</v>
      </c>
      <c r="J11" t="s">
        <v>1343</v>
      </c>
      <c r="K11" s="31"/>
      <c r="L11"/>
      <c r="M11" s="68" t="s">
        <v>218</v>
      </c>
      <c r="N11" s="92"/>
      <c r="O11" s="92"/>
    </row>
    <row r="12" spans="1:15" ht="15.75" hidden="1">
      <c r="A12" s="76"/>
      <c r="B12" t="s">
        <v>1337</v>
      </c>
      <c r="C12" s="36">
        <f t="shared" si="0"/>
        <v>5</v>
      </c>
      <c r="D12" s="36" t="s">
        <v>1338</v>
      </c>
      <c r="E12" s="80" t="s">
        <v>1350</v>
      </c>
      <c r="F12" s="59">
        <v>3</v>
      </c>
      <c r="G12" s="58" t="s">
        <v>1340</v>
      </c>
      <c r="H12" s="58" t="s">
        <v>1341</v>
      </c>
      <c r="I12" t="s">
        <v>1342</v>
      </c>
      <c r="J12" t="s">
        <v>1343</v>
      </c>
      <c r="K12" s="31"/>
      <c r="L12"/>
      <c r="M12" s="6" t="s">
        <v>1351</v>
      </c>
      <c r="O12" s="75">
        <v>15</v>
      </c>
    </row>
    <row r="13" spans="1:15" ht="15.75" hidden="1">
      <c r="A13" s="76"/>
      <c r="B13" t="s">
        <v>53</v>
      </c>
      <c r="C13" s="36">
        <f t="shared" si="0"/>
        <v>6</v>
      </c>
      <c r="D13" s="36" t="s">
        <v>1338</v>
      </c>
      <c r="E13" s="80" t="s">
        <v>1352</v>
      </c>
      <c r="F13" s="57">
        <v>4</v>
      </c>
      <c r="G13" s="56" t="s">
        <v>1340</v>
      </c>
      <c r="H13" s="58" t="s">
        <v>1341</v>
      </c>
      <c r="I13" t="s">
        <v>1342</v>
      </c>
      <c r="J13" t="s">
        <v>1343</v>
      </c>
      <c r="K13" s="31"/>
      <c r="L13"/>
      <c r="M13" s="6" t="s">
        <v>1344</v>
      </c>
      <c r="O13" s="75">
        <v>14</v>
      </c>
    </row>
    <row r="14" spans="1:15" ht="15.75" hidden="1" customHeight="1">
      <c r="A14" s="76"/>
      <c r="C14" s="36">
        <f t="shared" si="0"/>
        <v>7</v>
      </c>
      <c r="D14" s="36" t="s">
        <v>1338</v>
      </c>
      <c r="E14" s="80" t="s">
        <v>1353</v>
      </c>
      <c r="F14" s="59">
        <v>3</v>
      </c>
      <c r="G14" s="58" t="s">
        <v>1340</v>
      </c>
      <c r="H14" s="58" t="s">
        <v>1341</v>
      </c>
      <c r="I14" t="s">
        <v>1342</v>
      </c>
      <c r="J14" t="s">
        <v>1343</v>
      </c>
      <c r="K14" s="31"/>
      <c r="L14"/>
      <c r="M14" s="6" t="s">
        <v>1354</v>
      </c>
      <c r="O14" s="75"/>
    </row>
    <row r="15" spans="1:15" hidden="1">
      <c r="A15" s="37"/>
      <c r="C15" s="36">
        <f t="shared" si="0"/>
        <v>8</v>
      </c>
      <c r="D15" s="36" t="s">
        <v>1338</v>
      </c>
      <c r="E15" s="80" t="s">
        <v>1355</v>
      </c>
      <c r="F15" s="59">
        <v>3</v>
      </c>
      <c r="G15" s="58" t="s">
        <v>1340</v>
      </c>
      <c r="H15" s="58" t="s">
        <v>1341</v>
      </c>
      <c r="I15" t="s">
        <v>1342</v>
      </c>
      <c r="J15" t="s">
        <v>1343</v>
      </c>
      <c r="K15" s="31"/>
      <c r="L15"/>
    </row>
    <row r="16" spans="1:15">
      <c r="A16" s="76"/>
      <c r="B16" t="s">
        <v>53</v>
      </c>
      <c r="C16" s="36">
        <f t="shared" si="0"/>
        <v>9</v>
      </c>
      <c r="D16" s="36" t="s">
        <v>1356</v>
      </c>
      <c r="E16" s="80" t="s">
        <v>1357</v>
      </c>
      <c r="F16" s="63">
        <v>1</v>
      </c>
      <c r="G16" s="62" t="s">
        <v>1358</v>
      </c>
      <c r="H16" s="58" t="s">
        <v>1341</v>
      </c>
      <c r="I16" t="s">
        <v>1359</v>
      </c>
      <c r="J16" t="s">
        <v>1360</v>
      </c>
      <c r="K16" s="31"/>
      <c r="L16" s="28">
        <v>2</v>
      </c>
    </row>
    <row r="17" spans="1:15" ht="48.75" customHeight="1">
      <c r="A17" s="93"/>
      <c r="C17" s="36">
        <f t="shared" si="0"/>
        <v>10</v>
      </c>
      <c r="D17" s="36" t="s">
        <v>1356</v>
      </c>
      <c r="E17" s="47" t="s">
        <v>1176</v>
      </c>
      <c r="F17" s="63">
        <v>1</v>
      </c>
      <c r="G17" s="62" t="s">
        <v>1358</v>
      </c>
      <c r="H17" s="58" t="s">
        <v>1341</v>
      </c>
      <c r="I17" t="s">
        <v>1359</v>
      </c>
      <c r="J17" t="s">
        <v>1360</v>
      </c>
      <c r="K17" s="31"/>
      <c r="L17" s="30">
        <v>3</v>
      </c>
    </row>
    <row r="18" spans="1:15" ht="21">
      <c r="A18" s="76"/>
      <c r="C18" s="36">
        <f t="shared" si="0"/>
        <v>11</v>
      </c>
      <c r="D18" s="36" t="s">
        <v>1356</v>
      </c>
      <c r="E18" s="47" t="s">
        <v>1060</v>
      </c>
      <c r="F18" s="63">
        <v>1</v>
      </c>
      <c r="G18" s="62" t="s">
        <v>1358</v>
      </c>
      <c r="H18" s="58" t="s">
        <v>1341</v>
      </c>
      <c r="I18" t="s">
        <v>1359</v>
      </c>
      <c r="J18" t="s">
        <v>1360</v>
      </c>
      <c r="K18" s="31"/>
      <c r="L18" s="28">
        <v>4</v>
      </c>
      <c r="M18" s="68" t="s">
        <v>1361</v>
      </c>
      <c r="N18" s="92"/>
      <c r="O18" s="92"/>
    </row>
    <row r="19" spans="1:15" ht="15.75" hidden="1">
      <c r="A19" s="91"/>
      <c r="B19" t="s">
        <v>1337</v>
      </c>
      <c r="C19" s="36">
        <f t="shared" si="0"/>
        <v>12</v>
      </c>
      <c r="D19" s="36" t="s">
        <v>1356</v>
      </c>
      <c r="E19" s="90" t="s">
        <v>1362</v>
      </c>
      <c r="F19" s="59">
        <v>3</v>
      </c>
      <c r="G19" s="58" t="s">
        <v>1340</v>
      </c>
      <c r="H19" s="58" t="s">
        <v>1341</v>
      </c>
      <c r="I19" t="s">
        <v>1342</v>
      </c>
      <c r="J19" t="s">
        <v>1343</v>
      </c>
      <c r="K19" s="31"/>
      <c r="L19"/>
      <c r="M19" s="6" t="s">
        <v>1363</v>
      </c>
      <c r="O19" s="75">
        <v>1</v>
      </c>
    </row>
    <row r="20" spans="1:15" ht="15" hidden="1" customHeight="1">
      <c r="A20" s="37" t="s">
        <v>1364</v>
      </c>
      <c r="B20" t="s">
        <v>53</v>
      </c>
      <c r="C20" s="36">
        <f t="shared" si="0"/>
        <v>13</v>
      </c>
      <c r="D20" s="36" t="s">
        <v>1356</v>
      </c>
      <c r="E20" s="80" t="s">
        <v>1365</v>
      </c>
      <c r="F20" s="59">
        <v>3</v>
      </c>
      <c r="G20" s="58" t="s">
        <v>1340</v>
      </c>
      <c r="H20" s="58" t="s">
        <v>1341</v>
      </c>
      <c r="I20" t="s">
        <v>1342</v>
      </c>
      <c r="J20" t="s">
        <v>1343</v>
      </c>
      <c r="K20" s="31"/>
      <c r="L20"/>
      <c r="M20" s="6" t="s">
        <v>1366</v>
      </c>
      <c r="O20" s="75">
        <v>17</v>
      </c>
    </row>
    <row r="21" spans="1:15" hidden="1">
      <c r="A21" s="37" t="s">
        <v>137</v>
      </c>
      <c r="B21" t="s">
        <v>53</v>
      </c>
      <c r="C21" s="36">
        <f t="shared" si="0"/>
        <v>14</v>
      </c>
      <c r="D21" s="36" t="s">
        <v>1356</v>
      </c>
      <c r="E21" s="80" t="s">
        <v>1367</v>
      </c>
      <c r="F21" s="59">
        <v>3</v>
      </c>
      <c r="G21" s="58" t="s">
        <v>1340</v>
      </c>
      <c r="H21" s="58" t="s">
        <v>1341</v>
      </c>
      <c r="I21" t="s">
        <v>1342</v>
      </c>
      <c r="J21" t="s">
        <v>1343</v>
      </c>
      <c r="K21" s="31"/>
      <c r="L21"/>
    </row>
    <row r="22" spans="1:15" ht="30" hidden="1">
      <c r="A22" s="37" t="s">
        <v>137</v>
      </c>
      <c r="B22" t="s">
        <v>53</v>
      </c>
      <c r="C22" s="36">
        <f t="shared" si="0"/>
        <v>15</v>
      </c>
      <c r="D22" s="36" t="s">
        <v>1356</v>
      </c>
      <c r="E22" s="89" t="s">
        <v>1368</v>
      </c>
      <c r="F22" s="59">
        <v>3</v>
      </c>
      <c r="G22" s="58" t="s">
        <v>1340</v>
      </c>
      <c r="H22" s="58" t="s">
        <v>1341</v>
      </c>
      <c r="I22" t="s">
        <v>1342</v>
      </c>
      <c r="J22" t="s">
        <v>1343</v>
      </c>
      <c r="K22" s="31"/>
      <c r="L22"/>
      <c r="M22" s="68" t="s">
        <v>1369</v>
      </c>
    </row>
    <row r="23" spans="1:15">
      <c r="A23" s="37" t="s">
        <v>1364</v>
      </c>
      <c r="C23" s="36">
        <f t="shared" si="0"/>
        <v>16</v>
      </c>
      <c r="D23" s="36" t="s">
        <v>1356</v>
      </c>
      <c r="E23" s="47" t="s">
        <v>1062</v>
      </c>
      <c r="F23" s="63">
        <v>1</v>
      </c>
      <c r="G23" s="62" t="s">
        <v>1358</v>
      </c>
      <c r="H23" s="58" t="s">
        <v>1341</v>
      </c>
      <c r="I23" t="s">
        <v>1359</v>
      </c>
      <c r="J23" t="s">
        <v>1360</v>
      </c>
      <c r="K23" s="31"/>
      <c r="L23" s="28">
        <v>4</v>
      </c>
      <c r="M23" s="6" t="s">
        <v>1363</v>
      </c>
      <c r="O23">
        <v>7</v>
      </c>
    </row>
    <row r="24" spans="1:15" hidden="1">
      <c r="A24" s="37" t="s">
        <v>1364</v>
      </c>
      <c r="B24" t="s">
        <v>53</v>
      </c>
      <c r="C24" s="36">
        <f t="shared" si="0"/>
        <v>17</v>
      </c>
      <c r="D24" s="36" t="s">
        <v>1356</v>
      </c>
      <c r="E24" s="80" t="s">
        <v>1370</v>
      </c>
      <c r="F24" s="59">
        <v>3</v>
      </c>
      <c r="G24" s="58" t="s">
        <v>1340</v>
      </c>
      <c r="H24" s="58" t="s">
        <v>1341</v>
      </c>
      <c r="I24" t="s">
        <v>1342</v>
      </c>
      <c r="J24" t="s">
        <v>1343</v>
      </c>
      <c r="K24" s="31"/>
      <c r="L24"/>
      <c r="M24" s="6" t="s">
        <v>1344</v>
      </c>
      <c r="O24">
        <v>3</v>
      </c>
    </row>
    <row r="25" spans="1:15" ht="28.5">
      <c r="A25" s="37" t="s">
        <v>1364</v>
      </c>
      <c r="C25" s="36">
        <f t="shared" si="0"/>
        <v>18</v>
      </c>
      <c r="D25" s="36" t="s">
        <v>1371</v>
      </c>
      <c r="E25" s="88" t="s">
        <v>1063</v>
      </c>
      <c r="F25" s="53">
        <v>1</v>
      </c>
      <c r="G25" s="87" t="s">
        <v>1358</v>
      </c>
      <c r="H25" s="58" t="s">
        <v>1341</v>
      </c>
      <c r="I25" s="86" t="s">
        <v>1372</v>
      </c>
      <c r="J25" t="s">
        <v>1360</v>
      </c>
      <c r="K25" s="31"/>
      <c r="L25" s="28">
        <v>4</v>
      </c>
      <c r="M25" s="6" t="s">
        <v>1354</v>
      </c>
      <c r="O25">
        <v>6</v>
      </c>
    </row>
    <row r="26" spans="1:15" ht="29.25" hidden="1" customHeight="1">
      <c r="A26" s="37" t="s">
        <v>137</v>
      </c>
      <c r="B26" t="s">
        <v>53</v>
      </c>
      <c r="C26" s="36">
        <f t="shared" si="0"/>
        <v>19</v>
      </c>
      <c r="D26" s="36" t="s">
        <v>1356</v>
      </c>
      <c r="E26" s="85" t="s">
        <v>1373</v>
      </c>
      <c r="F26" s="84">
        <v>3</v>
      </c>
      <c r="G26" s="83" t="s">
        <v>1340</v>
      </c>
      <c r="H26" s="58" t="s">
        <v>1341</v>
      </c>
      <c r="I26" t="s">
        <v>1342</v>
      </c>
      <c r="J26" t="s">
        <v>1343</v>
      </c>
      <c r="K26" s="31"/>
      <c r="L26"/>
      <c r="M26" s="6" t="s">
        <v>1347</v>
      </c>
    </row>
    <row r="27" spans="1:15" ht="27.75" customHeight="1">
      <c r="A27" s="37" t="s">
        <v>1364</v>
      </c>
      <c r="B27" t="s">
        <v>1374</v>
      </c>
      <c r="C27" s="36">
        <f t="shared" si="0"/>
        <v>20</v>
      </c>
      <c r="D27" s="36" t="s">
        <v>1371</v>
      </c>
      <c r="E27" s="47" t="s">
        <v>1064</v>
      </c>
      <c r="F27" s="53">
        <v>1</v>
      </c>
      <c r="G27" s="52" t="s">
        <v>1358</v>
      </c>
      <c r="H27" s="58" t="s">
        <v>1341</v>
      </c>
      <c r="I27" t="s">
        <v>1372</v>
      </c>
      <c r="J27" t="s">
        <v>1360</v>
      </c>
      <c r="K27" s="31"/>
      <c r="L27" s="28">
        <v>3</v>
      </c>
    </row>
    <row r="28" spans="1:15">
      <c r="A28" s="37" t="s">
        <v>1364</v>
      </c>
      <c r="B28" t="s">
        <v>53</v>
      </c>
      <c r="C28" s="36">
        <f t="shared" si="0"/>
        <v>21</v>
      </c>
      <c r="D28" s="36" t="s">
        <v>1356</v>
      </c>
      <c r="E28" s="80" t="s">
        <v>1065</v>
      </c>
      <c r="F28" s="43">
        <v>2</v>
      </c>
      <c r="G28" s="42" t="s">
        <v>1358</v>
      </c>
      <c r="H28" s="58" t="s">
        <v>1341</v>
      </c>
      <c r="I28" t="s">
        <v>1372</v>
      </c>
      <c r="J28" s="82" t="s">
        <v>1360</v>
      </c>
      <c r="K28" s="81"/>
      <c r="L28" s="28">
        <v>4</v>
      </c>
    </row>
    <row r="29" spans="1:15" ht="28.5">
      <c r="A29" s="37" t="s">
        <v>1364</v>
      </c>
      <c r="C29" s="36">
        <f t="shared" si="0"/>
        <v>22</v>
      </c>
      <c r="D29" s="36" t="s">
        <v>1356</v>
      </c>
      <c r="E29" s="47" t="s">
        <v>1375</v>
      </c>
      <c r="F29" s="43">
        <v>2</v>
      </c>
      <c r="G29" s="42" t="s">
        <v>1358</v>
      </c>
      <c r="H29" s="58" t="s">
        <v>1341</v>
      </c>
      <c r="I29" t="s">
        <v>1372</v>
      </c>
      <c r="J29" t="s">
        <v>1360</v>
      </c>
      <c r="K29" s="31"/>
      <c r="L29" s="28">
        <v>4</v>
      </c>
    </row>
    <row r="30" spans="1:15" ht="28.5">
      <c r="A30" s="37" t="s">
        <v>1364</v>
      </c>
      <c r="C30" s="36">
        <f t="shared" si="0"/>
        <v>23</v>
      </c>
      <c r="D30" s="36" t="s">
        <v>1356</v>
      </c>
      <c r="E30" s="47" t="s">
        <v>1376</v>
      </c>
      <c r="F30" s="43">
        <v>2</v>
      </c>
      <c r="G30" s="42" t="s">
        <v>1358</v>
      </c>
      <c r="H30" s="58" t="s">
        <v>1341</v>
      </c>
      <c r="I30" t="s">
        <v>1359</v>
      </c>
      <c r="J30" t="s">
        <v>1360</v>
      </c>
      <c r="K30" s="31"/>
      <c r="L30" s="28">
        <v>3</v>
      </c>
    </row>
    <row r="31" spans="1:15" hidden="1">
      <c r="A31" s="37" t="s">
        <v>1364</v>
      </c>
      <c r="C31" s="36">
        <f t="shared" si="0"/>
        <v>24</v>
      </c>
      <c r="D31" s="36" t="s">
        <v>1356</v>
      </c>
      <c r="E31" s="33" t="s">
        <v>1377</v>
      </c>
      <c r="F31" s="59">
        <v>3</v>
      </c>
      <c r="G31" s="58" t="s">
        <v>1340</v>
      </c>
      <c r="H31" s="58" t="s">
        <v>1341</v>
      </c>
      <c r="I31" t="s">
        <v>1342</v>
      </c>
      <c r="J31" t="s">
        <v>1343</v>
      </c>
      <c r="K31" s="31"/>
      <c r="L31"/>
    </row>
    <row r="32" spans="1:15" hidden="1">
      <c r="A32" s="37" t="s">
        <v>1364</v>
      </c>
      <c r="C32" s="36">
        <f t="shared" si="0"/>
        <v>25</v>
      </c>
      <c r="D32" s="36" t="s">
        <v>1356</v>
      </c>
      <c r="E32" s="33" t="s">
        <v>1378</v>
      </c>
      <c r="F32" s="59">
        <v>3</v>
      </c>
      <c r="G32" s="58" t="s">
        <v>1340</v>
      </c>
      <c r="H32" s="58" t="s">
        <v>1341</v>
      </c>
      <c r="I32" t="s">
        <v>1342</v>
      </c>
      <c r="J32" t="s">
        <v>1343</v>
      </c>
      <c r="K32" s="31"/>
      <c r="L32"/>
    </row>
    <row r="33" spans="1:15">
      <c r="A33" s="37" t="s">
        <v>1364</v>
      </c>
      <c r="C33" s="36">
        <f t="shared" si="0"/>
        <v>26</v>
      </c>
      <c r="D33" s="36" t="s">
        <v>1356</v>
      </c>
      <c r="E33" s="80" t="s">
        <v>1379</v>
      </c>
      <c r="F33" s="59">
        <v>3</v>
      </c>
      <c r="G33" s="58" t="s">
        <v>1358</v>
      </c>
      <c r="H33" s="58" t="s">
        <v>1341</v>
      </c>
      <c r="I33" t="s">
        <v>1342</v>
      </c>
      <c r="J33" t="s">
        <v>1343</v>
      </c>
      <c r="K33" s="31"/>
      <c r="L33" s="28">
        <v>4</v>
      </c>
    </row>
    <row r="34" spans="1:15" hidden="1">
      <c r="A34" s="37" t="s">
        <v>1364</v>
      </c>
      <c r="C34" s="36">
        <f t="shared" si="0"/>
        <v>27</v>
      </c>
      <c r="D34" s="36" t="s">
        <v>1356</v>
      </c>
      <c r="E34" s="79" t="s">
        <v>1380</v>
      </c>
      <c r="F34" s="59">
        <v>3</v>
      </c>
      <c r="G34" s="58" t="s">
        <v>1340</v>
      </c>
      <c r="H34" s="58" t="s">
        <v>1341</v>
      </c>
      <c r="I34" t="s">
        <v>1342</v>
      </c>
      <c r="J34" t="s">
        <v>1343</v>
      </c>
      <c r="K34" s="31"/>
      <c r="L34"/>
    </row>
    <row r="35" spans="1:15" hidden="1">
      <c r="A35" s="37" t="s">
        <v>1364</v>
      </c>
      <c r="C35" s="36">
        <f t="shared" si="0"/>
        <v>28</v>
      </c>
      <c r="D35" s="36" t="s">
        <v>1356</v>
      </c>
      <c r="E35" s="33" t="s">
        <v>1381</v>
      </c>
      <c r="F35" s="57">
        <v>4</v>
      </c>
      <c r="G35" s="56" t="s">
        <v>1340</v>
      </c>
      <c r="H35" s="58" t="s">
        <v>1341</v>
      </c>
      <c r="I35" t="s">
        <v>1342</v>
      </c>
      <c r="J35" t="s">
        <v>1343</v>
      </c>
      <c r="K35" s="31"/>
      <c r="L35"/>
    </row>
    <row r="36" spans="1:15">
      <c r="A36" s="37" t="s">
        <v>1364</v>
      </c>
      <c r="B36" t="s">
        <v>1382</v>
      </c>
      <c r="C36" s="36">
        <f t="shared" si="0"/>
        <v>29</v>
      </c>
      <c r="D36" s="36" t="s">
        <v>1356</v>
      </c>
      <c r="E36" s="78" t="s">
        <v>1067</v>
      </c>
      <c r="F36" s="59">
        <v>3</v>
      </c>
      <c r="G36" s="58" t="s">
        <v>1358</v>
      </c>
      <c r="H36" s="58" t="s">
        <v>1341</v>
      </c>
      <c r="I36" t="s">
        <v>1342</v>
      </c>
      <c r="J36" t="s">
        <v>1343</v>
      </c>
      <c r="K36" s="31"/>
      <c r="L36" s="28">
        <v>3</v>
      </c>
    </row>
    <row r="37" spans="1:15">
      <c r="A37" s="37" t="s">
        <v>1364</v>
      </c>
      <c r="B37" t="s">
        <v>53</v>
      </c>
      <c r="C37" s="36">
        <f t="shared" si="0"/>
        <v>30</v>
      </c>
      <c r="D37" s="36" t="s">
        <v>1356</v>
      </c>
      <c r="E37" s="33" t="s">
        <v>1383</v>
      </c>
      <c r="F37" s="59">
        <v>3</v>
      </c>
      <c r="G37" s="58" t="s">
        <v>1358</v>
      </c>
      <c r="H37" s="58" t="s">
        <v>1341</v>
      </c>
      <c r="I37" t="s">
        <v>1342</v>
      </c>
      <c r="J37" t="s">
        <v>1343</v>
      </c>
      <c r="K37" s="31"/>
      <c r="L37" s="28">
        <v>3</v>
      </c>
    </row>
    <row r="38" spans="1:15">
      <c r="A38" s="37" t="s">
        <v>1364</v>
      </c>
      <c r="C38" s="36">
        <f t="shared" si="0"/>
        <v>31</v>
      </c>
      <c r="D38" s="36" t="s">
        <v>1356</v>
      </c>
      <c r="E38" s="33" t="s">
        <v>604</v>
      </c>
      <c r="F38" s="59">
        <v>3</v>
      </c>
      <c r="G38" s="58" t="s">
        <v>1358</v>
      </c>
      <c r="H38" s="58" t="s">
        <v>1341</v>
      </c>
      <c r="I38" t="s">
        <v>1342</v>
      </c>
      <c r="J38" t="s">
        <v>1343</v>
      </c>
      <c r="K38" s="31"/>
      <c r="L38" s="28">
        <v>3</v>
      </c>
    </row>
    <row r="39" spans="1:15" hidden="1">
      <c r="A39" s="37" t="s">
        <v>1364</v>
      </c>
      <c r="C39" s="36">
        <f t="shared" si="0"/>
        <v>32</v>
      </c>
      <c r="D39" s="36" t="s">
        <v>1356</v>
      </c>
      <c r="E39" s="71" t="s">
        <v>1384</v>
      </c>
      <c r="F39" s="59">
        <v>3</v>
      </c>
      <c r="G39" s="58" t="s">
        <v>1340</v>
      </c>
      <c r="H39" s="58" t="s">
        <v>1341</v>
      </c>
      <c r="I39" t="s">
        <v>1342</v>
      </c>
      <c r="J39" t="s">
        <v>1343</v>
      </c>
      <c r="K39" s="31"/>
      <c r="L39"/>
    </row>
    <row r="40" spans="1:15" ht="30.75" customHeight="1">
      <c r="A40" s="37" t="s">
        <v>1364</v>
      </c>
      <c r="C40" s="36">
        <f t="shared" si="0"/>
        <v>33</v>
      </c>
      <c r="D40" s="36" t="s">
        <v>1356</v>
      </c>
      <c r="E40" s="33" t="s">
        <v>1385</v>
      </c>
      <c r="F40" s="59">
        <v>3</v>
      </c>
      <c r="G40" s="58" t="s">
        <v>1358</v>
      </c>
      <c r="H40" s="58" t="s">
        <v>1341</v>
      </c>
      <c r="I40" t="s">
        <v>1342</v>
      </c>
      <c r="J40" t="s">
        <v>1343</v>
      </c>
      <c r="K40" s="31"/>
      <c r="L40" s="28">
        <v>4</v>
      </c>
    </row>
    <row r="41" spans="1:15">
      <c r="A41" s="37" t="s">
        <v>1364</v>
      </c>
      <c r="B41" t="s">
        <v>1382</v>
      </c>
      <c r="C41" s="36">
        <f t="shared" si="0"/>
        <v>34</v>
      </c>
      <c r="D41" s="36" t="s">
        <v>1371</v>
      </c>
      <c r="E41" s="77" t="s">
        <v>1068</v>
      </c>
      <c r="F41" s="48">
        <v>3</v>
      </c>
      <c r="G41" s="41" t="s">
        <v>1358</v>
      </c>
      <c r="H41" s="58" t="s">
        <v>1341</v>
      </c>
      <c r="I41" t="s">
        <v>1359</v>
      </c>
      <c r="J41" t="s">
        <v>1343</v>
      </c>
      <c r="K41" s="31"/>
      <c r="L41" s="28">
        <v>3</v>
      </c>
    </row>
    <row r="42" spans="1:15" hidden="1">
      <c r="A42" s="37" t="s">
        <v>1364</v>
      </c>
      <c r="C42" s="36">
        <f t="shared" si="0"/>
        <v>35</v>
      </c>
      <c r="D42" s="36" t="s">
        <v>1356</v>
      </c>
      <c r="E42" s="71" t="s">
        <v>1386</v>
      </c>
      <c r="F42" s="59">
        <v>3</v>
      </c>
      <c r="G42" s="58" t="s">
        <v>1340</v>
      </c>
      <c r="H42" s="58" t="s">
        <v>1341</v>
      </c>
      <c r="I42" t="s">
        <v>1342</v>
      </c>
      <c r="J42" t="s">
        <v>1343</v>
      </c>
      <c r="K42" s="31"/>
      <c r="L42"/>
    </row>
    <row r="43" spans="1:15" ht="28.5">
      <c r="A43" s="37" t="s">
        <v>1364</v>
      </c>
      <c r="C43" s="36">
        <f t="shared" si="0"/>
        <v>36</v>
      </c>
      <c r="D43" s="36" t="s">
        <v>1356</v>
      </c>
      <c r="E43" s="47" t="s">
        <v>1069</v>
      </c>
      <c r="F43" s="57">
        <v>4</v>
      </c>
      <c r="G43" s="56" t="s">
        <v>1358</v>
      </c>
      <c r="H43" s="58" t="s">
        <v>1341</v>
      </c>
      <c r="I43" t="s">
        <v>1342</v>
      </c>
      <c r="J43" t="s">
        <v>1343</v>
      </c>
      <c r="K43" s="31"/>
      <c r="L43" s="28">
        <v>3</v>
      </c>
    </row>
    <row r="44" spans="1:15" ht="42.75">
      <c r="A44" s="37" t="s">
        <v>1364</v>
      </c>
      <c r="C44" s="36">
        <f t="shared" si="0"/>
        <v>37</v>
      </c>
      <c r="D44" s="36" t="s">
        <v>1356</v>
      </c>
      <c r="E44" s="47" t="s">
        <v>1070</v>
      </c>
      <c r="F44" s="57">
        <v>4</v>
      </c>
      <c r="G44" s="56" t="s">
        <v>1358</v>
      </c>
      <c r="H44" s="58" t="s">
        <v>1341</v>
      </c>
      <c r="I44" t="s">
        <v>1342</v>
      </c>
      <c r="J44" t="s">
        <v>1343</v>
      </c>
      <c r="K44" s="31"/>
      <c r="L44" s="28">
        <v>5</v>
      </c>
    </row>
    <row r="45" spans="1:15" hidden="1">
      <c r="A45" s="37" t="s">
        <v>1364</v>
      </c>
      <c r="C45" s="36">
        <f t="shared" si="0"/>
        <v>38</v>
      </c>
      <c r="D45" s="36" t="s">
        <v>1356</v>
      </c>
      <c r="E45" s="47" t="s">
        <v>1387</v>
      </c>
      <c r="F45" s="58">
        <v>3</v>
      </c>
      <c r="G45" s="58" t="s">
        <v>1340</v>
      </c>
      <c r="H45" s="58" t="s">
        <v>1341</v>
      </c>
      <c r="I45" t="s">
        <v>1342</v>
      </c>
      <c r="J45" t="s">
        <v>1343</v>
      </c>
      <c r="K45" s="31"/>
      <c r="L45"/>
    </row>
    <row r="46" spans="1:15" ht="28.5">
      <c r="A46" s="37" t="s">
        <v>1364</v>
      </c>
      <c r="C46" s="36">
        <f t="shared" si="0"/>
        <v>39</v>
      </c>
      <c r="D46" s="36" t="s">
        <v>1356</v>
      </c>
      <c r="E46" s="47" t="s">
        <v>1388</v>
      </c>
      <c r="F46" s="56">
        <v>4</v>
      </c>
      <c r="G46" s="56" t="s">
        <v>1358</v>
      </c>
      <c r="H46" s="58" t="s">
        <v>1341</v>
      </c>
      <c r="I46" t="s">
        <v>1359</v>
      </c>
      <c r="J46" t="s">
        <v>1360</v>
      </c>
      <c r="K46" s="31"/>
      <c r="L46" s="28">
        <v>3</v>
      </c>
    </row>
    <row r="47" spans="1:15" hidden="1">
      <c r="A47" s="37" t="s">
        <v>1364</v>
      </c>
      <c r="C47" s="36">
        <f t="shared" si="0"/>
        <v>40</v>
      </c>
      <c r="D47" s="36" t="s">
        <v>1356</v>
      </c>
      <c r="E47" s="47" t="s">
        <v>1389</v>
      </c>
      <c r="F47" s="58">
        <v>3</v>
      </c>
      <c r="G47" s="58" t="s">
        <v>1340</v>
      </c>
      <c r="H47" s="58" t="s">
        <v>1341</v>
      </c>
      <c r="I47" t="s">
        <v>1342</v>
      </c>
      <c r="J47" t="s">
        <v>1343</v>
      </c>
      <c r="K47" s="31"/>
      <c r="L47"/>
    </row>
    <row r="48" spans="1:15" ht="15.75">
      <c r="A48" s="76"/>
      <c r="C48" s="36">
        <f t="shared" si="0"/>
        <v>41</v>
      </c>
      <c r="D48" s="36" t="s">
        <v>1356</v>
      </c>
      <c r="E48" s="47" t="s">
        <v>1390</v>
      </c>
      <c r="F48" s="56">
        <v>4</v>
      </c>
      <c r="G48" s="56" t="s">
        <v>1358</v>
      </c>
      <c r="H48" s="58" t="s">
        <v>1341</v>
      </c>
      <c r="I48" t="s">
        <v>1342</v>
      </c>
      <c r="J48" t="s">
        <v>1343</v>
      </c>
      <c r="K48" s="31"/>
      <c r="L48" s="28">
        <v>2</v>
      </c>
      <c r="M48" s="6" t="s">
        <v>1354</v>
      </c>
      <c r="O48" s="75">
        <v>7</v>
      </c>
    </row>
    <row r="49" spans="1:15" ht="28.5" hidden="1">
      <c r="A49" s="37" t="s">
        <v>137</v>
      </c>
      <c r="B49" t="s">
        <v>53</v>
      </c>
      <c r="C49" s="36">
        <f t="shared" si="0"/>
        <v>42</v>
      </c>
      <c r="D49" s="36" t="s">
        <v>1371</v>
      </c>
      <c r="E49" s="74" t="s">
        <v>1391</v>
      </c>
      <c r="F49" s="41">
        <v>3</v>
      </c>
      <c r="G49" s="41" t="s">
        <v>1340</v>
      </c>
      <c r="H49" s="58" t="s">
        <v>1341</v>
      </c>
      <c r="I49" t="s">
        <v>1359</v>
      </c>
      <c r="J49" t="s">
        <v>1343</v>
      </c>
      <c r="K49" s="31"/>
      <c r="L49"/>
    </row>
    <row r="50" spans="1:15">
      <c r="A50" s="37" t="s">
        <v>1364</v>
      </c>
      <c r="C50" s="36">
        <f t="shared" si="0"/>
        <v>43</v>
      </c>
      <c r="D50" s="36" t="s">
        <v>1356</v>
      </c>
      <c r="E50" s="47" t="s">
        <v>597</v>
      </c>
      <c r="F50" s="57">
        <v>4</v>
      </c>
      <c r="G50" s="56" t="s">
        <v>1392</v>
      </c>
      <c r="H50" s="58" t="s">
        <v>1341</v>
      </c>
      <c r="I50" t="s">
        <v>1359</v>
      </c>
      <c r="J50" t="s">
        <v>1343</v>
      </c>
      <c r="K50" s="31"/>
      <c r="L50" s="28">
        <v>4</v>
      </c>
    </row>
    <row r="51" spans="1:15" ht="28.5">
      <c r="A51" s="37" t="s">
        <v>1364</v>
      </c>
      <c r="C51" s="36">
        <f t="shared" si="0"/>
        <v>44</v>
      </c>
      <c r="D51" s="36" t="s">
        <v>1356</v>
      </c>
      <c r="E51" s="73" t="s">
        <v>1071</v>
      </c>
      <c r="F51" s="32" t="s">
        <v>1072</v>
      </c>
      <c r="G51" s="30" t="s">
        <v>1358</v>
      </c>
      <c r="H51" s="58" t="s">
        <v>1341</v>
      </c>
      <c r="I51" t="s">
        <v>1372</v>
      </c>
      <c r="J51" t="s">
        <v>1360</v>
      </c>
      <c r="K51" s="31"/>
      <c r="L51" s="28">
        <v>8</v>
      </c>
    </row>
    <row r="52" spans="1:15" hidden="1">
      <c r="A52" s="37" t="s">
        <v>1364</v>
      </c>
      <c r="C52" s="36">
        <f t="shared" si="0"/>
        <v>45</v>
      </c>
      <c r="D52" s="36" t="s">
        <v>1371</v>
      </c>
      <c r="E52" s="71" t="s">
        <v>1393</v>
      </c>
      <c r="F52" s="58">
        <v>3</v>
      </c>
      <c r="G52" s="58" t="s">
        <v>1340</v>
      </c>
      <c r="H52" s="58" t="s">
        <v>1341</v>
      </c>
      <c r="I52" t="s">
        <v>1342</v>
      </c>
      <c r="J52" t="s">
        <v>1343</v>
      </c>
      <c r="K52" s="31"/>
      <c r="L52"/>
    </row>
    <row r="53" spans="1:15" hidden="1">
      <c r="A53" s="37" t="s">
        <v>1364</v>
      </c>
      <c r="C53" s="72">
        <f t="shared" si="0"/>
        <v>46</v>
      </c>
      <c r="D53" s="72" t="s">
        <v>1371</v>
      </c>
      <c r="E53" s="71" t="s">
        <v>1394</v>
      </c>
      <c r="F53" s="58">
        <v>3</v>
      </c>
      <c r="G53" s="58" t="s">
        <v>1340</v>
      </c>
      <c r="H53" s="58" t="s">
        <v>1341</v>
      </c>
      <c r="I53" t="s">
        <v>1342</v>
      </c>
      <c r="J53" t="s">
        <v>1343</v>
      </c>
      <c r="K53" s="31"/>
      <c r="L53"/>
    </row>
    <row r="54" spans="1:15" ht="28.5" hidden="1">
      <c r="A54" s="37" t="s">
        <v>1364</v>
      </c>
      <c r="C54" s="4">
        <f t="shared" si="0"/>
        <v>47</v>
      </c>
      <c r="D54" s="4" t="s">
        <v>1371</v>
      </c>
      <c r="E54" s="70" t="s">
        <v>1395</v>
      </c>
      <c r="F54" s="58">
        <v>3</v>
      </c>
      <c r="G54" s="58" t="s">
        <v>1340</v>
      </c>
      <c r="H54" s="58" t="s">
        <v>1341</v>
      </c>
      <c r="I54" t="s">
        <v>1342</v>
      </c>
      <c r="J54" t="s">
        <v>1343</v>
      </c>
      <c r="K54" s="31"/>
      <c r="L54"/>
    </row>
    <row r="55" spans="1:15" ht="21" hidden="1">
      <c r="A55" s="37" t="s">
        <v>137</v>
      </c>
      <c r="B55" t="s">
        <v>53</v>
      </c>
      <c r="C55" s="39"/>
      <c r="D55" s="39"/>
      <c r="E55" s="69" t="s">
        <v>218</v>
      </c>
      <c r="F55" s="35"/>
      <c r="G55" s="34"/>
      <c r="H55" s="34"/>
      <c r="K55" s="31"/>
      <c r="L55"/>
      <c r="M55" s="68" t="s">
        <v>1396</v>
      </c>
    </row>
    <row r="56" spans="1:15" hidden="1">
      <c r="C56" s="36">
        <v>48</v>
      </c>
      <c r="D56" s="36" t="s">
        <v>1397</v>
      </c>
      <c r="E56" s="60" t="s">
        <v>1173</v>
      </c>
      <c r="F56" s="35" t="s">
        <v>1398</v>
      </c>
      <c r="G56" s="34"/>
      <c r="H56" s="34" t="s">
        <v>1399</v>
      </c>
      <c r="K56" s="31"/>
      <c r="L56"/>
      <c r="M56" s="6" t="s">
        <v>1344</v>
      </c>
    </row>
    <row r="57" spans="1:15" hidden="1">
      <c r="C57" s="36">
        <f t="shared" ref="C57:C87" si="1">+C56+1</f>
        <v>49</v>
      </c>
      <c r="D57" s="36" t="s">
        <v>1397</v>
      </c>
      <c r="E57" s="33" t="s">
        <v>1400</v>
      </c>
      <c r="F57" s="35" t="s">
        <v>1072</v>
      </c>
      <c r="G57" s="34"/>
      <c r="H57" s="34" t="s">
        <v>1399</v>
      </c>
      <c r="I57" t="s">
        <v>1372</v>
      </c>
      <c r="J57" t="s">
        <v>1360</v>
      </c>
      <c r="K57" s="31"/>
      <c r="L57"/>
      <c r="M57" s="6" t="s">
        <v>1354</v>
      </c>
      <c r="O57">
        <v>2</v>
      </c>
    </row>
    <row r="58" spans="1:15" hidden="1">
      <c r="A58" s="61" t="s">
        <v>137</v>
      </c>
      <c r="B58" t="s">
        <v>53</v>
      </c>
      <c r="C58" s="36">
        <f t="shared" si="1"/>
        <v>50</v>
      </c>
      <c r="D58" s="36" t="s">
        <v>1397</v>
      </c>
      <c r="E58" s="33" t="s">
        <v>1401</v>
      </c>
      <c r="F58" s="53">
        <v>1</v>
      </c>
      <c r="G58" s="52"/>
      <c r="H58" s="34" t="s">
        <v>1399</v>
      </c>
      <c r="I58" t="s">
        <v>1372</v>
      </c>
      <c r="J58" t="s">
        <v>1360</v>
      </c>
      <c r="K58" s="31"/>
      <c r="L58"/>
      <c r="M58" s="6" t="s">
        <v>1347</v>
      </c>
      <c r="O58">
        <v>7</v>
      </c>
    </row>
    <row r="59" spans="1:15" hidden="1">
      <c r="A59" s="61" t="s">
        <v>1364</v>
      </c>
      <c r="B59" t="s">
        <v>53</v>
      </c>
      <c r="C59" s="36">
        <f t="shared" si="1"/>
        <v>51</v>
      </c>
      <c r="D59" s="36" t="s">
        <v>1397</v>
      </c>
      <c r="E59" s="33" t="s">
        <v>1402</v>
      </c>
      <c r="F59" s="67">
        <v>1</v>
      </c>
      <c r="G59" s="66"/>
      <c r="H59" s="34" t="s">
        <v>1399</v>
      </c>
      <c r="I59" t="s">
        <v>1359</v>
      </c>
      <c r="J59" t="s">
        <v>1360</v>
      </c>
      <c r="K59" s="31"/>
      <c r="L59"/>
    </row>
    <row r="60" spans="1:15" hidden="1">
      <c r="A60" s="37" t="s">
        <v>1403</v>
      </c>
      <c r="C60" s="36">
        <f t="shared" si="1"/>
        <v>52</v>
      </c>
      <c r="D60" s="36" t="s">
        <v>1397</v>
      </c>
      <c r="E60" s="33" t="s">
        <v>1404</v>
      </c>
      <c r="F60" s="35" t="s">
        <v>1398</v>
      </c>
      <c r="G60" s="34"/>
      <c r="H60" s="34" t="s">
        <v>1399</v>
      </c>
      <c r="J60" t="s">
        <v>1360</v>
      </c>
      <c r="K60" s="31"/>
      <c r="L60"/>
    </row>
    <row r="61" spans="1:15" hidden="1">
      <c r="A61" s="37" t="s">
        <v>1403</v>
      </c>
      <c r="B61" t="s">
        <v>53</v>
      </c>
      <c r="C61" s="36">
        <f t="shared" si="1"/>
        <v>53</v>
      </c>
      <c r="D61" s="36" t="s">
        <v>1397</v>
      </c>
      <c r="E61" s="33" t="s">
        <v>1405</v>
      </c>
      <c r="F61" s="35" t="s">
        <v>1398</v>
      </c>
      <c r="G61" s="34"/>
      <c r="H61" s="34" t="s">
        <v>1399</v>
      </c>
      <c r="J61" t="s">
        <v>1360</v>
      </c>
      <c r="K61" s="31"/>
      <c r="L61"/>
    </row>
    <row r="62" spans="1:15" hidden="1">
      <c r="A62" s="37" t="s">
        <v>1403</v>
      </c>
      <c r="C62" s="36">
        <f t="shared" si="1"/>
        <v>54</v>
      </c>
      <c r="D62" s="36" t="s">
        <v>1397</v>
      </c>
      <c r="E62" s="33" t="s">
        <v>1406</v>
      </c>
      <c r="F62" s="35" t="s">
        <v>1398</v>
      </c>
      <c r="G62" s="34"/>
      <c r="H62" s="34" t="s">
        <v>1399</v>
      </c>
      <c r="J62" t="s">
        <v>1360</v>
      </c>
      <c r="K62" s="31"/>
      <c r="L62"/>
    </row>
    <row r="63" spans="1:15" hidden="1">
      <c r="A63" s="37" t="s">
        <v>1403</v>
      </c>
      <c r="B63" t="s">
        <v>53</v>
      </c>
      <c r="C63" s="36">
        <f t="shared" si="1"/>
        <v>55</v>
      </c>
      <c r="D63" s="36" t="s">
        <v>1397</v>
      </c>
      <c r="E63" s="33" t="s">
        <v>584</v>
      </c>
      <c r="F63" s="32" t="s">
        <v>1398</v>
      </c>
      <c r="H63" s="34" t="s">
        <v>1399</v>
      </c>
      <c r="J63" t="s">
        <v>1360</v>
      </c>
      <c r="K63" s="31"/>
      <c r="L63"/>
    </row>
    <row r="64" spans="1:15" hidden="1">
      <c r="A64" s="37"/>
      <c r="C64" s="36">
        <f t="shared" si="1"/>
        <v>56</v>
      </c>
      <c r="D64" s="36" t="s">
        <v>1397</v>
      </c>
      <c r="E64" s="60" t="s">
        <v>1049</v>
      </c>
      <c r="F64" s="32" t="s">
        <v>1398</v>
      </c>
      <c r="H64" s="34" t="s">
        <v>1399</v>
      </c>
      <c r="J64" t="s">
        <v>1360</v>
      </c>
      <c r="K64" s="31"/>
      <c r="L64"/>
    </row>
    <row r="65" spans="1:13" hidden="1">
      <c r="A65" s="37"/>
      <c r="C65" s="36">
        <f t="shared" si="1"/>
        <v>57</v>
      </c>
      <c r="D65" s="36" t="s">
        <v>1397</v>
      </c>
      <c r="E65" s="60" t="s">
        <v>588</v>
      </c>
      <c r="F65" s="32" t="s">
        <v>1398</v>
      </c>
      <c r="H65" s="34" t="s">
        <v>1399</v>
      </c>
      <c r="J65" t="s">
        <v>1360</v>
      </c>
      <c r="K65" s="31"/>
      <c r="L65"/>
    </row>
    <row r="66" spans="1:13" hidden="1">
      <c r="A66" s="37"/>
      <c r="C66" s="36">
        <f t="shared" si="1"/>
        <v>58</v>
      </c>
      <c r="D66" s="36" t="s">
        <v>1397</v>
      </c>
      <c r="E66" s="64" t="s">
        <v>1056</v>
      </c>
      <c r="F66" s="63">
        <v>1</v>
      </c>
      <c r="G66" s="62"/>
      <c r="H66" s="34" t="s">
        <v>1399</v>
      </c>
      <c r="I66" t="s">
        <v>1359</v>
      </c>
      <c r="J66" t="s">
        <v>1360</v>
      </c>
      <c r="K66" s="31"/>
      <c r="L66"/>
    </row>
    <row r="67" spans="1:13" hidden="1">
      <c r="A67" s="65"/>
      <c r="C67" s="36">
        <f t="shared" si="1"/>
        <v>59</v>
      </c>
      <c r="D67" s="36" t="s">
        <v>1397</v>
      </c>
      <c r="E67" s="60" t="s">
        <v>589</v>
      </c>
      <c r="F67" s="67">
        <v>1</v>
      </c>
      <c r="G67" s="66"/>
      <c r="H67" s="34" t="s">
        <v>1399</v>
      </c>
      <c r="I67" t="s">
        <v>1359</v>
      </c>
      <c r="J67" t="s">
        <v>1360</v>
      </c>
      <c r="K67" s="31"/>
      <c r="L67"/>
    </row>
    <row r="68" spans="1:13" hidden="1">
      <c r="A68" s="65"/>
      <c r="C68" s="36">
        <f t="shared" si="1"/>
        <v>60</v>
      </c>
      <c r="D68" s="36" t="s">
        <v>1397</v>
      </c>
      <c r="E68" s="33" t="s">
        <v>1046</v>
      </c>
      <c r="F68" s="48">
        <v>3</v>
      </c>
      <c r="G68" s="41"/>
      <c r="H68" s="34" t="s">
        <v>1399</v>
      </c>
      <c r="I68" t="s">
        <v>1359</v>
      </c>
      <c r="J68" t="s">
        <v>1407</v>
      </c>
      <c r="K68" s="31"/>
      <c r="L68"/>
    </row>
    <row r="69" spans="1:13" hidden="1">
      <c r="A69" s="65"/>
      <c r="C69" s="36">
        <f t="shared" si="1"/>
        <v>61</v>
      </c>
      <c r="D69" s="36" t="s">
        <v>1397</v>
      </c>
      <c r="E69" s="60" t="s">
        <v>1408</v>
      </c>
      <c r="F69" s="63">
        <v>1</v>
      </c>
      <c r="G69" s="62"/>
      <c r="H69" s="34" t="s">
        <v>1399</v>
      </c>
      <c r="I69" t="s">
        <v>1359</v>
      </c>
      <c r="J69" t="s">
        <v>1360</v>
      </c>
      <c r="K69" s="31"/>
      <c r="L69"/>
    </row>
    <row r="70" spans="1:13" hidden="1">
      <c r="A70" s="65"/>
      <c r="C70" s="36">
        <f t="shared" si="1"/>
        <v>62</v>
      </c>
      <c r="D70" s="36" t="s">
        <v>1371</v>
      </c>
      <c r="E70" s="60" t="s">
        <v>594</v>
      </c>
      <c r="F70" s="67">
        <v>1</v>
      </c>
      <c r="G70" s="66"/>
      <c r="H70" s="34" t="s">
        <v>1399</v>
      </c>
      <c r="I70" t="s">
        <v>1359</v>
      </c>
      <c r="J70" t="s">
        <v>1360</v>
      </c>
      <c r="K70" s="31"/>
      <c r="L70"/>
      <c r="M70" s="6"/>
    </row>
    <row r="71" spans="1:13" hidden="1">
      <c r="A71" s="65"/>
      <c r="C71" s="36">
        <f t="shared" si="1"/>
        <v>63</v>
      </c>
      <c r="D71" s="36" t="s">
        <v>1371</v>
      </c>
      <c r="E71" s="60" t="s">
        <v>1054</v>
      </c>
      <c r="F71" s="46">
        <v>4</v>
      </c>
      <c r="G71" s="45"/>
      <c r="H71" s="34" t="s">
        <v>1399</v>
      </c>
      <c r="I71" t="s">
        <v>1359</v>
      </c>
      <c r="J71" t="s">
        <v>1360</v>
      </c>
      <c r="K71" s="31"/>
      <c r="L71"/>
      <c r="M71" s="6" t="s">
        <v>1363</v>
      </c>
    </row>
    <row r="72" spans="1:13" hidden="1">
      <c r="A72" s="37" t="s">
        <v>137</v>
      </c>
      <c r="B72" t="s">
        <v>53</v>
      </c>
      <c r="C72" s="36">
        <f t="shared" si="1"/>
        <v>64</v>
      </c>
      <c r="D72" s="36" t="s">
        <v>1371</v>
      </c>
      <c r="E72" s="33" t="s">
        <v>1409</v>
      </c>
      <c r="F72" s="46">
        <v>4</v>
      </c>
      <c r="G72" s="45"/>
      <c r="H72" s="34" t="s">
        <v>1399</v>
      </c>
      <c r="I72" t="s">
        <v>1359</v>
      </c>
      <c r="J72" t="s">
        <v>1360</v>
      </c>
      <c r="K72" s="31"/>
      <c r="L72"/>
    </row>
    <row r="73" spans="1:13" hidden="1">
      <c r="A73" s="37"/>
      <c r="C73" s="36">
        <f t="shared" si="1"/>
        <v>65</v>
      </c>
      <c r="D73" s="36" t="s">
        <v>1371</v>
      </c>
      <c r="E73" s="33" t="s">
        <v>586</v>
      </c>
      <c r="F73" s="46">
        <v>4</v>
      </c>
      <c r="G73" s="45"/>
      <c r="H73" s="34" t="s">
        <v>1399</v>
      </c>
      <c r="I73" t="s">
        <v>1359</v>
      </c>
      <c r="J73" t="s">
        <v>1360</v>
      </c>
      <c r="K73" s="31"/>
      <c r="L73"/>
    </row>
    <row r="74" spans="1:13" hidden="1">
      <c r="A74" s="37" t="s">
        <v>763</v>
      </c>
      <c r="B74" t="s">
        <v>53</v>
      </c>
      <c r="C74" s="36">
        <f t="shared" si="1"/>
        <v>66</v>
      </c>
      <c r="D74" s="36" t="s">
        <v>1371</v>
      </c>
      <c r="E74" s="33" t="s">
        <v>1410</v>
      </c>
      <c r="F74" s="46">
        <v>4</v>
      </c>
      <c r="G74" s="45"/>
      <c r="H74" s="34" t="s">
        <v>1399</v>
      </c>
      <c r="I74" t="s">
        <v>1359</v>
      </c>
      <c r="J74" t="s">
        <v>1360</v>
      </c>
      <c r="K74" s="31"/>
      <c r="L74"/>
    </row>
    <row r="75" spans="1:13" hidden="1">
      <c r="A75" s="37" t="s">
        <v>835</v>
      </c>
      <c r="B75" t="s">
        <v>1411</v>
      </c>
      <c r="C75" s="36">
        <f t="shared" si="1"/>
        <v>67</v>
      </c>
      <c r="D75" s="36" t="s">
        <v>1371</v>
      </c>
      <c r="E75" s="33" t="s">
        <v>1412</v>
      </c>
      <c r="F75" s="46">
        <v>4</v>
      </c>
      <c r="G75" s="45"/>
      <c r="H75" s="34" t="s">
        <v>1399</v>
      </c>
      <c r="I75" t="s">
        <v>1359</v>
      </c>
      <c r="J75" t="s">
        <v>1360</v>
      </c>
      <c r="K75" s="31"/>
      <c r="L75"/>
    </row>
    <row r="76" spans="1:13" hidden="1">
      <c r="A76" s="37" t="s">
        <v>763</v>
      </c>
      <c r="B76" t="s">
        <v>53</v>
      </c>
      <c r="C76" s="36">
        <f t="shared" si="1"/>
        <v>68</v>
      </c>
      <c r="D76" s="36" t="s">
        <v>1371</v>
      </c>
      <c r="E76" s="33" t="s">
        <v>1413</v>
      </c>
      <c r="F76" s="46">
        <v>4</v>
      </c>
      <c r="G76" s="45"/>
      <c r="H76" s="34" t="s">
        <v>1399</v>
      </c>
      <c r="I76" t="s">
        <v>1359</v>
      </c>
      <c r="J76" t="s">
        <v>1360</v>
      </c>
      <c r="K76" s="31"/>
      <c r="L76"/>
    </row>
    <row r="77" spans="1:13" hidden="1">
      <c r="A77" s="37" t="s">
        <v>1403</v>
      </c>
      <c r="B77" t="s">
        <v>1411</v>
      </c>
      <c r="C77" s="36">
        <f t="shared" si="1"/>
        <v>69</v>
      </c>
      <c r="D77" s="36" t="s">
        <v>1371</v>
      </c>
      <c r="E77" s="33" t="s">
        <v>1414</v>
      </c>
      <c r="F77" s="46">
        <v>4</v>
      </c>
      <c r="G77" s="45"/>
      <c r="H77" s="34" t="s">
        <v>1399</v>
      </c>
      <c r="I77" t="s">
        <v>1359</v>
      </c>
      <c r="J77" t="s">
        <v>1360</v>
      </c>
      <c r="K77" s="31"/>
      <c r="L77"/>
    </row>
    <row r="78" spans="1:13" hidden="1">
      <c r="A78" s="37" t="s">
        <v>1403</v>
      </c>
      <c r="B78" t="s">
        <v>1411</v>
      </c>
      <c r="C78" s="36">
        <f t="shared" si="1"/>
        <v>70</v>
      </c>
      <c r="D78" s="36" t="s">
        <v>1371</v>
      </c>
      <c r="E78" s="33" t="s">
        <v>1415</v>
      </c>
      <c r="F78" s="46">
        <v>4</v>
      </c>
      <c r="G78" s="45"/>
      <c r="H78" s="34" t="s">
        <v>1399</v>
      </c>
      <c r="I78" t="s">
        <v>1359</v>
      </c>
      <c r="J78" t="s">
        <v>1360</v>
      </c>
      <c r="K78" s="31"/>
      <c r="L78"/>
    </row>
    <row r="79" spans="1:13" hidden="1">
      <c r="A79" s="37" t="s">
        <v>1403</v>
      </c>
      <c r="B79" t="s">
        <v>1411</v>
      </c>
      <c r="C79" s="36">
        <f t="shared" si="1"/>
        <v>71</v>
      </c>
      <c r="D79" s="36" t="s">
        <v>1371</v>
      </c>
      <c r="E79" s="33" t="s">
        <v>1416</v>
      </c>
      <c r="F79" s="46">
        <v>4</v>
      </c>
      <c r="G79" s="45"/>
      <c r="H79" s="34" t="s">
        <v>1399</v>
      </c>
      <c r="I79" t="s">
        <v>1359</v>
      </c>
      <c r="J79" t="s">
        <v>1360</v>
      </c>
      <c r="K79" s="31"/>
      <c r="L79"/>
    </row>
    <row r="80" spans="1:13" hidden="1">
      <c r="A80" s="37" t="s">
        <v>1403</v>
      </c>
      <c r="B80" t="s">
        <v>1411</v>
      </c>
      <c r="C80" s="36">
        <f t="shared" si="1"/>
        <v>72</v>
      </c>
      <c r="D80" s="36" t="s">
        <v>1371</v>
      </c>
      <c r="E80" s="33" t="s">
        <v>580</v>
      </c>
      <c r="F80" s="46">
        <v>4</v>
      </c>
      <c r="G80" s="45"/>
      <c r="H80" s="34" t="s">
        <v>1399</v>
      </c>
      <c r="I80" t="s">
        <v>1359</v>
      </c>
      <c r="J80" t="s">
        <v>1360</v>
      </c>
      <c r="K80" s="31"/>
      <c r="L80"/>
    </row>
    <row r="81" spans="1:12" hidden="1">
      <c r="A81" s="37" t="s">
        <v>1364</v>
      </c>
      <c r="B81" t="s">
        <v>53</v>
      </c>
      <c r="C81" s="36">
        <f t="shared" si="1"/>
        <v>73</v>
      </c>
      <c r="D81" s="36" t="s">
        <v>1371</v>
      </c>
      <c r="E81" s="64" t="s">
        <v>1417</v>
      </c>
      <c r="F81" s="63">
        <v>1</v>
      </c>
      <c r="G81" s="62"/>
      <c r="H81" s="34" t="s">
        <v>1399</v>
      </c>
      <c r="I81" t="s">
        <v>1359</v>
      </c>
      <c r="J81" t="s">
        <v>1360</v>
      </c>
      <c r="K81" s="31"/>
      <c r="L81"/>
    </row>
    <row r="82" spans="1:12" hidden="1">
      <c r="A82" s="37" t="s">
        <v>762</v>
      </c>
      <c r="B82" t="s">
        <v>53</v>
      </c>
      <c r="C82" s="36">
        <f t="shared" si="1"/>
        <v>74</v>
      </c>
      <c r="D82" s="36" t="s">
        <v>1371</v>
      </c>
      <c r="E82" s="60" t="s">
        <v>1418</v>
      </c>
      <c r="F82" s="32" t="s">
        <v>1398</v>
      </c>
      <c r="H82" s="34" t="s">
        <v>1399</v>
      </c>
      <c r="K82" s="31"/>
      <c r="L82"/>
    </row>
    <row r="83" spans="1:12" hidden="1">
      <c r="A83" s="61" t="s">
        <v>762</v>
      </c>
      <c r="B83" t="s">
        <v>53</v>
      </c>
      <c r="C83" s="36">
        <f t="shared" si="1"/>
        <v>75</v>
      </c>
      <c r="D83" s="36" t="s">
        <v>1371</v>
      </c>
      <c r="E83" s="64" t="s">
        <v>1419</v>
      </c>
      <c r="F83" s="63">
        <v>1</v>
      </c>
      <c r="G83" s="62"/>
      <c r="H83" s="34" t="s">
        <v>1399</v>
      </c>
      <c r="I83" t="s">
        <v>1359</v>
      </c>
      <c r="J83" t="s">
        <v>1360</v>
      </c>
      <c r="K83" s="31"/>
      <c r="L83"/>
    </row>
    <row r="84" spans="1:12" hidden="1">
      <c r="A84" s="61"/>
      <c r="C84" s="36">
        <f t="shared" si="1"/>
        <v>76</v>
      </c>
      <c r="D84" s="36" t="s">
        <v>1371</v>
      </c>
      <c r="E84" s="60" t="s">
        <v>1420</v>
      </c>
      <c r="F84" s="63">
        <v>1</v>
      </c>
      <c r="G84" s="62"/>
      <c r="H84" s="34" t="s">
        <v>1399</v>
      </c>
      <c r="I84" t="s">
        <v>1359</v>
      </c>
      <c r="J84" t="s">
        <v>1360</v>
      </c>
      <c r="K84" s="31"/>
      <c r="L84"/>
    </row>
    <row r="85" spans="1:12" hidden="1">
      <c r="A85" s="61"/>
      <c r="C85" s="36">
        <f t="shared" si="1"/>
        <v>77</v>
      </c>
      <c r="D85" s="36" t="s">
        <v>1371</v>
      </c>
      <c r="E85" s="60" t="s">
        <v>1421</v>
      </c>
      <c r="F85" s="32" t="s">
        <v>1398</v>
      </c>
      <c r="H85" s="34" t="s">
        <v>1399</v>
      </c>
      <c r="K85" s="31"/>
      <c r="L85"/>
    </row>
    <row r="86" spans="1:12" hidden="1">
      <c r="C86" s="36">
        <f t="shared" si="1"/>
        <v>78</v>
      </c>
      <c r="D86" s="36" t="s">
        <v>1371</v>
      </c>
      <c r="E86" s="33" t="s">
        <v>1422</v>
      </c>
      <c r="F86" s="59">
        <v>3</v>
      </c>
      <c r="G86" s="58"/>
      <c r="H86" s="34" t="s">
        <v>1399</v>
      </c>
      <c r="I86" t="s">
        <v>1359</v>
      </c>
      <c r="J86" t="s">
        <v>1407</v>
      </c>
      <c r="K86" s="31"/>
      <c r="L86"/>
    </row>
    <row r="87" spans="1:12" hidden="1">
      <c r="C87" s="36">
        <f t="shared" si="1"/>
        <v>79</v>
      </c>
      <c r="D87" s="36" t="s">
        <v>1371</v>
      </c>
      <c r="E87" s="33" t="s">
        <v>1055</v>
      </c>
      <c r="F87" s="57">
        <v>4</v>
      </c>
      <c r="G87" s="56"/>
      <c r="H87" s="34" t="s">
        <v>1399</v>
      </c>
      <c r="I87" t="s">
        <v>1342</v>
      </c>
      <c r="J87" t="s">
        <v>1360</v>
      </c>
      <c r="K87" s="31"/>
      <c r="L87"/>
    </row>
    <row r="88" spans="1:12" ht="18" hidden="1">
      <c r="C88" s="39"/>
      <c r="D88" s="39"/>
      <c r="E88" s="38" t="s">
        <v>1423</v>
      </c>
      <c r="F88" s="35"/>
      <c r="G88" s="34"/>
      <c r="H88" s="34"/>
      <c r="K88" s="31"/>
      <c r="L88"/>
    </row>
    <row r="89" spans="1:12" s="5" customFormat="1" ht="21" hidden="1" customHeight="1">
      <c r="C89" s="39">
        <v>80</v>
      </c>
      <c r="D89" s="39" t="s">
        <v>1424</v>
      </c>
      <c r="E89" s="55" t="s">
        <v>1425</v>
      </c>
      <c r="F89" s="53">
        <v>1</v>
      </c>
      <c r="G89" s="52"/>
      <c r="H89" s="52" t="s">
        <v>1426</v>
      </c>
      <c r="I89" t="s">
        <v>1372</v>
      </c>
      <c r="J89" t="s">
        <v>1360</v>
      </c>
      <c r="K89" s="31"/>
      <c r="L89"/>
    </row>
    <row r="90" spans="1:12" ht="18" hidden="1">
      <c r="A90" s="37"/>
      <c r="C90" s="39"/>
      <c r="D90" s="39"/>
      <c r="E90" s="54" t="s">
        <v>1427</v>
      </c>
      <c r="F90" s="35"/>
      <c r="G90" s="34"/>
      <c r="H90" s="34"/>
      <c r="K90" s="31"/>
      <c r="L90"/>
    </row>
    <row r="91" spans="1:12" hidden="1">
      <c r="A91" s="37" t="s">
        <v>1364</v>
      </c>
      <c r="C91" s="36">
        <f>+C89+1</f>
        <v>81</v>
      </c>
      <c r="D91" s="36" t="s">
        <v>1397</v>
      </c>
      <c r="E91" s="33" t="s">
        <v>1428</v>
      </c>
      <c r="F91" s="48">
        <v>3</v>
      </c>
      <c r="G91" s="41"/>
      <c r="H91" s="41" t="s">
        <v>1429</v>
      </c>
      <c r="I91" s="5" t="s">
        <v>1342</v>
      </c>
      <c r="J91" s="5" t="s">
        <v>1343</v>
      </c>
      <c r="K91" s="31"/>
      <c r="L91"/>
    </row>
    <row r="92" spans="1:12" hidden="1">
      <c r="A92" s="37" t="s">
        <v>1364</v>
      </c>
      <c r="C92" s="36">
        <f t="shared" ref="C92:C101" si="2">+C91+1</f>
        <v>82</v>
      </c>
      <c r="D92" s="36" t="s">
        <v>1397</v>
      </c>
      <c r="E92" s="33" t="s">
        <v>1430</v>
      </c>
      <c r="F92" s="53">
        <v>1</v>
      </c>
      <c r="G92" s="52"/>
      <c r="H92" s="41" t="s">
        <v>1429</v>
      </c>
      <c r="I92" t="s">
        <v>1372</v>
      </c>
      <c r="J92" t="s">
        <v>1360</v>
      </c>
      <c r="K92" s="31"/>
      <c r="L92"/>
    </row>
    <row r="93" spans="1:12" ht="28.5" hidden="1">
      <c r="A93" s="37" t="s">
        <v>1364</v>
      </c>
      <c r="C93" s="36">
        <f t="shared" si="2"/>
        <v>83</v>
      </c>
      <c r="D93" s="36" t="s">
        <v>1338</v>
      </c>
      <c r="E93" s="51" t="s">
        <v>1431</v>
      </c>
      <c r="F93" s="50">
        <v>2</v>
      </c>
      <c r="G93" s="49"/>
      <c r="H93" s="41" t="s">
        <v>1429</v>
      </c>
      <c r="I93" s="5" t="s">
        <v>1372</v>
      </c>
      <c r="J93" s="5" t="s">
        <v>1360</v>
      </c>
      <c r="K93" s="44"/>
      <c r="L93" s="5"/>
    </row>
    <row r="94" spans="1:12" hidden="1">
      <c r="A94" s="37" t="s">
        <v>1364</v>
      </c>
      <c r="C94" s="36">
        <f t="shared" si="2"/>
        <v>84</v>
      </c>
      <c r="D94" s="36" t="s">
        <v>1338</v>
      </c>
      <c r="E94" s="47" t="s">
        <v>1432</v>
      </c>
      <c r="F94" s="48">
        <v>3</v>
      </c>
      <c r="G94" s="41"/>
      <c r="H94" s="41" t="s">
        <v>1429</v>
      </c>
      <c r="I94" s="5" t="s">
        <v>1342</v>
      </c>
      <c r="J94" s="5" t="s">
        <v>1343</v>
      </c>
      <c r="K94" s="44"/>
      <c r="L94" s="5"/>
    </row>
    <row r="95" spans="1:12" hidden="1">
      <c r="A95" s="37" t="s">
        <v>1364</v>
      </c>
      <c r="C95" s="36">
        <f t="shared" si="2"/>
        <v>85</v>
      </c>
      <c r="D95" s="36" t="s">
        <v>1338</v>
      </c>
      <c r="E95" s="47" t="s">
        <v>1433</v>
      </c>
      <c r="F95" s="48">
        <v>3</v>
      </c>
      <c r="G95" s="41"/>
      <c r="H95" s="41" t="s">
        <v>1429</v>
      </c>
      <c r="I95" s="5" t="s">
        <v>1342</v>
      </c>
      <c r="J95" s="5" t="s">
        <v>212</v>
      </c>
      <c r="K95" s="44"/>
      <c r="L95" s="5"/>
    </row>
    <row r="96" spans="1:12" hidden="1">
      <c r="A96" s="37" t="s">
        <v>1364</v>
      </c>
      <c r="C96" s="36">
        <f t="shared" si="2"/>
        <v>86</v>
      </c>
      <c r="D96" s="36" t="s">
        <v>1338</v>
      </c>
      <c r="E96" s="47" t="s">
        <v>1434</v>
      </c>
      <c r="F96" s="48">
        <v>3</v>
      </c>
      <c r="G96" s="41"/>
      <c r="H96" s="41" t="s">
        <v>1429</v>
      </c>
      <c r="I96" s="5" t="s">
        <v>1342</v>
      </c>
      <c r="J96" s="5" t="s">
        <v>212</v>
      </c>
      <c r="K96" s="44"/>
      <c r="L96" s="5"/>
    </row>
    <row r="97" spans="1:12" hidden="1">
      <c r="A97" s="37" t="s">
        <v>1364</v>
      </c>
      <c r="C97" s="36">
        <f t="shared" si="2"/>
        <v>87</v>
      </c>
      <c r="D97" s="36" t="s">
        <v>1338</v>
      </c>
      <c r="E97" s="33" t="s">
        <v>1435</v>
      </c>
      <c r="F97" s="48">
        <v>3</v>
      </c>
      <c r="G97" s="41"/>
      <c r="H97" s="41" t="s">
        <v>1429</v>
      </c>
      <c r="I97" s="5" t="s">
        <v>1342</v>
      </c>
      <c r="J97" s="5" t="s">
        <v>1343</v>
      </c>
      <c r="K97" s="44"/>
      <c r="L97" s="5"/>
    </row>
    <row r="98" spans="1:12" hidden="1">
      <c r="A98" s="37" t="s">
        <v>1364</v>
      </c>
      <c r="C98" s="36">
        <f t="shared" si="2"/>
        <v>88</v>
      </c>
      <c r="D98" s="36" t="s">
        <v>1338</v>
      </c>
      <c r="E98" s="33" t="s">
        <v>1436</v>
      </c>
      <c r="F98" s="48">
        <v>3</v>
      </c>
      <c r="G98" s="41"/>
      <c r="H98" s="41" t="s">
        <v>1429</v>
      </c>
      <c r="I98" s="5" t="s">
        <v>1342</v>
      </c>
      <c r="J98" s="5" t="s">
        <v>1343</v>
      </c>
      <c r="K98" s="44"/>
      <c r="L98" s="5"/>
    </row>
    <row r="99" spans="1:12" hidden="1">
      <c r="A99" s="37" t="s">
        <v>1364</v>
      </c>
      <c r="C99" s="36">
        <f t="shared" si="2"/>
        <v>89</v>
      </c>
      <c r="D99" s="36" t="s">
        <v>1356</v>
      </c>
      <c r="E99" s="47" t="s">
        <v>1437</v>
      </c>
      <c r="F99" s="48">
        <v>3</v>
      </c>
      <c r="G99" s="41"/>
      <c r="H99" s="41" t="s">
        <v>1429</v>
      </c>
      <c r="I99" s="5" t="s">
        <v>1372</v>
      </c>
      <c r="J99" s="5" t="s">
        <v>212</v>
      </c>
      <c r="K99" s="44"/>
      <c r="L99" s="5"/>
    </row>
    <row r="100" spans="1:12" hidden="1">
      <c r="A100" s="37" t="s">
        <v>1364</v>
      </c>
      <c r="C100" s="36">
        <f t="shared" si="2"/>
        <v>90</v>
      </c>
      <c r="D100" s="36" t="s">
        <v>1356</v>
      </c>
      <c r="E100" s="47" t="s">
        <v>1438</v>
      </c>
      <c r="F100" s="46">
        <v>4</v>
      </c>
      <c r="G100" s="45"/>
      <c r="H100" s="41" t="s">
        <v>1429</v>
      </c>
      <c r="I100" s="5" t="s">
        <v>1359</v>
      </c>
      <c r="J100" s="5" t="s">
        <v>212</v>
      </c>
      <c r="K100" s="44"/>
      <c r="L100" s="5"/>
    </row>
    <row r="101" spans="1:12" hidden="1">
      <c r="A101" s="37" t="s">
        <v>1364</v>
      </c>
      <c r="C101" s="36">
        <f t="shared" si="2"/>
        <v>91</v>
      </c>
      <c r="D101" s="36" t="s">
        <v>1356</v>
      </c>
      <c r="E101" s="33" t="s">
        <v>1439</v>
      </c>
      <c r="F101" s="46">
        <v>4</v>
      </c>
      <c r="G101" s="45"/>
      <c r="H101" s="41" t="s">
        <v>1429</v>
      </c>
      <c r="I101" s="5" t="s">
        <v>1359</v>
      </c>
      <c r="J101" s="5" t="s">
        <v>1360</v>
      </c>
      <c r="K101" s="44"/>
      <c r="L101" s="5"/>
    </row>
    <row r="102" spans="1:12" ht="18" hidden="1">
      <c r="C102" s="39"/>
      <c r="D102" s="39"/>
      <c r="E102" s="38" t="s">
        <v>1440</v>
      </c>
      <c r="F102" s="35"/>
      <c r="G102" s="34"/>
      <c r="H102" s="34"/>
      <c r="K102" s="31"/>
      <c r="L102"/>
    </row>
    <row r="103" spans="1:12" hidden="1">
      <c r="A103" s="37" t="s">
        <v>1364</v>
      </c>
      <c r="C103" s="36">
        <f>+C101+1</f>
        <v>92</v>
      </c>
      <c r="D103" s="36" t="s">
        <v>1397</v>
      </c>
      <c r="E103" s="33" t="s">
        <v>1441</v>
      </c>
      <c r="F103" s="43">
        <v>2</v>
      </c>
      <c r="G103" s="42"/>
      <c r="H103" s="41" t="s">
        <v>1429</v>
      </c>
      <c r="I103" t="s">
        <v>1359</v>
      </c>
      <c r="J103" t="s">
        <v>1360</v>
      </c>
      <c r="K103" s="31"/>
      <c r="L103"/>
    </row>
    <row r="104" spans="1:12" hidden="1">
      <c r="A104" s="37" t="s">
        <v>1364</v>
      </c>
      <c r="C104" s="36">
        <f t="shared" ref="C104:C111" si="3">+C103+1</f>
        <v>93</v>
      </c>
      <c r="D104" s="36" t="s">
        <v>1397</v>
      </c>
      <c r="E104" s="33" t="s">
        <v>1442</v>
      </c>
      <c r="F104" s="43">
        <v>2</v>
      </c>
      <c r="G104" s="42"/>
      <c r="H104" s="41" t="s">
        <v>1429</v>
      </c>
      <c r="I104" t="s">
        <v>1359</v>
      </c>
      <c r="J104" t="s">
        <v>1360</v>
      </c>
      <c r="K104" s="31"/>
      <c r="L104"/>
    </row>
    <row r="105" spans="1:12" hidden="1">
      <c r="A105" s="37" t="s">
        <v>1364</v>
      </c>
      <c r="C105" s="36">
        <f t="shared" si="3"/>
        <v>94</v>
      </c>
      <c r="D105" s="36" t="s">
        <v>1338</v>
      </c>
      <c r="E105" s="33" t="s">
        <v>1443</v>
      </c>
      <c r="F105" s="43">
        <v>2</v>
      </c>
      <c r="G105" s="42"/>
      <c r="H105" s="41" t="s">
        <v>1429</v>
      </c>
      <c r="I105" t="s">
        <v>1359</v>
      </c>
      <c r="J105" t="s">
        <v>1360</v>
      </c>
      <c r="K105" s="31"/>
      <c r="L105"/>
    </row>
    <row r="106" spans="1:12" hidden="1">
      <c r="A106" s="37" t="s">
        <v>1364</v>
      </c>
      <c r="C106" s="36">
        <f t="shared" si="3"/>
        <v>95</v>
      </c>
      <c r="D106" s="36" t="s">
        <v>1338</v>
      </c>
      <c r="E106" s="33" t="s">
        <v>1444</v>
      </c>
      <c r="F106" s="43">
        <v>2</v>
      </c>
      <c r="G106" s="42"/>
      <c r="H106" s="41" t="s">
        <v>1429</v>
      </c>
      <c r="I106" t="s">
        <v>1359</v>
      </c>
      <c r="J106" t="s">
        <v>1360</v>
      </c>
      <c r="K106" s="31"/>
      <c r="L106"/>
    </row>
    <row r="107" spans="1:12" hidden="1">
      <c r="A107" s="37" t="s">
        <v>1364</v>
      </c>
      <c r="C107" s="36">
        <f t="shared" si="3"/>
        <v>96</v>
      </c>
      <c r="D107" s="36" t="s">
        <v>1371</v>
      </c>
      <c r="E107" s="33" t="s">
        <v>1445</v>
      </c>
      <c r="F107" s="43">
        <v>2</v>
      </c>
      <c r="G107" s="42"/>
      <c r="H107" s="41" t="s">
        <v>1429</v>
      </c>
      <c r="I107" t="s">
        <v>1359</v>
      </c>
      <c r="J107" t="s">
        <v>1360</v>
      </c>
      <c r="K107" s="31"/>
      <c r="L107"/>
    </row>
    <row r="108" spans="1:12" hidden="1">
      <c r="A108" s="37" t="s">
        <v>1364</v>
      </c>
      <c r="C108" s="36">
        <f t="shared" si="3"/>
        <v>97</v>
      </c>
      <c r="D108" s="36" t="s">
        <v>1371</v>
      </c>
      <c r="E108" s="33" t="s">
        <v>1446</v>
      </c>
      <c r="F108" s="43">
        <v>2</v>
      </c>
      <c r="G108" s="42"/>
      <c r="H108" s="41" t="s">
        <v>1429</v>
      </c>
      <c r="I108" t="s">
        <v>1359</v>
      </c>
      <c r="J108" t="s">
        <v>1360</v>
      </c>
      <c r="K108" s="31"/>
      <c r="L108"/>
    </row>
    <row r="109" spans="1:12" hidden="1">
      <c r="A109" s="37" t="s">
        <v>1364</v>
      </c>
      <c r="C109" s="36">
        <f t="shared" si="3"/>
        <v>98</v>
      </c>
      <c r="D109" s="36" t="s">
        <v>1371</v>
      </c>
      <c r="E109" s="33" t="s">
        <v>1447</v>
      </c>
      <c r="F109" s="43">
        <v>2</v>
      </c>
      <c r="G109" s="42"/>
      <c r="H109" s="41" t="s">
        <v>1429</v>
      </c>
      <c r="I109" t="s">
        <v>1359</v>
      </c>
      <c r="J109" t="s">
        <v>1360</v>
      </c>
      <c r="K109" s="31"/>
      <c r="L109"/>
    </row>
    <row r="110" spans="1:12" hidden="1">
      <c r="A110" s="37" t="s">
        <v>1364</v>
      </c>
      <c r="C110" s="36">
        <f t="shared" si="3"/>
        <v>99</v>
      </c>
      <c r="D110" s="36" t="s">
        <v>1371</v>
      </c>
      <c r="E110" s="33" t="s">
        <v>1448</v>
      </c>
      <c r="F110" s="43">
        <v>2</v>
      </c>
      <c r="G110" s="42"/>
      <c r="H110" s="41" t="s">
        <v>1429</v>
      </c>
      <c r="I110" t="s">
        <v>1359</v>
      </c>
      <c r="J110" t="s">
        <v>1360</v>
      </c>
      <c r="K110" s="31"/>
      <c r="L110"/>
    </row>
    <row r="111" spans="1:12" hidden="1">
      <c r="A111" s="37" t="s">
        <v>1364</v>
      </c>
      <c r="C111" s="36">
        <f t="shared" si="3"/>
        <v>100</v>
      </c>
      <c r="D111" s="36" t="s">
        <v>1371</v>
      </c>
      <c r="E111" s="33" t="s">
        <v>1449</v>
      </c>
      <c r="F111" s="43">
        <v>2</v>
      </c>
      <c r="G111" s="42"/>
      <c r="H111" s="41" t="s">
        <v>1429</v>
      </c>
      <c r="I111" t="s">
        <v>1359</v>
      </c>
      <c r="J111" t="s">
        <v>1360</v>
      </c>
      <c r="K111" s="31"/>
      <c r="L111"/>
    </row>
    <row r="112" spans="1:12">
      <c r="E112" s="40"/>
      <c r="F112" s="32"/>
      <c r="K112" s="31"/>
    </row>
    <row r="113" spans="1:11" ht="18">
      <c r="C113" s="39"/>
      <c r="D113" s="39"/>
      <c r="E113" s="38" t="s">
        <v>1450</v>
      </c>
      <c r="F113" s="35"/>
      <c r="G113" s="34"/>
      <c r="H113" s="34"/>
      <c r="K113" s="31"/>
    </row>
    <row r="114" spans="1:11">
      <c r="A114" s="37" t="s">
        <v>1364</v>
      </c>
      <c r="C114" s="36">
        <f>+C111+1</f>
        <v>101</v>
      </c>
      <c r="D114" s="36"/>
      <c r="E114" s="33" t="s">
        <v>1451</v>
      </c>
      <c r="F114" s="35"/>
      <c r="G114" s="34"/>
      <c r="H114" s="34"/>
      <c r="K114" s="31"/>
    </row>
    <row r="115" spans="1:11">
      <c r="A115" s="37" t="s">
        <v>1364</v>
      </c>
      <c r="C115" s="36">
        <f>+C114+1</f>
        <v>102</v>
      </c>
      <c r="D115" s="36"/>
      <c r="E115" s="33" t="s">
        <v>1452</v>
      </c>
      <c r="F115" s="35"/>
      <c r="G115" s="34"/>
      <c r="H115" s="34"/>
      <c r="K115" s="31"/>
    </row>
    <row r="116" spans="1:11">
      <c r="A116" s="37" t="s">
        <v>1364</v>
      </c>
      <c r="C116" s="36">
        <f>+C115+1</f>
        <v>103</v>
      </c>
      <c r="D116" s="36"/>
      <c r="E116" s="33"/>
      <c r="F116" s="35"/>
      <c r="G116" s="34"/>
      <c r="H116" s="34"/>
      <c r="K116" s="31"/>
    </row>
    <row r="117" spans="1:11">
      <c r="E117" s="33"/>
      <c r="F117" s="32"/>
      <c r="K117" s="31"/>
    </row>
  </sheetData>
  <autoFilter ref="B7:K111" xr:uid="{00000000-0009-0000-0000-000004000000}">
    <filterColumn colId="5">
      <filters>
        <filter val="nok"/>
      </filters>
    </filterColumn>
    <sortState xmlns:xlrd2="http://schemas.microsoft.com/office/spreadsheetml/2017/richdata2" ref="B16:K51">
      <sortCondition ref="F7:F111"/>
    </sortState>
  </autoFilter>
  <mergeCells count="2">
    <mergeCell ref="E1:F2"/>
    <mergeCell ref="C5:E5"/>
  </mergeCells>
  <pageMargins left="0.7" right="0.7" top="0.75" bottom="0.75" header="0.3" footer="0.3"/>
  <pageSetup paperSize="9" orientation="portrait" horizontalDpi="1200" verticalDpi="1200" r:id="rId1"/>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91001-C239-4E7B-9430-5F60E7763626}">
  <sheetPr filterMode="1"/>
  <dimension ref="A1:BZ92"/>
  <sheetViews>
    <sheetView topLeftCell="A3" zoomScale="80" zoomScaleNormal="80" workbookViewId="0">
      <selection activeCell="J38" sqref="J38"/>
    </sheetView>
  </sheetViews>
  <sheetFormatPr baseColWidth="10" defaultColWidth="11.3984375" defaultRowHeight="14.25"/>
  <sheetData>
    <row r="1" spans="1:78">
      <c r="A1" t="s">
        <v>1453</v>
      </c>
      <c r="B1" t="s">
        <v>1454</v>
      </c>
      <c r="C1" t="s">
        <v>1455</v>
      </c>
      <c r="D1" t="s">
        <v>1456</v>
      </c>
      <c r="E1" t="s">
        <v>1455</v>
      </c>
    </row>
    <row r="2" spans="1:78">
      <c r="A2" t="s">
        <v>1455</v>
      </c>
      <c r="B2" s="1">
        <v>45350</v>
      </c>
      <c r="C2">
        <f t="shared" ref="C2:C7" si="0">NETWORKDAYS(B2,E2)</f>
        <v>108</v>
      </c>
      <c r="D2">
        <f t="shared" ref="D2:D7" si="1">C2/4</f>
        <v>27</v>
      </c>
      <c r="E2" s="1">
        <v>45501</v>
      </c>
      <c r="F2">
        <v>10</v>
      </c>
    </row>
    <row r="3" spans="1:78">
      <c r="A3" t="s">
        <v>1454</v>
      </c>
      <c r="B3" s="1">
        <v>45343</v>
      </c>
      <c r="C3">
        <f t="shared" si="0"/>
        <v>65</v>
      </c>
      <c r="D3">
        <f t="shared" si="1"/>
        <v>16.25</v>
      </c>
      <c r="E3" s="1">
        <v>45433</v>
      </c>
      <c r="F3">
        <v>5</v>
      </c>
    </row>
    <row r="4" spans="1:78">
      <c r="A4" t="s">
        <v>1457</v>
      </c>
      <c r="B4" s="1">
        <v>45343</v>
      </c>
      <c r="C4">
        <f t="shared" si="0"/>
        <v>88</v>
      </c>
      <c r="D4">
        <f t="shared" si="1"/>
        <v>22</v>
      </c>
      <c r="E4" s="1">
        <v>45464</v>
      </c>
      <c r="F4">
        <v>5</v>
      </c>
    </row>
    <row r="5" spans="1:78">
      <c r="A5" t="s">
        <v>1458</v>
      </c>
      <c r="B5" s="1">
        <v>45336</v>
      </c>
      <c r="C5">
        <f t="shared" si="0"/>
        <v>65</v>
      </c>
      <c r="D5">
        <f t="shared" si="1"/>
        <v>16.25</v>
      </c>
      <c r="E5" s="1">
        <v>45426</v>
      </c>
      <c r="F5">
        <v>5</v>
      </c>
    </row>
    <row r="6" spans="1:78">
      <c r="A6" t="s">
        <v>1459</v>
      </c>
      <c r="B6" s="1">
        <v>45329</v>
      </c>
      <c r="C6">
        <f t="shared" si="0"/>
        <v>22</v>
      </c>
      <c r="D6">
        <f t="shared" si="1"/>
        <v>5.5</v>
      </c>
      <c r="E6" s="1">
        <v>45358</v>
      </c>
      <c r="F6">
        <v>5</v>
      </c>
    </row>
    <row r="7" spans="1:78">
      <c r="A7" t="s">
        <v>1460</v>
      </c>
      <c r="B7" s="1">
        <v>45323</v>
      </c>
      <c r="C7">
        <f t="shared" si="0"/>
        <v>43</v>
      </c>
      <c r="D7">
        <f t="shared" si="1"/>
        <v>10.75</v>
      </c>
      <c r="E7" s="1">
        <v>45383</v>
      </c>
      <c r="F7">
        <v>5</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row>
    <row r="8" spans="1:78" ht="21">
      <c r="AT8" s="726" t="s">
        <v>152</v>
      </c>
      <c r="AU8" s="726"/>
      <c r="AV8" s="726"/>
      <c r="AW8" s="726"/>
      <c r="AX8" s="726"/>
      <c r="AY8" s="726"/>
      <c r="AZ8" s="726"/>
      <c r="BA8" s="726"/>
      <c r="BB8" s="727" t="s">
        <v>145</v>
      </c>
      <c r="BC8" s="727"/>
      <c r="BD8" s="727"/>
      <c r="BE8" s="727"/>
      <c r="BF8" s="727"/>
      <c r="BG8" s="727"/>
      <c r="BH8" s="727"/>
      <c r="BI8" s="727"/>
      <c r="BJ8" s="728" t="s">
        <v>221</v>
      </c>
      <c r="BK8" s="728"/>
      <c r="BL8" s="728"/>
      <c r="BM8" s="728"/>
      <c r="BN8" s="728"/>
      <c r="BO8" s="728"/>
      <c r="BP8" s="728"/>
      <c r="BQ8" s="728"/>
      <c r="BR8" s="729" t="s">
        <v>320</v>
      </c>
      <c r="BS8" s="729"/>
      <c r="BT8" s="729"/>
      <c r="BU8" s="729"/>
      <c r="BV8" s="729"/>
      <c r="BW8" s="729"/>
      <c r="BX8" s="729"/>
      <c r="BY8" s="729"/>
      <c r="BZ8" s="729"/>
    </row>
    <row r="9" spans="1:78" ht="18" customHeight="1">
      <c r="A9" s="143" t="s">
        <v>83</v>
      </c>
      <c r="B9" s="141" t="s">
        <v>84</v>
      </c>
      <c r="C9" s="144" t="s">
        <v>1180</v>
      </c>
      <c r="D9" s="141" t="s">
        <v>88</v>
      </c>
      <c r="E9" s="141" t="s">
        <v>1461</v>
      </c>
      <c r="F9" s="141" t="s">
        <v>1</v>
      </c>
      <c r="G9" s="141" t="s">
        <v>94</v>
      </c>
      <c r="H9" s="141" t="s">
        <v>1462</v>
      </c>
      <c r="I9" s="141" t="s">
        <v>3</v>
      </c>
      <c r="J9" s="145" t="s">
        <v>1463</v>
      </c>
      <c r="K9" s="141" t="s">
        <v>81</v>
      </c>
      <c r="L9" s="141" t="s">
        <v>97</v>
      </c>
      <c r="M9" s="141" t="s">
        <v>1464</v>
      </c>
      <c r="N9" s="146" t="s">
        <v>1465</v>
      </c>
      <c r="O9" s="146" t="s">
        <v>1466</v>
      </c>
      <c r="P9" s="141" t="s">
        <v>1467</v>
      </c>
      <c r="Q9" s="146" t="s">
        <v>1468</v>
      </c>
      <c r="R9" s="147" t="s">
        <v>1469</v>
      </c>
      <c r="S9" s="147" t="s">
        <v>1470</v>
      </c>
      <c r="T9" s="147" t="s">
        <v>1471</v>
      </c>
      <c r="U9" s="141" t="s">
        <v>109</v>
      </c>
      <c r="V9" s="141" t="s">
        <v>1472</v>
      </c>
      <c r="W9" s="147" t="s">
        <v>113</v>
      </c>
      <c r="X9" s="147" t="s">
        <v>114</v>
      </c>
      <c r="Y9" s="148" t="s">
        <v>115</v>
      </c>
      <c r="Z9" s="148"/>
      <c r="AA9" s="147" t="s">
        <v>116</v>
      </c>
      <c r="AB9" s="147" t="s">
        <v>117</v>
      </c>
      <c r="AC9" s="148" t="s">
        <v>118</v>
      </c>
      <c r="AD9" s="147" t="s">
        <v>1182</v>
      </c>
      <c r="AE9" s="147" t="s">
        <v>1183</v>
      </c>
      <c r="AF9" s="148" t="s">
        <v>1473</v>
      </c>
      <c r="AG9" s="141" t="s">
        <v>125</v>
      </c>
      <c r="AH9" s="141" t="s">
        <v>1139</v>
      </c>
      <c r="AI9" s="142" t="s">
        <v>1474</v>
      </c>
      <c r="BR9" s="729"/>
      <c r="BS9" s="729"/>
      <c r="BT9" s="729"/>
      <c r="BU9" s="729"/>
      <c r="BV9" s="729"/>
      <c r="BW9" s="729"/>
      <c r="BX9" s="729"/>
      <c r="BY9" s="729"/>
      <c r="BZ9" s="729"/>
    </row>
    <row r="10" spans="1:78" ht="18" hidden="1" customHeight="1">
      <c r="A10" s="222" t="s">
        <v>251</v>
      </c>
      <c r="B10" s="220" t="s">
        <v>1475</v>
      </c>
      <c r="C10" s="149" t="s">
        <v>1476</v>
      </c>
      <c r="D10" s="150" t="s">
        <v>1477</v>
      </c>
      <c r="E10" s="220" t="s">
        <v>1478</v>
      </c>
      <c r="F10" s="220" t="s">
        <v>53</v>
      </c>
      <c r="G10" s="153" t="s">
        <v>328</v>
      </c>
      <c r="H10" s="220"/>
      <c r="I10" s="220" t="s">
        <v>752</v>
      </c>
      <c r="J10" s="221" t="s">
        <v>763</v>
      </c>
      <c r="K10" s="220" t="s">
        <v>1203</v>
      </c>
      <c r="L10" s="220" t="s">
        <v>179</v>
      </c>
      <c r="M10" s="233" t="s">
        <v>1479</v>
      </c>
      <c r="N10" s="219"/>
      <c r="O10" s="219" t="s">
        <v>152</v>
      </c>
      <c r="P10" s="233" t="s">
        <v>1480</v>
      </c>
      <c r="Q10" s="219" t="s">
        <v>146</v>
      </c>
      <c r="R10" s="217">
        <v>1</v>
      </c>
      <c r="S10" s="217">
        <v>1</v>
      </c>
      <c r="T10" s="217">
        <v>550</v>
      </c>
      <c r="U10" s="236">
        <v>550</v>
      </c>
      <c r="V10" s="215"/>
      <c r="W10" s="133">
        <v>45323</v>
      </c>
      <c r="X10" s="133">
        <v>45329</v>
      </c>
      <c r="Y10" s="216">
        <v>5</v>
      </c>
      <c r="Z10" s="216"/>
      <c r="AA10" s="133">
        <v>45323</v>
      </c>
      <c r="AB10" s="133">
        <v>45329</v>
      </c>
      <c r="AC10" s="216">
        <v>5</v>
      </c>
      <c r="AD10" s="133">
        <v>45323</v>
      </c>
      <c r="AE10" s="155">
        <v>45329</v>
      </c>
      <c r="AF10" s="216">
        <v>5</v>
      </c>
      <c r="AG10" s="156" t="s">
        <v>1481</v>
      </c>
      <c r="AH10" s="215"/>
      <c r="AI10" s="214"/>
    </row>
    <row r="11" spans="1:78" ht="18" hidden="1" customHeight="1">
      <c r="A11" s="227" t="s">
        <v>130</v>
      </c>
      <c r="B11" s="231" t="s">
        <v>1475</v>
      </c>
      <c r="C11" s="151" t="s">
        <v>1482</v>
      </c>
      <c r="D11" s="152" t="s">
        <v>1483</v>
      </c>
      <c r="E11" s="231" t="s">
        <v>1478</v>
      </c>
      <c r="F11" s="231" t="s">
        <v>53</v>
      </c>
      <c r="G11" s="154" t="s">
        <v>328</v>
      </c>
      <c r="H11" s="231"/>
      <c r="I11" s="231" t="s">
        <v>752</v>
      </c>
      <c r="J11" s="232" t="s">
        <v>763</v>
      </c>
      <c r="K11" s="231" t="s">
        <v>1203</v>
      </c>
      <c r="L11" s="231" t="s">
        <v>179</v>
      </c>
      <c r="M11" s="252" t="s">
        <v>1484</v>
      </c>
      <c r="N11" s="230"/>
      <c r="O11" s="230" t="s">
        <v>152</v>
      </c>
      <c r="P11" s="224" t="s">
        <v>1485</v>
      </c>
      <c r="Q11" s="230" t="s">
        <v>146</v>
      </c>
      <c r="R11" s="128">
        <v>8</v>
      </c>
      <c r="S11" s="128">
        <v>2</v>
      </c>
      <c r="T11" s="128">
        <v>550</v>
      </c>
      <c r="U11" s="242">
        <v>8800</v>
      </c>
      <c r="V11" s="224"/>
      <c r="W11" s="131">
        <v>45323</v>
      </c>
      <c r="X11" s="131">
        <v>45372</v>
      </c>
      <c r="Y11" s="229">
        <v>36</v>
      </c>
      <c r="Z11" s="229"/>
      <c r="AA11" s="131">
        <v>45372</v>
      </c>
      <c r="AB11" s="131">
        <v>45379</v>
      </c>
      <c r="AC11" s="229">
        <v>6</v>
      </c>
      <c r="AD11" s="131">
        <v>45379</v>
      </c>
      <c r="AE11" s="132">
        <v>45389</v>
      </c>
      <c r="AF11" s="229">
        <v>7</v>
      </c>
      <c r="AG11" s="157" t="s">
        <v>1486</v>
      </c>
      <c r="AH11" s="224"/>
      <c r="AI11" s="223"/>
    </row>
    <row r="12" spans="1:78" ht="18" hidden="1" customHeight="1">
      <c r="A12" s="222" t="s">
        <v>130</v>
      </c>
      <c r="B12" s="220" t="s">
        <v>1475</v>
      </c>
      <c r="C12" s="149" t="s">
        <v>258</v>
      </c>
      <c r="D12" s="158" t="s">
        <v>259</v>
      </c>
      <c r="E12" s="220" t="s">
        <v>1487</v>
      </c>
      <c r="F12" s="220" t="s">
        <v>4</v>
      </c>
      <c r="G12" s="153" t="s">
        <v>206</v>
      </c>
      <c r="H12" s="220"/>
      <c r="I12" s="220" t="s">
        <v>26</v>
      </c>
      <c r="J12" s="221" t="s">
        <v>25</v>
      </c>
      <c r="K12" s="220" t="s">
        <v>1203</v>
      </c>
      <c r="L12" s="220" t="s">
        <v>179</v>
      </c>
      <c r="M12" s="215"/>
      <c r="N12" s="219">
        <v>0</v>
      </c>
      <c r="O12" s="219" t="s">
        <v>152</v>
      </c>
      <c r="P12" s="215"/>
      <c r="Q12" s="219" t="s">
        <v>146</v>
      </c>
      <c r="R12" s="217">
        <v>8</v>
      </c>
      <c r="S12" s="217">
        <v>1</v>
      </c>
      <c r="T12" s="217">
        <v>550</v>
      </c>
      <c r="U12" s="236">
        <v>4400</v>
      </c>
      <c r="V12" s="215"/>
      <c r="W12" s="133">
        <v>45323</v>
      </c>
      <c r="X12" s="133">
        <v>45350</v>
      </c>
      <c r="Y12" s="216">
        <v>20</v>
      </c>
      <c r="Z12" s="216"/>
      <c r="AA12" s="133">
        <v>45350</v>
      </c>
      <c r="AB12" s="133">
        <v>45358</v>
      </c>
      <c r="AC12" s="216">
        <v>7</v>
      </c>
      <c r="AD12" s="133">
        <v>45358</v>
      </c>
      <c r="AE12" s="133">
        <v>45365</v>
      </c>
      <c r="AF12" s="216">
        <v>6</v>
      </c>
      <c r="AG12" s="159" t="s">
        <v>263</v>
      </c>
      <c r="AH12" s="215"/>
      <c r="AI12" s="214"/>
    </row>
    <row r="13" spans="1:78" ht="18" hidden="1" customHeight="1">
      <c r="A13" s="227" t="s">
        <v>251</v>
      </c>
      <c r="B13" s="231" t="s">
        <v>1475</v>
      </c>
      <c r="C13" s="160" t="s">
        <v>168</v>
      </c>
      <c r="D13" s="161" t="s">
        <v>1488</v>
      </c>
      <c r="E13" s="251" t="s">
        <v>1489</v>
      </c>
      <c r="F13" s="231" t="s">
        <v>53</v>
      </c>
      <c r="G13" s="163" t="s">
        <v>1490</v>
      </c>
      <c r="H13" s="231"/>
      <c r="I13" s="231" t="s">
        <v>79</v>
      </c>
      <c r="J13" s="232" t="s">
        <v>1491</v>
      </c>
      <c r="K13" s="231" t="s">
        <v>1128</v>
      </c>
      <c r="L13" s="231" t="s">
        <v>179</v>
      </c>
      <c r="M13" s="224" t="s">
        <v>1492</v>
      </c>
      <c r="N13" s="230"/>
      <c r="O13" s="230" t="s">
        <v>152</v>
      </c>
      <c r="P13" s="224"/>
      <c r="Q13" s="230" t="s">
        <v>146</v>
      </c>
      <c r="R13" s="128">
        <v>11</v>
      </c>
      <c r="S13" s="128">
        <v>2</v>
      </c>
      <c r="T13" s="128">
        <v>550</v>
      </c>
      <c r="U13" s="242">
        <v>12100</v>
      </c>
      <c r="V13" s="224"/>
      <c r="W13" s="131">
        <v>45323</v>
      </c>
      <c r="X13" s="131">
        <v>45343</v>
      </c>
      <c r="Y13" s="229">
        <v>15</v>
      </c>
      <c r="Z13" s="229"/>
      <c r="AA13" s="131">
        <v>45372</v>
      </c>
      <c r="AB13" s="131">
        <v>45379</v>
      </c>
      <c r="AC13" s="229">
        <v>6</v>
      </c>
      <c r="AD13" s="131">
        <v>45379</v>
      </c>
      <c r="AE13" s="131">
        <v>45403</v>
      </c>
      <c r="AF13" s="229">
        <v>17</v>
      </c>
      <c r="AG13" s="157" t="s">
        <v>1493</v>
      </c>
      <c r="AH13" s="224"/>
      <c r="AI13" s="223"/>
    </row>
    <row r="14" spans="1:78" ht="18" hidden="1" customHeight="1">
      <c r="A14" s="222" t="s">
        <v>251</v>
      </c>
      <c r="B14" s="220" t="s">
        <v>1475</v>
      </c>
      <c r="C14" s="149" t="s">
        <v>1494</v>
      </c>
      <c r="D14" s="150" t="s">
        <v>1495</v>
      </c>
      <c r="E14" s="220" t="s">
        <v>1478</v>
      </c>
      <c r="F14" s="220" t="s">
        <v>53</v>
      </c>
      <c r="G14" s="164" t="s">
        <v>1490</v>
      </c>
      <c r="H14" s="220"/>
      <c r="I14" s="220" t="s">
        <v>79</v>
      </c>
      <c r="J14" s="221" t="s">
        <v>762</v>
      </c>
      <c r="K14" s="220" t="s">
        <v>1203</v>
      </c>
      <c r="L14" s="220" t="s">
        <v>179</v>
      </c>
      <c r="M14" s="215" t="s">
        <v>1492</v>
      </c>
      <c r="N14" s="219"/>
      <c r="O14" s="219" t="s">
        <v>152</v>
      </c>
      <c r="P14" s="215"/>
      <c r="Q14" s="219" t="s">
        <v>146</v>
      </c>
      <c r="R14" s="217">
        <v>8</v>
      </c>
      <c r="S14" s="217">
        <v>1</v>
      </c>
      <c r="T14" s="217">
        <v>550</v>
      </c>
      <c r="U14" s="236">
        <v>4400</v>
      </c>
      <c r="V14" s="215"/>
      <c r="W14" s="133">
        <v>45323</v>
      </c>
      <c r="X14" s="133">
        <v>45350</v>
      </c>
      <c r="Y14" s="216">
        <v>20</v>
      </c>
      <c r="Z14" s="216"/>
      <c r="AA14" s="133">
        <v>45350</v>
      </c>
      <c r="AB14" s="133">
        <v>45365</v>
      </c>
      <c r="AC14" s="216">
        <v>12</v>
      </c>
      <c r="AD14" s="133">
        <v>45365</v>
      </c>
      <c r="AE14" s="133">
        <v>45379</v>
      </c>
      <c r="AF14" s="216">
        <v>11</v>
      </c>
      <c r="AG14" s="159"/>
      <c r="AH14" s="215"/>
      <c r="AI14" s="214"/>
    </row>
    <row r="15" spans="1:78" ht="18" hidden="1" customHeight="1">
      <c r="A15" s="227" t="s">
        <v>251</v>
      </c>
      <c r="B15" s="231" t="s">
        <v>1475</v>
      </c>
      <c r="C15" s="151" t="s">
        <v>1496</v>
      </c>
      <c r="D15" s="162" t="s">
        <v>1497</v>
      </c>
      <c r="E15" s="231" t="s">
        <v>1478</v>
      </c>
      <c r="F15" s="231" t="s">
        <v>53</v>
      </c>
      <c r="G15" s="154" t="s">
        <v>328</v>
      </c>
      <c r="H15" s="231"/>
      <c r="I15" s="231" t="s">
        <v>52</v>
      </c>
      <c r="J15" s="232" t="s">
        <v>763</v>
      </c>
      <c r="K15" s="231" t="s">
        <v>1186</v>
      </c>
      <c r="L15" s="231" t="s">
        <v>179</v>
      </c>
      <c r="M15" s="224" t="s">
        <v>1492</v>
      </c>
      <c r="N15" s="230"/>
      <c r="O15" s="230" t="s">
        <v>152</v>
      </c>
      <c r="P15" s="224"/>
      <c r="Q15" s="230" t="s">
        <v>146</v>
      </c>
      <c r="R15" s="128">
        <v>4</v>
      </c>
      <c r="S15" s="128">
        <v>1</v>
      </c>
      <c r="T15" s="128">
        <v>550</v>
      </c>
      <c r="U15" s="242">
        <v>2200</v>
      </c>
      <c r="V15" s="224"/>
      <c r="W15" s="131">
        <v>45323</v>
      </c>
      <c r="X15" s="131">
        <v>45336</v>
      </c>
      <c r="Y15" s="229">
        <v>10</v>
      </c>
      <c r="Z15" s="229"/>
      <c r="AA15" s="131">
        <v>45336</v>
      </c>
      <c r="AB15" s="131">
        <v>45343</v>
      </c>
      <c r="AC15" s="229">
        <v>6</v>
      </c>
      <c r="AD15" s="131">
        <v>45343</v>
      </c>
      <c r="AE15" s="131">
        <v>45350</v>
      </c>
      <c r="AF15" s="229">
        <v>6</v>
      </c>
      <c r="AG15" s="165"/>
      <c r="AH15" s="224"/>
      <c r="AI15" s="223"/>
    </row>
    <row r="16" spans="1:78" ht="18" hidden="1" customHeight="1">
      <c r="A16" s="222" t="s">
        <v>251</v>
      </c>
      <c r="B16" s="220" t="s">
        <v>1475</v>
      </c>
      <c r="C16" s="149" t="s">
        <v>1498</v>
      </c>
      <c r="D16" s="150" t="s">
        <v>1499</v>
      </c>
      <c r="E16" s="220" t="s">
        <v>1487</v>
      </c>
      <c r="F16" s="220" t="s">
        <v>53</v>
      </c>
      <c r="G16" s="153" t="s">
        <v>206</v>
      </c>
      <c r="H16" s="220"/>
      <c r="I16" s="220" t="s">
        <v>79</v>
      </c>
      <c r="J16" s="221" t="s">
        <v>70</v>
      </c>
      <c r="K16" s="220" t="s">
        <v>1186</v>
      </c>
      <c r="L16" s="220" t="s">
        <v>179</v>
      </c>
      <c r="M16" s="215" t="s">
        <v>1492</v>
      </c>
      <c r="N16" s="219"/>
      <c r="O16" s="219" t="s">
        <v>152</v>
      </c>
      <c r="P16" s="215"/>
      <c r="Q16" s="219" t="s">
        <v>1500</v>
      </c>
      <c r="R16" s="217">
        <v>8</v>
      </c>
      <c r="S16" s="217">
        <v>2</v>
      </c>
      <c r="T16" s="217">
        <v>550</v>
      </c>
      <c r="U16" s="236">
        <v>8800</v>
      </c>
      <c r="V16" s="215"/>
      <c r="W16" s="133">
        <v>45323</v>
      </c>
      <c r="X16" s="133">
        <v>45365</v>
      </c>
      <c r="Y16" s="216">
        <v>31</v>
      </c>
      <c r="Z16" s="216"/>
      <c r="AA16" s="133">
        <v>45365</v>
      </c>
      <c r="AB16" s="133">
        <v>45372</v>
      </c>
      <c r="AC16" s="216">
        <v>6</v>
      </c>
      <c r="AD16" s="133">
        <v>45372</v>
      </c>
      <c r="AE16" s="133">
        <v>45379</v>
      </c>
      <c r="AF16" s="216">
        <v>6</v>
      </c>
      <c r="AG16" s="159"/>
      <c r="AH16" s="215"/>
      <c r="AI16" s="214"/>
    </row>
    <row r="17" spans="1:35" ht="18" hidden="1" customHeight="1">
      <c r="A17" s="227" t="s">
        <v>251</v>
      </c>
      <c r="B17" s="231" t="s">
        <v>1475</v>
      </c>
      <c r="C17" s="151" t="s">
        <v>1501</v>
      </c>
      <c r="D17" s="162" t="s">
        <v>1499</v>
      </c>
      <c r="E17" s="231" t="s">
        <v>1478</v>
      </c>
      <c r="F17" s="231" t="s">
        <v>53</v>
      </c>
      <c r="G17" s="154" t="s">
        <v>330</v>
      </c>
      <c r="H17" s="231"/>
      <c r="I17" s="231" t="s">
        <v>79</v>
      </c>
      <c r="J17" s="232" t="s">
        <v>835</v>
      </c>
      <c r="K17" s="231" t="s">
        <v>1186</v>
      </c>
      <c r="L17" s="231" t="s">
        <v>179</v>
      </c>
      <c r="M17" s="224" t="s">
        <v>1492</v>
      </c>
      <c r="N17" s="230"/>
      <c r="O17" s="230" t="s">
        <v>152</v>
      </c>
      <c r="P17" s="224"/>
      <c r="Q17" s="230" t="s">
        <v>1500</v>
      </c>
      <c r="R17" s="128">
        <v>6</v>
      </c>
      <c r="S17" s="128">
        <v>1</v>
      </c>
      <c r="T17" s="128">
        <v>550</v>
      </c>
      <c r="U17" s="242">
        <v>3300</v>
      </c>
      <c r="V17" s="224"/>
      <c r="W17" s="131">
        <v>45343</v>
      </c>
      <c r="X17" s="131">
        <v>45372</v>
      </c>
      <c r="Y17" s="229">
        <v>22</v>
      </c>
      <c r="Z17" s="229"/>
      <c r="AA17" s="131">
        <v>45372</v>
      </c>
      <c r="AB17" s="131">
        <v>45379</v>
      </c>
      <c r="AC17" s="229">
        <v>6</v>
      </c>
      <c r="AD17" s="131">
        <v>45379</v>
      </c>
      <c r="AE17" s="131">
        <v>45389</v>
      </c>
      <c r="AF17" s="229">
        <v>7</v>
      </c>
      <c r="AG17" s="165"/>
      <c r="AH17" s="224" t="s">
        <v>522</v>
      </c>
      <c r="AI17" s="223" t="s">
        <v>145</v>
      </c>
    </row>
    <row r="18" spans="1:35" ht="18" hidden="1" customHeight="1">
      <c r="A18" s="222" t="s">
        <v>251</v>
      </c>
      <c r="B18" s="220" t="s">
        <v>1475</v>
      </c>
      <c r="C18" s="149" t="s">
        <v>285</v>
      </c>
      <c r="D18" s="150" t="s">
        <v>286</v>
      </c>
      <c r="E18" s="220" t="s">
        <v>1489</v>
      </c>
      <c r="F18" s="220" t="s">
        <v>53</v>
      </c>
      <c r="G18" s="153" t="s">
        <v>206</v>
      </c>
      <c r="H18" s="220"/>
      <c r="I18" s="220" t="s">
        <v>52</v>
      </c>
      <c r="J18" s="221" t="s">
        <v>1491</v>
      </c>
      <c r="K18" s="220" t="s">
        <v>1186</v>
      </c>
      <c r="L18" s="220" t="s">
        <v>179</v>
      </c>
      <c r="M18" s="215" t="s">
        <v>1492</v>
      </c>
      <c r="N18" s="219"/>
      <c r="O18" s="219" t="s">
        <v>152</v>
      </c>
      <c r="P18" s="215"/>
      <c r="Q18" s="219" t="s">
        <v>146</v>
      </c>
      <c r="R18" s="217">
        <v>3</v>
      </c>
      <c r="S18" s="217">
        <v>1</v>
      </c>
      <c r="T18" s="217">
        <v>550</v>
      </c>
      <c r="U18" s="236">
        <v>1650</v>
      </c>
      <c r="V18" s="215"/>
      <c r="W18" s="133">
        <v>45343</v>
      </c>
      <c r="X18" s="133">
        <v>45350</v>
      </c>
      <c r="Y18" s="216">
        <v>6</v>
      </c>
      <c r="Z18" s="216"/>
      <c r="AA18" s="133">
        <v>45350</v>
      </c>
      <c r="AB18" s="133">
        <v>45365</v>
      </c>
      <c r="AC18" s="216">
        <v>12</v>
      </c>
      <c r="AD18" s="133">
        <v>45365</v>
      </c>
      <c r="AE18" s="228">
        <v>45372</v>
      </c>
      <c r="AF18" s="216">
        <v>6</v>
      </c>
      <c r="AG18" s="159"/>
      <c r="AH18" s="215" t="s">
        <v>287</v>
      </c>
      <c r="AI18" s="214"/>
    </row>
    <row r="19" spans="1:35" ht="18" hidden="1" customHeight="1">
      <c r="A19" s="227" t="s">
        <v>130</v>
      </c>
      <c r="B19" s="231" t="s">
        <v>1475</v>
      </c>
      <c r="C19" s="166" t="s">
        <v>1502</v>
      </c>
      <c r="D19" s="152"/>
      <c r="E19" s="231" t="s">
        <v>1489</v>
      </c>
      <c r="F19" s="231" t="s">
        <v>53</v>
      </c>
      <c r="G19" s="163" t="s">
        <v>1490</v>
      </c>
      <c r="H19" s="231"/>
      <c r="I19" s="231" t="s">
        <v>52</v>
      </c>
      <c r="J19" s="232" t="s">
        <v>1491</v>
      </c>
      <c r="K19" s="231" t="s">
        <v>1203</v>
      </c>
      <c r="L19" s="231" t="s">
        <v>179</v>
      </c>
      <c r="M19" s="224" t="s">
        <v>1492</v>
      </c>
      <c r="N19" s="230"/>
      <c r="O19" s="230" t="s">
        <v>152</v>
      </c>
      <c r="P19" s="252" t="s">
        <v>1503</v>
      </c>
      <c r="Q19" s="230" t="s">
        <v>1500</v>
      </c>
      <c r="R19" s="128">
        <v>12</v>
      </c>
      <c r="S19" s="128">
        <v>1</v>
      </c>
      <c r="T19" s="128">
        <v>550</v>
      </c>
      <c r="U19" s="242">
        <v>6600</v>
      </c>
      <c r="V19" s="224"/>
      <c r="W19" s="131">
        <v>45323</v>
      </c>
      <c r="X19" s="131">
        <v>45379</v>
      </c>
      <c r="Y19" s="229">
        <v>41</v>
      </c>
      <c r="Z19" s="229"/>
      <c r="AA19" s="131">
        <v>45379</v>
      </c>
      <c r="AB19" s="131">
        <v>45389</v>
      </c>
      <c r="AC19" s="229">
        <v>7</v>
      </c>
      <c r="AD19" s="131">
        <v>45389</v>
      </c>
      <c r="AE19" s="131">
        <v>45410</v>
      </c>
      <c r="AF19" s="229">
        <v>15</v>
      </c>
      <c r="AG19" s="165"/>
      <c r="AH19" s="224" t="s">
        <v>364</v>
      </c>
      <c r="AI19" s="223"/>
    </row>
    <row r="20" spans="1:35" ht="18" hidden="1" customHeight="1">
      <c r="A20" s="222" t="s">
        <v>251</v>
      </c>
      <c r="B20" s="220" t="s">
        <v>1475</v>
      </c>
      <c r="C20" s="149" t="s">
        <v>193</v>
      </c>
      <c r="D20" s="150"/>
      <c r="E20" s="220" t="s">
        <v>1489</v>
      </c>
      <c r="F20" s="220" t="s">
        <v>53</v>
      </c>
      <c r="G20" s="164" t="s">
        <v>1490</v>
      </c>
      <c r="H20" s="220"/>
      <c r="I20" s="220" t="s">
        <v>52</v>
      </c>
      <c r="J20" s="221" t="s">
        <v>1491</v>
      </c>
      <c r="K20" s="220" t="s">
        <v>1203</v>
      </c>
      <c r="L20" s="220" t="s">
        <v>179</v>
      </c>
      <c r="M20" s="215" t="s">
        <v>1492</v>
      </c>
      <c r="N20" s="219"/>
      <c r="O20" s="219" t="s">
        <v>152</v>
      </c>
      <c r="P20" s="215"/>
      <c r="Q20" s="219" t="s">
        <v>1500</v>
      </c>
      <c r="R20" s="217">
        <v>3</v>
      </c>
      <c r="S20" s="217">
        <v>1</v>
      </c>
      <c r="T20" s="217">
        <v>550</v>
      </c>
      <c r="U20" s="236">
        <v>1650</v>
      </c>
      <c r="V20" s="215"/>
      <c r="W20" s="133">
        <v>45358</v>
      </c>
      <c r="X20" s="133">
        <v>45365</v>
      </c>
      <c r="Y20" s="216">
        <v>6</v>
      </c>
      <c r="Z20" s="216"/>
      <c r="AA20" s="133">
        <v>45365</v>
      </c>
      <c r="AB20" s="133">
        <v>45372</v>
      </c>
      <c r="AC20" s="216">
        <v>6</v>
      </c>
      <c r="AD20" s="133">
        <v>45372</v>
      </c>
      <c r="AE20" s="133">
        <v>45379</v>
      </c>
      <c r="AF20" s="216">
        <v>6</v>
      </c>
      <c r="AG20" s="159" t="s">
        <v>1504</v>
      </c>
      <c r="AH20" s="215" t="s">
        <v>194</v>
      </c>
      <c r="AI20" s="214"/>
    </row>
    <row r="21" spans="1:35" ht="18" hidden="1" customHeight="1">
      <c r="A21" s="227" t="s">
        <v>251</v>
      </c>
      <c r="B21" s="231" t="s">
        <v>1475</v>
      </c>
      <c r="C21" s="167" t="s">
        <v>195</v>
      </c>
      <c r="D21" s="162" t="s">
        <v>196</v>
      </c>
      <c r="E21" s="231" t="s">
        <v>1478</v>
      </c>
      <c r="F21" s="231" t="s">
        <v>53</v>
      </c>
      <c r="G21" s="154" t="s">
        <v>140</v>
      </c>
      <c r="H21" s="231"/>
      <c r="I21" s="231" t="s">
        <v>52</v>
      </c>
      <c r="J21" s="232" t="s">
        <v>762</v>
      </c>
      <c r="K21" s="231" t="s">
        <v>1203</v>
      </c>
      <c r="L21" s="231" t="s">
        <v>179</v>
      </c>
      <c r="M21" s="224" t="s">
        <v>1492</v>
      </c>
      <c r="N21" s="230"/>
      <c r="O21" s="230" t="s">
        <v>152</v>
      </c>
      <c r="P21" s="224"/>
      <c r="Q21" s="230" t="s">
        <v>146</v>
      </c>
      <c r="R21" s="128">
        <v>5</v>
      </c>
      <c r="S21" s="128">
        <v>1</v>
      </c>
      <c r="T21" s="128">
        <v>550</v>
      </c>
      <c r="U21" s="242">
        <v>2750</v>
      </c>
      <c r="V21" s="224"/>
      <c r="W21" s="131">
        <v>45343</v>
      </c>
      <c r="X21" s="131">
        <v>45365</v>
      </c>
      <c r="Y21" s="229">
        <v>17</v>
      </c>
      <c r="Z21" s="229"/>
      <c r="AA21" s="131">
        <v>45365</v>
      </c>
      <c r="AB21" s="131">
        <v>45372</v>
      </c>
      <c r="AC21" s="229">
        <v>6</v>
      </c>
      <c r="AD21" s="131">
        <v>45372</v>
      </c>
      <c r="AE21" s="131">
        <v>45379</v>
      </c>
      <c r="AF21" s="229">
        <v>6</v>
      </c>
      <c r="AG21" s="165"/>
      <c r="AH21" s="224" t="s">
        <v>198</v>
      </c>
      <c r="AI21" s="223"/>
    </row>
    <row r="22" spans="1:35" ht="18" hidden="1" customHeight="1">
      <c r="A22" s="222" t="s">
        <v>251</v>
      </c>
      <c r="B22" s="220" t="s">
        <v>1475</v>
      </c>
      <c r="C22" s="149" t="s">
        <v>1505</v>
      </c>
      <c r="D22" s="150" t="s">
        <v>157</v>
      </c>
      <c r="E22" s="220" t="s">
        <v>1489</v>
      </c>
      <c r="F22" s="220" t="s">
        <v>53</v>
      </c>
      <c r="G22" s="164" t="s">
        <v>1490</v>
      </c>
      <c r="H22" s="220"/>
      <c r="I22" s="220" t="s">
        <v>52</v>
      </c>
      <c r="J22" s="221" t="s">
        <v>1491</v>
      </c>
      <c r="K22" s="220" t="s">
        <v>1203</v>
      </c>
      <c r="L22" s="220" t="s">
        <v>179</v>
      </c>
      <c r="M22" s="215" t="s">
        <v>1492</v>
      </c>
      <c r="N22" s="219"/>
      <c r="O22" s="219" t="s">
        <v>152</v>
      </c>
      <c r="P22" s="215"/>
      <c r="Q22" s="219" t="s">
        <v>1500</v>
      </c>
      <c r="R22" s="217">
        <v>12</v>
      </c>
      <c r="S22" s="217">
        <v>1</v>
      </c>
      <c r="T22" s="217">
        <v>550</v>
      </c>
      <c r="U22" s="236">
        <v>6600</v>
      </c>
      <c r="V22" s="215"/>
      <c r="W22" s="133">
        <v>45343</v>
      </c>
      <c r="X22" s="133">
        <v>45403</v>
      </c>
      <c r="Y22" s="216">
        <v>43</v>
      </c>
      <c r="Z22" s="216"/>
      <c r="AA22" s="133">
        <v>45403</v>
      </c>
      <c r="AB22" s="133">
        <v>45419</v>
      </c>
      <c r="AC22" s="216">
        <v>12</v>
      </c>
      <c r="AD22" s="133">
        <v>45419</v>
      </c>
      <c r="AE22" s="133">
        <v>45433</v>
      </c>
      <c r="AF22" s="216">
        <v>11</v>
      </c>
      <c r="AG22" s="168" t="s">
        <v>1506</v>
      </c>
      <c r="AH22" s="215" t="s">
        <v>158</v>
      </c>
      <c r="AI22" s="214"/>
    </row>
    <row r="23" spans="1:35" ht="18" hidden="1" customHeight="1">
      <c r="A23" s="227" t="s">
        <v>251</v>
      </c>
      <c r="B23" s="231" t="s">
        <v>1475</v>
      </c>
      <c r="C23" s="151" t="s">
        <v>1507</v>
      </c>
      <c r="D23" s="162" t="s">
        <v>151</v>
      </c>
      <c r="E23" s="231" t="s">
        <v>1489</v>
      </c>
      <c r="F23" s="231" t="s">
        <v>53</v>
      </c>
      <c r="G23" s="163" t="s">
        <v>1490</v>
      </c>
      <c r="H23" s="231"/>
      <c r="I23" s="231" t="s">
        <v>52</v>
      </c>
      <c r="J23" s="232" t="s">
        <v>1491</v>
      </c>
      <c r="K23" s="231" t="s">
        <v>1203</v>
      </c>
      <c r="L23" s="231" t="s">
        <v>179</v>
      </c>
      <c r="M23" s="224" t="s">
        <v>1492</v>
      </c>
      <c r="N23" s="230"/>
      <c r="O23" s="230" t="s">
        <v>152</v>
      </c>
      <c r="P23" s="224"/>
      <c r="Q23" s="230" t="s">
        <v>1500</v>
      </c>
      <c r="R23" s="128">
        <v>12</v>
      </c>
      <c r="S23" s="128">
        <v>1</v>
      </c>
      <c r="T23" s="128">
        <v>550</v>
      </c>
      <c r="U23" s="242">
        <v>6600</v>
      </c>
      <c r="V23" s="224"/>
      <c r="W23" s="131">
        <v>45343</v>
      </c>
      <c r="X23" s="131">
        <v>45403</v>
      </c>
      <c r="Y23" s="229">
        <v>43</v>
      </c>
      <c r="Z23" s="229"/>
      <c r="AA23" s="131">
        <v>45403</v>
      </c>
      <c r="AB23" s="131">
        <v>45419</v>
      </c>
      <c r="AC23" s="229">
        <v>12</v>
      </c>
      <c r="AD23" s="131">
        <v>45419</v>
      </c>
      <c r="AE23" s="131">
        <v>45433</v>
      </c>
      <c r="AF23" s="229">
        <v>11</v>
      </c>
      <c r="AG23" s="157" t="s">
        <v>1508</v>
      </c>
      <c r="AH23" s="224" t="s">
        <v>153</v>
      </c>
      <c r="AI23" s="223"/>
    </row>
    <row r="24" spans="1:35" ht="18" hidden="1" customHeight="1">
      <c r="A24" s="222" t="s">
        <v>130</v>
      </c>
      <c r="B24" s="249" t="s">
        <v>1475</v>
      </c>
      <c r="C24" s="169" t="s">
        <v>188</v>
      </c>
      <c r="D24" s="170" t="s">
        <v>189</v>
      </c>
      <c r="E24" s="220" t="s">
        <v>1489</v>
      </c>
      <c r="F24" s="220" t="s">
        <v>53</v>
      </c>
      <c r="G24" s="164" t="s">
        <v>1490</v>
      </c>
      <c r="H24" s="249"/>
      <c r="I24" s="249" t="s">
        <v>52</v>
      </c>
      <c r="J24" s="250" t="s">
        <v>1491</v>
      </c>
      <c r="K24" s="249" t="s">
        <v>1203</v>
      </c>
      <c r="L24" s="249" t="s">
        <v>179</v>
      </c>
      <c r="M24" s="248" t="s">
        <v>1492</v>
      </c>
      <c r="N24" s="247"/>
      <c r="O24" s="247" t="s">
        <v>152</v>
      </c>
      <c r="P24" s="233" t="s">
        <v>1509</v>
      </c>
      <c r="Q24" s="219" t="s">
        <v>1500</v>
      </c>
      <c r="R24" s="217">
        <v>2</v>
      </c>
      <c r="S24" s="217">
        <v>1</v>
      </c>
      <c r="T24" s="217">
        <v>550</v>
      </c>
      <c r="U24" s="236">
        <v>1100</v>
      </c>
      <c r="V24" s="215"/>
      <c r="W24" s="133">
        <v>45343</v>
      </c>
      <c r="X24" s="133">
        <v>45350</v>
      </c>
      <c r="Y24" s="216">
        <v>6</v>
      </c>
      <c r="Z24" s="216"/>
      <c r="AA24" s="133">
        <v>45350</v>
      </c>
      <c r="AB24" s="133">
        <v>45350</v>
      </c>
      <c r="AC24" s="216">
        <v>1</v>
      </c>
      <c r="AD24" s="133">
        <v>45350</v>
      </c>
      <c r="AE24" s="133">
        <v>45358</v>
      </c>
      <c r="AF24" s="216">
        <v>7</v>
      </c>
      <c r="AG24" s="168" t="s">
        <v>1510</v>
      </c>
      <c r="AH24" s="215" t="s">
        <v>190</v>
      </c>
      <c r="AI24" s="214"/>
    </row>
    <row r="25" spans="1:35" ht="18" hidden="1" customHeight="1">
      <c r="A25" s="227" t="s">
        <v>130</v>
      </c>
      <c r="B25" s="231" t="s">
        <v>1475</v>
      </c>
      <c r="C25" s="151" t="s">
        <v>931</v>
      </c>
      <c r="D25" s="152" t="s">
        <v>932</v>
      </c>
      <c r="E25" s="231" t="s">
        <v>1487</v>
      </c>
      <c r="F25" s="231" t="s">
        <v>53</v>
      </c>
      <c r="G25" s="154" t="s">
        <v>206</v>
      </c>
      <c r="H25" s="231"/>
      <c r="I25" s="231" t="s">
        <v>29</v>
      </c>
      <c r="J25" s="232" t="s">
        <v>28</v>
      </c>
      <c r="K25" s="231" t="s">
        <v>1186</v>
      </c>
      <c r="L25" s="231" t="s">
        <v>179</v>
      </c>
      <c r="M25" s="224"/>
      <c r="N25" s="230"/>
      <c r="O25" s="230" t="s">
        <v>152</v>
      </c>
      <c r="P25" s="224"/>
      <c r="Q25" s="230" t="s">
        <v>1500</v>
      </c>
      <c r="R25" s="128">
        <v>8</v>
      </c>
      <c r="S25" s="128">
        <v>2</v>
      </c>
      <c r="T25" s="128">
        <v>550</v>
      </c>
      <c r="U25" s="242">
        <v>8800</v>
      </c>
      <c r="V25" s="224"/>
      <c r="W25" s="131">
        <v>45298</v>
      </c>
      <c r="X25" s="131">
        <v>45329</v>
      </c>
      <c r="Y25" s="229">
        <v>23</v>
      </c>
      <c r="Z25" s="229"/>
      <c r="AA25" s="131">
        <v>45329</v>
      </c>
      <c r="AB25" s="131">
        <v>45336</v>
      </c>
      <c r="AC25" s="229">
        <v>6</v>
      </c>
      <c r="AD25" s="131">
        <v>45336</v>
      </c>
      <c r="AE25" s="131">
        <v>45343</v>
      </c>
      <c r="AF25" s="229">
        <v>6</v>
      </c>
      <c r="AG25" s="165"/>
      <c r="AH25" s="224" t="s">
        <v>934</v>
      </c>
      <c r="AI25" s="223"/>
    </row>
    <row r="26" spans="1:35" ht="18" customHeight="1">
      <c r="A26" s="222" t="s">
        <v>130</v>
      </c>
      <c r="B26" s="220" t="s">
        <v>1475</v>
      </c>
      <c r="C26" s="171" t="s">
        <v>1511</v>
      </c>
      <c r="D26" s="172" t="s">
        <v>1512</v>
      </c>
      <c r="E26" s="220" t="s">
        <v>260</v>
      </c>
      <c r="F26" s="220" t="s">
        <v>53</v>
      </c>
      <c r="G26" s="153" t="s">
        <v>206</v>
      </c>
      <c r="H26" s="220"/>
      <c r="I26" s="220" t="s">
        <v>47</v>
      </c>
      <c r="J26" s="221" t="s">
        <v>45</v>
      </c>
      <c r="K26" s="220" t="s">
        <v>1186</v>
      </c>
      <c r="L26" s="220" t="s">
        <v>144</v>
      </c>
      <c r="M26" s="215" t="s">
        <v>315</v>
      </c>
      <c r="N26" s="219" t="s">
        <v>152</v>
      </c>
      <c r="O26" s="219" t="s">
        <v>152</v>
      </c>
      <c r="P26" s="215"/>
      <c r="Q26" s="219" t="s">
        <v>146</v>
      </c>
      <c r="R26" s="217">
        <v>6</v>
      </c>
      <c r="S26" s="217">
        <v>1</v>
      </c>
      <c r="T26" s="217">
        <v>550</v>
      </c>
      <c r="U26" s="236">
        <v>3300</v>
      </c>
      <c r="V26" s="215"/>
      <c r="W26" s="133">
        <v>45343</v>
      </c>
      <c r="X26" s="133">
        <v>45372</v>
      </c>
      <c r="Y26" s="216">
        <v>22</v>
      </c>
      <c r="Z26" s="216"/>
      <c r="AA26" s="133">
        <v>45372</v>
      </c>
      <c r="AB26" s="133">
        <v>45379</v>
      </c>
      <c r="AC26" s="216">
        <v>6</v>
      </c>
      <c r="AD26" s="133">
        <v>45379</v>
      </c>
      <c r="AE26" s="133">
        <v>45389</v>
      </c>
      <c r="AF26" s="216">
        <v>7</v>
      </c>
      <c r="AG26" s="159"/>
      <c r="AH26" s="215" t="s">
        <v>417</v>
      </c>
      <c r="AI26" s="214"/>
    </row>
    <row r="27" spans="1:35" ht="18" customHeight="1">
      <c r="A27" s="227" t="s">
        <v>130</v>
      </c>
      <c r="B27" s="231" t="s">
        <v>1475</v>
      </c>
      <c r="C27" s="173" t="s">
        <v>1513</v>
      </c>
      <c r="D27" s="174" t="s">
        <v>410</v>
      </c>
      <c r="E27" s="231" t="s">
        <v>260</v>
      </c>
      <c r="F27" s="231" t="s">
        <v>53</v>
      </c>
      <c r="G27" s="154" t="s">
        <v>206</v>
      </c>
      <c r="H27" s="231"/>
      <c r="I27" s="231" t="s">
        <v>47</v>
      </c>
      <c r="J27" s="232" t="s">
        <v>45</v>
      </c>
      <c r="K27" s="231" t="s">
        <v>1186</v>
      </c>
      <c r="L27" s="231" t="s">
        <v>144</v>
      </c>
      <c r="M27" s="224" t="s">
        <v>315</v>
      </c>
      <c r="N27" s="230" t="s">
        <v>152</v>
      </c>
      <c r="O27" s="230" t="s">
        <v>152</v>
      </c>
      <c r="P27" s="224" t="s">
        <v>1514</v>
      </c>
      <c r="Q27" s="230" t="s">
        <v>146</v>
      </c>
      <c r="R27" s="128">
        <v>4</v>
      </c>
      <c r="S27" s="128">
        <v>1</v>
      </c>
      <c r="T27" s="128">
        <v>550</v>
      </c>
      <c r="U27" s="242">
        <v>2200</v>
      </c>
      <c r="V27" s="224"/>
      <c r="W27" s="131">
        <v>45343</v>
      </c>
      <c r="X27" s="131">
        <v>45358</v>
      </c>
      <c r="Y27" s="229">
        <v>12</v>
      </c>
      <c r="Z27" s="229"/>
      <c r="AA27" s="131">
        <v>45358</v>
      </c>
      <c r="AB27" s="131">
        <v>45365</v>
      </c>
      <c r="AC27" s="229">
        <v>6</v>
      </c>
      <c r="AD27" s="131">
        <v>45365</v>
      </c>
      <c r="AE27" s="131">
        <v>45372</v>
      </c>
      <c r="AF27" s="229">
        <v>6</v>
      </c>
      <c r="AG27" s="165"/>
      <c r="AH27" s="224" t="s">
        <v>411</v>
      </c>
      <c r="AI27" s="223"/>
    </row>
    <row r="28" spans="1:35" ht="18" customHeight="1">
      <c r="A28" s="222" t="s">
        <v>130</v>
      </c>
      <c r="B28" s="249" t="s">
        <v>1475</v>
      </c>
      <c r="C28" s="175" t="s">
        <v>280</v>
      </c>
      <c r="D28" s="176" t="s">
        <v>1515</v>
      </c>
      <c r="E28" s="220" t="s">
        <v>260</v>
      </c>
      <c r="F28" s="220" t="s">
        <v>53</v>
      </c>
      <c r="G28" s="177" t="s">
        <v>206</v>
      </c>
      <c r="H28" s="249"/>
      <c r="I28" s="249" t="s">
        <v>47</v>
      </c>
      <c r="J28" s="250" t="s">
        <v>45</v>
      </c>
      <c r="K28" s="249" t="s">
        <v>1186</v>
      </c>
      <c r="L28" s="249" t="s">
        <v>144</v>
      </c>
      <c r="M28" s="248" t="s">
        <v>315</v>
      </c>
      <c r="N28" s="247"/>
      <c r="O28" s="247" t="s">
        <v>152</v>
      </c>
      <c r="P28" s="215"/>
      <c r="Q28" s="219" t="s">
        <v>146</v>
      </c>
      <c r="R28" s="217">
        <v>1</v>
      </c>
      <c r="S28" s="217">
        <v>1</v>
      </c>
      <c r="T28" s="217">
        <v>550</v>
      </c>
      <c r="U28" s="236">
        <v>550</v>
      </c>
      <c r="V28" s="215"/>
      <c r="W28" s="133">
        <v>45323</v>
      </c>
      <c r="X28" s="133">
        <v>45323</v>
      </c>
      <c r="Y28" s="216">
        <v>1</v>
      </c>
      <c r="Z28" s="216"/>
      <c r="AA28" s="133">
        <v>45323</v>
      </c>
      <c r="AB28" s="133">
        <v>45329</v>
      </c>
      <c r="AC28" s="216">
        <v>5</v>
      </c>
      <c r="AD28" s="133">
        <v>45329</v>
      </c>
      <c r="AE28" s="133">
        <v>45336</v>
      </c>
      <c r="AF28" s="216">
        <v>6</v>
      </c>
      <c r="AG28" s="159" t="s">
        <v>1516</v>
      </c>
      <c r="AH28" s="215"/>
      <c r="AI28" s="214"/>
    </row>
    <row r="29" spans="1:35" ht="18" customHeight="1">
      <c r="A29" s="227" t="s">
        <v>130</v>
      </c>
      <c r="B29" s="231" t="s">
        <v>1475</v>
      </c>
      <c r="C29" s="178" t="s">
        <v>1517</v>
      </c>
      <c r="D29" s="174" t="s">
        <v>1518</v>
      </c>
      <c r="E29" s="231" t="s">
        <v>260</v>
      </c>
      <c r="F29" s="231" t="s">
        <v>53</v>
      </c>
      <c r="G29" s="154" t="s">
        <v>206</v>
      </c>
      <c r="H29" s="231"/>
      <c r="I29" s="231" t="s">
        <v>47</v>
      </c>
      <c r="J29" s="232" t="s">
        <v>45</v>
      </c>
      <c r="K29" s="231" t="s">
        <v>1186</v>
      </c>
      <c r="L29" s="231" t="s">
        <v>144</v>
      </c>
      <c r="M29" s="224" t="s">
        <v>315</v>
      </c>
      <c r="N29" s="230" t="s">
        <v>152</v>
      </c>
      <c r="O29" s="230" t="s">
        <v>152</v>
      </c>
      <c r="P29" s="224"/>
      <c r="Q29" s="230" t="s">
        <v>146</v>
      </c>
      <c r="R29" s="128">
        <v>6</v>
      </c>
      <c r="S29" s="128">
        <v>1</v>
      </c>
      <c r="T29" s="128">
        <v>550</v>
      </c>
      <c r="U29" s="242">
        <v>3300</v>
      </c>
      <c r="V29" s="224"/>
      <c r="W29" s="131">
        <v>45323</v>
      </c>
      <c r="X29" s="131">
        <v>45350</v>
      </c>
      <c r="Y29" s="229">
        <v>20</v>
      </c>
      <c r="Z29" s="229"/>
      <c r="AA29" s="131">
        <v>45350</v>
      </c>
      <c r="AB29" s="131">
        <v>45358</v>
      </c>
      <c r="AC29" s="229">
        <v>7</v>
      </c>
      <c r="AD29" s="131">
        <v>45358</v>
      </c>
      <c r="AE29" s="131">
        <v>45365</v>
      </c>
      <c r="AF29" s="229">
        <v>6</v>
      </c>
      <c r="AG29" s="165" t="s">
        <v>1519</v>
      </c>
      <c r="AH29" s="224"/>
      <c r="AI29" s="223"/>
    </row>
    <row r="30" spans="1:35" ht="18" customHeight="1">
      <c r="A30" s="222" t="s">
        <v>130</v>
      </c>
      <c r="B30" s="220" t="s">
        <v>1475</v>
      </c>
      <c r="C30" s="179" t="s">
        <v>1520</v>
      </c>
      <c r="D30" s="172" t="s">
        <v>1521</v>
      </c>
      <c r="E30" s="220" t="s">
        <v>260</v>
      </c>
      <c r="F30" s="220" t="s">
        <v>53</v>
      </c>
      <c r="G30" s="153" t="s">
        <v>206</v>
      </c>
      <c r="H30" s="220"/>
      <c r="I30" s="220" t="s">
        <v>47</v>
      </c>
      <c r="J30" s="221" t="s">
        <v>45</v>
      </c>
      <c r="K30" s="220" t="s">
        <v>1186</v>
      </c>
      <c r="L30" s="220" t="s">
        <v>144</v>
      </c>
      <c r="M30" s="215" t="s">
        <v>315</v>
      </c>
      <c r="N30" s="219" t="s">
        <v>152</v>
      </c>
      <c r="O30" s="219" t="s">
        <v>152</v>
      </c>
      <c r="P30" s="215"/>
      <c r="Q30" s="219" t="s">
        <v>146</v>
      </c>
      <c r="R30" s="217">
        <v>6</v>
      </c>
      <c r="S30" s="217">
        <v>1</v>
      </c>
      <c r="T30" s="217">
        <v>550</v>
      </c>
      <c r="U30" s="236">
        <v>3300</v>
      </c>
      <c r="V30" s="215"/>
      <c r="W30" s="133">
        <v>45358</v>
      </c>
      <c r="X30" s="133">
        <v>45389</v>
      </c>
      <c r="Y30" s="216">
        <v>22</v>
      </c>
      <c r="Z30" s="216"/>
      <c r="AA30" s="133">
        <v>45389</v>
      </c>
      <c r="AB30" s="133">
        <v>45396</v>
      </c>
      <c r="AC30" s="216">
        <v>5</v>
      </c>
      <c r="AD30" s="133">
        <v>45396</v>
      </c>
      <c r="AE30" s="133">
        <v>45403</v>
      </c>
      <c r="AF30" s="216">
        <v>5</v>
      </c>
      <c r="AG30" s="159"/>
      <c r="AH30" s="215" t="s">
        <v>360</v>
      </c>
      <c r="AI30" s="214" t="s">
        <v>145</v>
      </c>
    </row>
    <row r="31" spans="1:35" ht="18" customHeight="1">
      <c r="A31" s="227" t="s">
        <v>130</v>
      </c>
      <c r="B31" s="231" t="s">
        <v>1475</v>
      </c>
      <c r="C31" s="180" t="s">
        <v>1522</v>
      </c>
      <c r="D31" s="174" t="s">
        <v>343</v>
      </c>
      <c r="E31" s="231" t="s">
        <v>260</v>
      </c>
      <c r="F31" s="231" t="s">
        <v>53</v>
      </c>
      <c r="G31" s="154" t="s">
        <v>206</v>
      </c>
      <c r="H31" s="231"/>
      <c r="I31" s="231" t="s">
        <v>47</v>
      </c>
      <c r="J31" s="232" t="s">
        <v>45</v>
      </c>
      <c r="K31" s="231" t="s">
        <v>1186</v>
      </c>
      <c r="L31" s="231" t="s">
        <v>144</v>
      </c>
      <c r="M31" s="224" t="s">
        <v>315</v>
      </c>
      <c r="N31" s="230" t="s">
        <v>152</v>
      </c>
      <c r="O31" s="230" t="s">
        <v>152</v>
      </c>
      <c r="P31" s="224" t="s">
        <v>1523</v>
      </c>
      <c r="Q31" s="230" t="s">
        <v>1500</v>
      </c>
      <c r="R31" s="128">
        <v>12</v>
      </c>
      <c r="S31" s="128">
        <v>1</v>
      </c>
      <c r="T31" s="128">
        <v>550</v>
      </c>
      <c r="U31" s="242">
        <v>6600</v>
      </c>
      <c r="V31" s="224"/>
      <c r="W31" s="131">
        <v>45323</v>
      </c>
      <c r="X31" s="131">
        <v>45410</v>
      </c>
      <c r="Y31" s="229">
        <v>62</v>
      </c>
      <c r="Z31" s="229"/>
      <c r="AA31" s="131">
        <v>45410</v>
      </c>
      <c r="AB31" s="131">
        <v>45419</v>
      </c>
      <c r="AC31" s="229">
        <v>7</v>
      </c>
      <c r="AD31" s="131">
        <v>45419</v>
      </c>
      <c r="AE31" s="131">
        <v>45440</v>
      </c>
      <c r="AF31" s="229">
        <v>16</v>
      </c>
      <c r="AG31" s="165"/>
      <c r="AH31" s="224" t="s">
        <v>344</v>
      </c>
      <c r="AI31" s="223" t="s">
        <v>145</v>
      </c>
    </row>
    <row r="32" spans="1:35" ht="18" customHeight="1">
      <c r="A32" s="222"/>
      <c r="B32" s="220" t="s">
        <v>1475</v>
      </c>
      <c r="C32" s="389" t="s">
        <v>1524</v>
      </c>
      <c r="D32" s="390" t="s">
        <v>377</v>
      </c>
      <c r="E32" s="220" t="s">
        <v>260</v>
      </c>
      <c r="F32" s="220" t="s">
        <v>53</v>
      </c>
      <c r="G32" s="153" t="s">
        <v>206</v>
      </c>
      <c r="H32" s="239"/>
      <c r="I32" s="220" t="s">
        <v>47</v>
      </c>
      <c r="J32" s="221" t="s">
        <v>45</v>
      </c>
      <c r="K32" s="220" t="s">
        <v>1186</v>
      </c>
      <c r="L32" s="220" t="s">
        <v>144</v>
      </c>
      <c r="M32" s="215" t="s">
        <v>315</v>
      </c>
      <c r="N32" s="219" t="s">
        <v>152</v>
      </c>
      <c r="O32" s="237" t="s">
        <v>152</v>
      </c>
      <c r="P32" s="217"/>
      <c r="Q32" s="237" t="s">
        <v>1525</v>
      </c>
      <c r="R32" s="217">
        <v>2</v>
      </c>
      <c r="S32" s="217">
        <v>1</v>
      </c>
      <c r="T32" s="217">
        <v>550</v>
      </c>
      <c r="U32" s="236">
        <v>1100</v>
      </c>
      <c r="V32" s="217"/>
      <c r="W32" s="133">
        <v>45336</v>
      </c>
      <c r="X32" s="133">
        <v>45343</v>
      </c>
      <c r="Y32" s="235">
        <v>6</v>
      </c>
      <c r="Z32" s="235"/>
      <c r="AA32" s="133">
        <v>45343</v>
      </c>
      <c r="AB32" s="133">
        <v>45350</v>
      </c>
      <c r="AC32" s="235">
        <v>6</v>
      </c>
      <c r="AD32" s="133">
        <v>45350</v>
      </c>
      <c r="AE32" s="133">
        <v>45350</v>
      </c>
      <c r="AF32" s="235">
        <v>1</v>
      </c>
      <c r="AG32" s="156"/>
      <c r="AH32" s="215" t="s">
        <v>378</v>
      </c>
      <c r="AI32" s="214"/>
    </row>
    <row r="33" spans="1:35" ht="18" customHeight="1">
      <c r="A33" s="227"/>
      <c r="B33" s="231" t="s">
        <v>1475</v>
      </c>
      <c r="C33" s="391" t="s">
        <v>1526</v>
      </c>
      <c r="D33" s="392" t="s">
        <v>857</v>
      </c>
      <c r="E33" s="231" t="s">
        <v>260</v>
      </c>
      <c r="F33" s="231" t="s">
        <v>53</v>
      </c>
      <c r="G33" s="154" t="s">
        <v>206</v>
      </c>
      <c r="H33" s="244"/>
      <c r="I33" s="231" t="s">
        <v>47</v>
      </c>
      <c r="J33" s="232" t="s">
        <v>45</v>
      </c>
      <c r="K33" s="231" t="s">
        <v>1186</v>
      </c>
      <c r="L33" s="231" t="s">
        <v>144</v>
      </c>
      <c r="M33" s="224" t="s">
        <v>315</v>
      </c>
      <c r="N33" s="393" t="s">
        <v>152</v>
      </c>
      <c r="O33" s="393" t="s">
        <v>152</v>
      </c>
      <c r="P33" s="128" t="s">
        <v>1527</v>
      </c>
      <c r="Q33" s="243" t="s">
        <v>1525</v>
      </c>
      <c r="R33" s="243">
        <v>4</v>
      </c>
      <c r="S33" s="128">
        <v>1</v>
      </c>
      <c r="T33" s="128">
        <v>550</v>
      </c>
      <c r="U33" s="242">
        <v>2200</v>
      </c>
      <c r="V33" s="128"/>
      <c r="W33" s="131">
        <v>45323</v>
      </c>
      <c r="X33" s="131">
        <v>45343</v>
      </c>
      <c r="Y33" s="241">
        <v>15</v>
      </c>
      <c r="Z33" s="241"/>
      <c r="AA33" s="131">
        <v>45343</v>
      </c>
      <c r="AB33" s="131">
        <v>45350</v>
      </c>
      <c r="AC33" s="241">
        <v>6</v>
      </c>
      <c r="AD33" s="131">
        <v>45350</v>
      </c>
      <c r="AE33" s="131">
        <v>45350</v>
      </c>
      <c r="AF33" s="241">
        <v>1</v>
      </c>
      <c r="AG33" s="240"/>
      <c r="AH33" s="224" t="s">
        <v>1528</v>
      </c>
      <c r="AI33" s="223"/>
    </row>
    <row r="34" spans="1:35" ht="18" customHeight="1">
      <c r="A34" s="222" t="s">
        <v>130</v>
      </c>
      <c r="B34" s="220" t="s">
        <v>1475</v>
      </c>
      <c r="C34" s="129" t="s">
        <v>1529</v>
      </c>
      <c r="D34" s="181" t="s">
        <v>1530</v>
      </c>
      <c r="E34" s="220" t="s">
        <v>260</v>
      </c>
      <c r="F34" s="220" t="s">
        <v>53</v>
      </c>
      <c r="G34" s="164" t="s">
        <v>1490</v>
      </c>
      <c r="H34" s="220"/>
      <c r="I34" s="220" t="s">
        <v>47</v>
      </c>
      <c r="J34" s="221" t="s">
        <v>45</v>
      </c>
      <c r="K34" s="220" t="s">
        <v>1186</v>
      </c>
      <c r="L34" s="220" t="s">
        <v>144</v>
      </c>
      <c r="M34" s="215" t="s">
        <v>315</v>
      </c>
      <c r="N34" s="219" t="s">
        <v>152</v>
      </c>
      <c r="O34" s="219" t="s">
        <v>152</v>
      </c>
      <c r="P34" s="215"/>
      <c r="Q34" s="219" t="s">
        <v>1500</v>
      </c>
      <c r="R34" s="217">
        <v>8</v>
      </c>
      <c r="S34" s="217">
        <v>1</v>
      </c>
      <c r="T34" s="217">
        <v>550</v>
      </c>
      <c r="U34" s="236">
        <v>4400</v>
      </c>
      <c r="V34" s="215"/>
      <c r="W34" s="133">
        <v>45323</v>
      </c>
      <c r="X34" s="133">
        <v>45343</v>
      </c>
      <c r="Y34" s="216">
        <v>15</v>
      </c>
      <c r="Z34" s="216"/>
      <c r="AA34" s="133">
        <v>45343</v>
      </c>
      <c r="AB34" s="133">
        <v>45350</v>
      </c>
      <c r="AC34" s="216">
        <v>6</v>
      </c>
      <c r="AD34" s="133">
        <v>45350</v>
      </c>
      <c r="AE34" s="133">
        <v>45358</v>
      </c>
      <c r="AF34" s="216">
        <v>7</v>
      </c>
      <c r="AG34" s="215"/>
      <c r="AH34" s="234" t="s">
        <v>339</v>
      </c>
      <c r="AI34" s="256"/>
    </row>
    <row r="35" spans="1:35" ht="18" customHeight="1">
      <c r="A35" s="227" t="s">
        <v>130</v>
      </c>
      <c r="B35" s="231" t="s">
        <v>1475</v>
      </c>
      <c r="C35" s="182" t="s">
        <v>1531</v>
      </c>
      <c r="D35" s="183" t="s">
        <v>1532</v>
      </c>
      <c r="E35" s="231" t="s">
        <v>260</v>
      </c>
      <c r="F35" s="231" t="s">
        <v>53</v>
      </c>
      <c r="G35" s="154" t="s">
        <v>330</v>
      </c>
      <c r="H35" s="231"/>
      <c r="I35" s="231" t="s">
        <v>49</v>
      </c>
      <c r="J35" s="232" t="s">
        <v>45</v>
      </c>
      <c r="K35" s="231" t="s">
        <v>1186</v>
      </c>
      <c r="L35" s="231" t="s">
        <v>144</v>
      </c>
      <c r="M35" s="224" t="s">
        <v>315</v>
      </c>
      <c r="N35" s="130" t="s">
        <v>152</v>
      </c>
      <c r="O35" s="230" t="s">
        <v>152</v>
      </c>
      <c r="P35" s="224"/>
      <c r="Q35" s="230" t="s">
        <v>146</v>
      </c>
      <c r="R35" s="128">
        <v>4</v>
      </c>
      <c r="S35" s="128">
        <v>1</v>
      </c>
      <c r="T35" s="128">
        <v>550</v>
      </c>
      <c r="U35" s="242">
        <v>2200</v>
      </c>
      <c r="V35" s="224"/>
      <c r="W35" s="131">
        <v>45343</v>
      </c>
      <c r="X35" s="131">
        <v>45358</v>
      </c>
      <c r="Y35" s="229">
        <v>12</v>
      </c>
      <c r="Z35" s="229"/>
      <c r="AA35" s="131">
        <v>45358</v>
      </c>
      <c r="AB35" s="131">
        <v>45365</v>
      </c>
      <c r="AC35" s="229">
        <v>6</v>
      </c>
      <c r="AD35" s="131">
        <v>45336</v>
      </c>
      <c r="AE35" s="131">
        <v>45343</v>
      </c>
      <c r="AF35" s="229">
        <v>6</v>
      </c>
      <c r="AG35" s="224"/>
      <c r="AH35" s="240" t="s">
        <v>1533</v>
      </c>
      <c r="AI35" s="254"/>
    </row>
    <row r="36" spans="1:35" ht="18" customHeight="1">
      <c r="A36" s="222" t="s">
        <v>130</v>
      </c>
      <c r="B36" s="220" t="s">
        <v>1475</v>
      </c>
      <c r="C36" s="182" t="s">
        <v>1534</v>
      </c>
      <c r="D36" s="184" t="s">
        <v>335</v>
      </c>
      <c r="E36" s="220" t="s">
        <v>260</v>
      </c>
      <c r="F36" s="220" t="s">
        <v>53</v>
      </c>
      <c r="G36" s="153" t="s">
        <v>330</v>
      </c>
      <c r="H36" s="220"/>
      <c r="I36" s="220" t="s">
        <v>49</v>
      </c>
      <c r="J36" s="221" t="s">
        <v>45</v>
      </c>
      <c r="K36" s="220" t="s">
        <v>1186</v>
      </c>
      <c r="L36" s="220" t="s">
        <v>144</v>
      </c>
      <c r="M36" s="215" t="s">
        <v>315</v>
      </c>
      <c r="N36" s="257" t="s">
        <v>152</v>
      </c>
      <c r="O36" s="219" t="s">
        <v>152</v>
      </c>
      <c r="P36" s="215"/>
      <c r="Q36" s="219" t="s">
        <v>146</v>
      </c>
      <c r="R36" s="217">
        <v>4</v>
      </c>
      <c r="S36" s="217">
        <v>1</v>
      </c>
      <c r="T36" s="217">
        <v>550</v>
      </c>
      <c r="U36" s="236">
        <v>2200</v>
      </c>
      <c r="V36" s="215"/>
      <c r="W36" s="133">
        <v>45343</v>
      </c>
      <c r="X36" s="133">
        <v>45358</v>
      </c>
      <c r="Y36" s="216">
        <v>12</v>
      </c>
      <c r="Z36" s="216"/>
      <c r="AA36" s="133">
        <v>45358</v>
      </c>
      <c r="AB36" s="133">
        <v>45365</v>
      </c>
      <c r="AC36" s="216">
        <v>6</v>
      </c>
      <c r="AD36" s="133">
        <v>45336</v>
      </c>
      <c r="AE36" s="133">
        <v>45343</v>
      </c>
      <c r="AF36" s="216">
        <v>6</v>
      </c>
      <c r="AG36" s="215"/>
      <c r="AH36" s="234" t="s">
        <v>336</v>
      </c>
      <c r="AI36" s="256"/>
    </row>
    <row r="37" spans="1:35" ht="18" customHeight="1">
      <c r="A37" s="227" t="s">
        <v>130</v>
      </c>
      <c r="B37" s="231" t="s">
        <v>1475</v>
      </c>
      <c r="C37" s="185" t="s">
        <v>1535</v>
      </c>
      <c r="D37" s="186" t="s">
        <v>1536</v>
      </c>
      <c r="E37" s="231" t="s">
        <v>260</v>
      </c>
      <c r="F37" s="231" t="s">
        <v>53</v>
      </c>
      <c r="G37" s="154" t="s">
        <v>206</v>
      </c>
      <c r="H37" s="231"/>
      <c r="I37" s="231" t="s">
        <v>47</v>
      </c>
      <c r="J37" s="232" t="s">
        <v>45</v>
      </c>
      <c r="K37" s="231" t="s">
        <v>1186</v>
      </c>
      <c r="L37" s="231" t="s">
        <v>144</v>
      </c>
      <c r="M37" s="224" t="s">
        <v>315</v>
      </c>
      <c r="N37" s="255" t="s">
        <v>152</v>
      </c>
      <c r="O37" s="230" t="s">
        <v>152</v>
      </c>
      <c r="P37" s="224"/>
      <c r="Q37" s="230" t="s">
        <v>1525</v>
      </c>
      <c r="R37" s="128">
        <v>3</v>
      </c>
      <c r="S37" s="128">
        <v>1</v>
      </c>
      <c r="T37" s="128">
        <v>0</v>
      </c>
      <c r="U37" s="242">
        <v>0</v>
      </c>
      <c r="V37" s="224"/>
      <c r="W37" s="131">
        <v>45323</v>
      </c>
      <c r="X37" s="131">
        <v>45329</v>
      </c>
      <c r="Y37" s="229">
        <v>5</v>
      </c>
      <c r="Z37" s="229"/>
      <c r="AA37" s="131">
        <v>45329</v>
      </c>
      <c r="AB37" s="131">
        <v>45336</v>
      </c>
      <c r="AC37" s="229">
        <v>6</v>
      </c>
      <c r="AD37" s="131">
        <v>45336</v>
      </c>
      <c r="AE37" s="131">
        <v>45343</v>
      </c>
      <c r="AF37" s="229">
        <v>6</v>
      </c>
      <c r="AG37" s="165" t="s">
        <v>274</v>
      </c>
      <c r="AH37" s="240" t="s">
        <v>350</v>
      </c>
      <c r="AI37" s="254"/>
    </row>
    <row r="38" spans="1:35" ht="18" customHeight="1">
      <c r="A38" s="222" t="s">
        <v>130</v>
      </c>
      <c r="B38" s="220" t="s">
        <v>1475</v>
      </c>
      <c r="C38" s="187" t="s">
        <v>1537</v>
      </c>
      <c r="D38" s="184" t="s">
        <v>857</v>
      </c>
      <c r="E38" s="220" t="s">
        <v>260</v>
      </c>
      <c r="F38" s="220" t="s">
        <v>53</v>
      </c>
      <c r="G38" s="153" t="s">
        <v>206</v>
      </c>
      <c r="H38" s="220"/>
      <c r="I38" s="220" t="s">
        <v>47</v>
      </c>
      <c r="J38" s="221" t="s">
        <v>45</v>
      </c>
      <c r="K38" s="220" t="s">
        <v>1186</v>
      </c>
      <c r="L38" s="220" t="s">
        <v>144</v>
      </c>
      <c r="M38" s="215" t="s">
        <v>315</v>
      </c>
      <c r="N38" s="257" t="s">
        <v>152</v>
      </c>
      <c r="O38" s="219" t="s">
        <v>152</v>
      </c>
      <c r="P38" s="215"/>
      <c r="Q38" s="219" t="s">
        <v>146</v>
      </c>
      <c r="R38" s="217">
        <v>1</v>
      </c>
      <c r="S38" s="217">
        <v>1</v>
      </c>
      <c r="T38" s="217">
        <v>0</v>
      </c>
      <c r="U38" s="218">
        <v>0</v>
      </c>
      <c r="V38" s="215"/>
      <c r="W38" s="133">
        <v>45323</v>
      </c>
      <c r="X38" s="133">
        <v>45329</v>
      </c>
      <c r="Y38" s="216">
        <v>5</v>
      </c>
      <c r="Z38" s="216"/>
      <c r="AA38" s="133">
        <v>45329</v>
      </c>
      <c r="AB38" s="133">
        <v>45329</v>
      </c>
      <c r="AC38" s="216">
        <v>1</v>
      </c>
      <c r="AD38" s="133">
        <v>45329</v>
      </c>
      <c r="AE38" s="133">
        <v>45329</v>
      </c>
      <c r="AF38" s="216">
        <v>1</v>
      </c>
      <c r="AG38" s="159" t="s">
        <v>274</v>
      </c>
      <c r="AH38" s="234" t="s">
        <v>1538</v>
      </c>
      <c r="AI38" s="256"/>
    </row>
    <row r="39" spans="1:35" ht="18" customHeight="1">
      <c r="A39" s="227" t="s">
        <v>130</v>
      </c>
      <c r="B39" s="231" t="s">
        <v>1475</v>
      </c>
      <c r="C39" s="185" t="s">
        <v>1539</v>
      </c>
      <c r="D39" s="188" t="s">
        <v>1540</v>
      </c>
      <c r="E39" s="231" t="s">
        <v>260</v>
      </c>
      <c r="F39" s="231" t="s">
        <v>53</v>
      </c>
      <c r="G39" s="154" t="s">
        <v>206</v>
      </c>
      <c r="H39" s="231"/>
      <c r="I39" s="231" t="s">
        <v>47</v>
      </c>
      <c r="J39" s="232" t="s">
        <v>45</v>
      </c>
      <c r="K39" s="231" t="s">
        <v>1186</v>
      </c>
      <c r="L39" s="231" t="s">
        <v>144</v>
      </c>
      <c r="M39" s="224" t="s">
        <v>315</v>
      </c>
      <c r="N39" s="255" t="s">
        <v>152</v>
      </c>
      <c r="O39" s="230" t="s">
        <v>152</v>
      </c>
      <c r="P39" s="224"/>
      <c r="Q39" s="230" t="s">
        <v>146</v>
      </c>
      <c r="R39" s="128">
        <v>5</v>
      </c>
      <c r="S39" s="128">
        <v>1</v>
      </c>
      <c r="T39" s="128">
        <v>550</v>
      </c>
      <c r="U39" s="226">
        <v>2750</v>
      </c>
      <c r="V39" s="224"/>
      <c r="W39" s="131">
        <v>45365</v>
      </c>
      <c r="X39" s="131">
        <v>45389</v>
      </c>
      <c r="Y39" s="229">
        <v>17</v>
      </c>
      <c r="Z39" s="229"/>
      <c r="AA39" s="131">
        <v>45389</v>
      </c>
      <c r="AB39" s="131">
        <v>45396</v>
      </c>
      <c r="AC39" s="229">
        <v>5</v>
      </c>
      <c r="AD39" s="131">
        <v>45396</v>
      </c>
      <c r="AE39" s="131">
        <v>45403</v>
      </c>
      <c r="AF39" s="229">
        <v>5</v>
      </c>
      <c r="AG39" s="165"/>
      <c r="AH39" s="240" t="s">
        <v>325</v>
      </c>
      <c r="AI39" s="254" t="s">
        <v>145</v>
      </c>
    </row>
    <row r="40" spans="1:35" ht="18" customHeight="1">
      <c r="A40" s="222" t="s">
        <v>130</v>
      </c>
      <c r="B40" s="220" t="s">
        <v>1475</v>
      </c>
      <c r="C40" s="189" t="s">
        <v>1541</v>
      </c>
      <c r="D40" s="190" t="s">
        <v>1542</v>
      </c>
      <c r="E40" s="220" t="s">
        <v>260</v>
      </c>
      <c r="F40" s="220" t="s">
        <v>53</v>
      </c>
      <c r="G40" s="153" t="s">
        <v>206</v>
      </c>
      <c r="H40" s="220"/>
      <c r="I40" s="220" t="s">
        <v>47</v>
      </c>
      <c r="J40" s="221" t="s">
        <v>45</v>
      </c>
      <c r="K40" s="220" t="s">
        <v>1186</v>
      </c>
      <c r="L40" s="220" t="s">
        <v>144</v>
      </c>
      <c r="M40" s="215" t="s">
        <v>315</v>
      </c>
      <c r="N40" s="257" t="s">
        <v>152</v>
      </c>
      <c r="O40" s="219" t="s">
        <v>152</v>
      </c>
      <c r="P40" s="215"/>
      <c r="Q40" s="219" t="s">
        <v>146</v>
      </c>
      <c r="R40" s="217">
        <v>4</v>
      </c>
      <c r="S40" s="217">
        <v>1</v>
      </c>
      <c r="T40" s="217">
        <v>550</v>
      </c>
      <c r="U40" s="258">
        <v>2200</v>
      </c>
      <c r="V40" s="215"/>
      <c r="W40" s="133">
        <v>45372</v>
      </c>
      <c r="X40" s="133">
        <v>45389</v>
      </c>
      <c r="Y40" s="235">
        <v>12</v>
      </c>
      <c r="Z40" s="235"/>
      <c r="AA40" s="133">
        <v>45389</v>
      </c>
      <c r="AB40" s="133">
        <v>45396</v>
      </c>
      <c r="AC40" s="235">
        <v>5</v>
      </c>
      <c r="AD40" s="133">
        <v>45396</v>
      </c>
      <c r="AE40" s="133">
        <v>45403</v>
      </c>
      <c r="AF40" s="235">
        <v>5</v>
      </c>
      <c r="AG40" s="215"/>
      <c r="AH40" s="234" t="s">
        <v>332</v>
      </c>
      <c r="AI40" s="256" t="s">
        <v>145</v>
      </c>
    </row>
    <row r="41" spans="1:35" ht="18" customHeight="1">
      <c r="A41" s="227" t="s">
        <v>130</v>
      </c>
      <c r="B41" s="231" t="s">
        <v>1475</v>
      </c>
      <c r="C41" s="189" t="s">
        <v>1543</v>
      </c>
      <c r="D41" s="191" t="s">
        <v>1544</v>
      </c>
      <c r="E41" s="231" t="s">
        <v>260</v>
      </c>
      <c r="F41" s="231" t="s">
        <v>53</v>
      </c>
      <c r="G41" s="154" t="s">
        <v>206</v>
      </c>
      <c r="H41" s="231"/>
      <c r="I41" s="231" t="s">
        <v>47</v>
      </c>
      <c r="J41" s="232" t="s">
        <v>45</v>
      </c>
      <c r="K41" s="231" t="s">
        <v>1186</v>
      </c>
      <c r="L41" s="231" t="s">
        <v>144</v>
      </c>
      <c r="M41" s="224" t="s">
        <v>315</v>
      </c>
      <c r="N41" s="255" t="s">
        <v>152</v>
      </c>
      <c r="O41" s="230" t="s">
        <v>152</v>
      </c>
      <c r="P41" s="224"/>
      <c r="Q41" s="230" t="s">
        <v>146</v>
      </c>
      <c r="R41" s="128">
        <v>4</v>
      </c>
      <c r="S41" s="128">
        <v>1</v>
      </c>
      <c r="T41" s="128">
        <v>550</v>
      </c>
      <c r="U41" s="226">
        <v>2200</v>
      </c>
      <c r="V41" s="224"/>
      <c r="W41" s="131">
        <v>45372</v>
      </c>
      <c r="X41" s="131">
        <v>45389</v>
      </c>
      <c r="Y41" s="229">
        <v>12</v>
      </c>
      <c r="Z41" s="229"/>
      <c r="AA41" s="131">
        <v>45389</v>
      </c>
      <c r="AB41" s="131">
        <v>45396</v>
      </c>
      <c r="AC41" s="229">
        <v>5</v>
      </c>
      <c r="AD41" s="131">
        <v>45396</v>
      </c>
      <c r="AE41" s="131">
        <v>45403</v>
      </c>
      <c r="AF41" s="229">
        <v>5</v>
      </c>
      <c r="AG41" s="165"/>
      <c r="AH41" s="240" t="s">
        <v>1545</v>
      </c>
      <c r="AI41" s="254" t="s">
        <v>145</v>
      </c>
    </row>
    <row r="42" spans="1:35" ht="18" hidden="1" customHeight="1">
      <c r="A42" s="222" t="s">
        <v>251</v>
      </c>
      <c r="B42" s="220" t="s">
        <v>1475</v>
      </c>
      <c r="C42" s="192" t="s">
        <v>756</v>
      </c>
      <c r="D42" s="193" t="s">
        <v>757</v>
      </c>
      <c r="E42" s="220" t="s">
        <v>1478</v>
      </c>
      <c r="F42" s="220" t="s">
        <v>53</v>
      </c>
      <c r="G42" s="153" t="s">
        <v>328</v>
      </c>
      <c r="H42" s="220"/>
      <c r="I42" s="220" t="s">
        <v>752</v>
      </c>
      <c r="J42" s="221" t="s">
        <v>763</v>
      </c>
      <c r="K42" s="220" t="s">
        <v>1203</v>
      </c>
      <c r="L42" s="220" t="s">
        <v>179</v>
      </c>
      <c r="M42" s="215"/>
      <c r="N42" s="257"/>
      <c r="O42" s="219" t="s">
        <v>152</v>
      </c>
      <c r="P42" s="215"/>
      <c r="Q42" s="219" t="s">
        <v>146</v>
      </c>
      <c r="R42" s="217">
        <v>3</v>
      </c>
      <c r="S42" s="217">
        <v>1</v>
      </c>
      <c r="T42" s="217">
        <v>550</v>
      </c>
      <c r="U42" s="218">
        <v>1650</v>
      </c>
      <c r="V42" s="215"/>
      <c r="W42" s="133">
        <v>45372</v>
      </c>
      <c r="X42" s="133">
        <v>45389</v>
      </c>
      <c r="Y42" s="216">
        <v>12</v>
      </c>
      <c r="Z42" s="216"/>
      <c r="AA42" s="133">
        <v>45389</v>
      </c>
      <c r="AB42" s="133">
        <v>45396</v>
      </c>
      <c r="AC42" s="216">
        <v>5</v>
      </c>
      <c r="AD42" s="133">
        <v>45396</v>
      </c>
      <c r="AE42" s="133">
        <v>45396</v>
      </c>
      <c r="AF42" s="216">
        <v>0</v>
      </c>
      <c r="AG42" s="159"/>
      <c r="AH42" s="234" t="s">
        <v>758</v>
      </c>
      <c r="AI42" s="256" t="s">
        <v>145</v>
      </c>
    </row>
    <row r="43" spans="1:35" ht="18" hidden="1" customHeight="1">
      <c r="A43" s="227" t="s">
        <v>130</v>
      </c>
      <c r="B43" s="231" t="s">
        <v>1475</v>
      </c>
      <c r="C43" s="194" t="s">
        <v>1546</v>
      </c>
      <c r="D43" s="195" t="s">
        <v>1547</v>
      </c>
      <c r="E43" s="231" t="s">
        <v>1478</v>
      </c>
      <c r="F43" s="231" t="s">
        <v>53</v>
      </c>
      <c r="G43" s="154" t="s">
        <v>140</v>
      </c>
      <c r="H43" s="231"/>
      <c r="I43" s="231" t="s">
        <v>141</v>
      </c>
      <c r="J43" s="232" t="s">
        <v>762</v>
      </c>
      <c r="K43" s="231" t="s">
        <v>1186</v>
      </c>
      <c r="L43" s="231" t="s">
        <v>144</v>
      </c>
      <c r="M43" s="224" t="s">
        <v>1492</v>
      </c>
      <c r="N43" s="230" t="s">
        <v>152</v>
      </c>
      <c r="O43" s="230" t="s">
        <v>152</v>
      </c>
      <c r="P43" s="224" t="s">
        <v>1527</v>
      </c>
      <c r="Q43" s="230" t="s">
        <v>146</v>
      </c>
      <c r="R43" s="128">
        <v>12</v>
      </c>
      <c r="S43" s="128">
        <v>1</v>
      </c>
      <c r="T43" s="128">
        <v>550</v>
      </c>
      <c r="U43" s="242">
        <v>6600</v>
      </c>
      <c r="V43" s="224"/>
      <c r="W43" s="131">
        <v>45323</v>
      </c>
      <c r="X43" s="131">
        <v>45379</v>
      </c>
      <c r="Y43" s="229">
        <v>41</v>
      </c>
      <c r="Z43" s="229"/>
      <c r="AA43" s="132">
        <v>45379</v>
      </c>
      <c r="AB43" s="132">
        <v>45396</v>
      </c>
      <c r="AC43" s="229">
        <v>12</v>
      </c>
      <c r="AD43" s="132">
        <v>45396</v>
      </c>
      <c r="AE43" s="132">
        <v>45410</v>
      </c>
      <c r="AF43" s="229">
        <v>10</v>
      </c>
      <c r="AG43" s="165"/>
      <c r="AH43" s="240" t="s">
        <v>180</v>
      </c>
      <c r="AI43" s="254"/>
    </row>
    <row r="44" spans="1:35" ht="18" hidden="1" customHeight="1">
      <c r="A44" s="222" t="s">
        <v>130</v>
      </c>
      <c r="B44" s="220" t="s">
        <v>1475</v>
      </c>
      <c r="C44" s="196" t="s">
        <v>183</v>
      </c>
      <c r="D44" s="197" t="s">
        <v>184</v>
      </c>
      <c r="E44" s="220" t="s">
        <v>1478</v>
      </c>
      <c r="F44" s="220" t="s">
        <v>53</v>
      </c>
      <c r="G44" s="164" t="s">
        <v>1490</v>
      </c>
      <c r="H44" s="220"/>
      <c r="I44" s="220" t="s">
        <v>79</v>
      </c>
      <c r="J44" s="221" t="s">
        <v>762</v>
      </c>
      <c r="K44" s="220" t="s">
        <v>1186</v>
      </c>
      <c r="L44" s="220" t="s">
        <v>144</v>
      </c>
      <c r="M44" s="215" t="s">
        <v>1492</v>
      </c>
      <c r="N44" s="219" t="s">
        <v>152</v>
      </c>
      <c r="O44" s="219" t="s">
        <v>152</v>
      </c>
      <c r="P44" s="215" t="s">
        <v>1527</v>
      </c>
      <c r="Q44" s="219" t="s">
        <v>146</v>
      </c>
      <c r="R44" s="217">
        <v>12</v>
      </c>
      <c r="S44" s="217">
        <v>1</v>
      </c>
      <c r="T44" s="217">
        <v>550</v>
      </c>
      <c r="U44" s="236">
        <v>6600</v>
      </c>
      <c r="V44" s="215"/>
      <c r="W44" s="133">
        <v>45323</v>
      </c>
      <c r="X44" s="133">
        <v>45379</v>
      </c>
      <c r="Y44" s="216">
        <v>41</v>
      </c>
      <c r="Z44" s="216"/>
      <c r="AA44" s="228">
        <v>45379</v>
      </c>
      <c r="AB44" s="228">
        <v>45396</v>
      </c>
      <c r="AC44" s="216">
        <v>12</v>
      </c>
      <c r="AD44" s="228">
        <v>45396</v>
      </c>
      <c r="AE44" s="228">
        <v>45410</v>
      </c>
      <c r="AF44" s="216">
        <v>10</v>
      </c>
      <c r="AG44" s="168" t="s">
        <v>1548</v>
      </c>
      <c r="AH44" s="234" t="s">
        <v>185</v>
      </c>
      <c r="AI44" s="256"/>
    </row>
    <row r="45" spans="1:35" ht="18" customHeight="1">
      <c r="A45" s="227"/>
      <c r="B45" s="231" t="s">
        <v>1475</v>
      </c>
      <c r="C45" s="394" t="s">
        <v>1549</v>
      </c>
      <c r="D45" s="395" t="s">
        <v>386</v>
      </c>
      <c r="E45" s="231" t="s">
        <v>260</v>
      </c>
      <c r="F45" s="231" t="s">
        <v>53</v>
      </c>
      <c r="G45" s="154" t="s">
        <v>206</v>
      </c>
      <c r="H45" s="244"/>
      <c r="I45" s="231" t="s">
        <v>47</v>
      </c>
      <c r="J45" s="232" t="s">
        <v>45</v>
      </c>
      <c r="K45" s="231" t="s">
        <v>1186</v>
      </c>
      <c r="L45" s="231" t="s">
        <v>144</v>
      </c>
      <c r="M45" s="224" t="s">
        <v>315</v>
      </c>
      <c r="N45" s="396" t="s">
        <v>145</v>
      </c>
      <c r="O45" s="243" t="s">
        <v>145</v>
      </c>
      <c r="P45" s="128"/>
      <c r="Q45" s="243" t="s">
        <v>1500</v>
      </c>
      <c r="R45" s="128">
        <v>12</v>
      </c>
      <c r="S45" s="128">
        <v>1</v>
      </c>
      <c r="T45" s="128">
        <v>550</v>
      </c>
      <c r="U45" s="242">
        <v>6600</v>
      </c>
      <c r="V45" s="128"/>
      <c r="W45" s="131">
        <v>45383</v>
      </c>
      <c r="X45" s="131">
        <v>45444</v>
      </c>
      <c r="Y45" s="241">
        <v>45</v>
      </c>
      <c r="Z45" s="241"/>
      <c r="AA45" s="131">
        <v>45444</v>
      </c>
      <c r="AB45" s="131">
        <v>45457</v>
      </c>
      <c r="AC45" s="241">
        <v>10</v>
      </c>
      <c r="AD45" s="131">
        <v>45457</v>
      </c>
      <c r="AE45" s="131">
        <v>45471</v>
      </c>
      <c r="AF45" s="241">
        <v>11</v>
      </c>
      <c r="AG45" s="240"/>
      <c r="AH45" s="240" t="s">
        <v>387</v>
      </c>
      <c r="AI45" s="254"/>
    </row>
    <row r="46" spans="1:35" ht="18" hidden="1" customHeight="1">
      <c r="A46" s="222" t="s">
        <v>130</v>
      </c>
      <c r="B46" s="220" t="s">
        <v>1475</v>
      </c>
      <c r="C46" s="196" t="s">
        <v>1550</v>
      </c>
      <c r="D46" s="197" t="s">
        <v>1547</v>
      </c>
      <c r="E46" s="220" t="s">
        <v>1478</v>
      </c>
      <c r="F46" s="220" t="s">
        <v>53</v>
      </c>
      <c r="G46" s="153" t="s">
        <v>140</v>
      </c>
      <c r="H46" s="220"/>
      <c r="I46" s="220" t="s">
        <v>141</v>
      </c>
      <c r="J46" s="221" t="s">
        <v>762</v>
      </c>
      <c r="K46" s="220" t="s">
        <v>1186</v>
      </c>
      <c r="L46" s="220" t="s">
        <v>144</v>
      </c>
      <c r="M46" s="215" t="s">
        <v>1492</v>
      </c>
      <c r="N46" s="257"/>
      <c r="O46" s="257" t="s">
        <v>145</v>
      </c>
      <c r="P46" s="215"/>
      <c r="Q46" s="219" t="s">
        <v>146</v>
      </c>
      <c r="R46" s="217">
        <v>12</v>
      </c>
      <c r="S46" s="217">
        <v>2</v>
      </c>
      <c r="T46" s="217">
        <v>550</v>
      </c>
      <c r="U46" s="236">
        <v>13200</v>
      </c>
      <c r="V46" s="215"/>
      <c r="W46" s="133">
        <v>45383</v>
      </c>
      <c r="X46" s="133">
        <v>45444</v>
      </c>
      <c r="Y46" s="216">
        <v>45</v>
      </c>
      <c r="Z46" s="216"/>
      <c r="AA46" s="133">
        <v>45444</v>
      </c>
      <c r="AB46" s="133">
        <v>45457</v>
      </c>
      <c r="AC46" s="216">
        <v>10</v>
      </c>
      <c r="AD46" s="133">
        <v>45457</v>
      </c>
      <c r="AE46" s="133">
        <v>45471</v>
      </c>
      <c r="AF46" s="216">
        <v>11</v>
      </c>
      <c r="AG46" s="159" t="s">
        <v>1551</v>
      </c>
      <c r="AH46" s="234" t="s">
        <v>182</v>
      </c>
      <c r="AI46" s="256" t="s">
        <v>145</v>
      </c>
    </row>
    <row r="47" spans="1:35" ht="18" hidden="1" customHeight="1">
      <c r="A47" s="227" t="s">
        <v>130</v>
      </c>
      <c r="B47" s="231" t="s">
        <v>1475</v>
      </c>
      <c r="C47" s="194" t="s">
        <v>1552</v>
      </c>
      <c r="D47" s="198" t="s">
        <v>432</v>
      </c>
      <c r="E47" s="231" t="s">
        <v>1478</v>
      </c>
      <c r="F47" s="231" t="s">
        <v>53</v>
      </c>
      <c r="G47" s="154" t="s">
        <v>329</v>
      </c>
      <c r="H47" s="231"/>
      <c r="I47" s="231" t="s">
        <v>433</v>
      </c>
      <c r="J47" s="232" t="s">
        <v>665</v>
      </c>
      <c r="K47" s="231" t="s">
        <v>1186</v>
      </c>
      <c r="L47" s="231" t="s">
        <v>144</v>
      </c>
      <c r="M47" s="224"/>
      <c r="N47" s="255"/>
      <c r="O47" s="255" t="s">
        <v>145</v>
      </c>
      <c r="P47" s="224" t="s">
        <v>1553</v>
      </c>
      <c r="Q47" s="230" t="s">
        <v>1500</v>
      </c>
      <c r="R47" s="128">
        <v>12</v>
      </c>
      <c r="S47" s="128">
        <v>2</v>
      </c>
      <c r="T47" s="128">
        <v>550</v>
      </c>
      <c r="U47" s="242">
        <v>13200</v>
      </c>
      <c r="V47" s="224"/>
      <c r="W47" s="131">
        <v>45383</v>
      </c>
      <c r="X47" s="131">
        <v>45444</v>
      </c>
      <c r="Y47" s="229">
        <v>45</v>
      </c>
      <c r="Z47" s="229"/>
      <c r="AA47" s="131">
        <v>45444</v>
      </c>
      <c r="AB47" s="131">
        <v>45457</v>
      </c>
      <c r="AC47" s="229">
        <v>10</v>
      </c>
      <c r="AD47" s="131">
        <v>45457</v>
      </c>
      <c r="AE47" s="131">
        <v>45471</v>
      </c>
      <c r="AF47" s="229">
        <v>11</v>
      </c>
      <c r="AG47" s="157" t="s">
        <v>436</v>
      </c>
      <c r="AH47" s="240" t="s">
        <v>435</v>
      </c>
      <c r="AI47" s="254" t="s">
        <v>145</v>
      </c>
    </row>
    <row r="48" spans="1:35" ht="18" hidden="1" customHeight="1">
      <c r="A48" s="222" t="s">
        <v>130</v>
      </c>
      <c r="B48" s="249" t="s">
        <v>1475</v>
      </c>
      <c r="C48" s="169" t="s">
        <v>1523</v>
      </c>
      <c r="D48" s="170" t="s">
        <v>1554</v>
      </c>
      <c r="E48" s="220" t="s">
        <v>1478</v>
      </c>
      <c r="F48" s="220" t="s">
        <v>53</v>
      </c>
      <c r="G48" s="177" t="s">
        <v>329</v>
      </c>
      <c r="H48" s="249"/>
      <c r="I48" s="249" t="s">
        <v>433</v>
      </c>
      <c r="J48" s="250" t="s">
        <v>665</v>
      </c>
      <c r="K48" s="249" t="s">
        <v>1186</v>
      </c>
      <c r="L48" s="249" t="s">
        <v>144</v>
      </c>
      <c r="M48" s="248"/>
      <c r="N48" s="247" t="s">
        <v>1058</v>
      </c>
      <c r="O48" s="247" t="s">
        <v>145</v>
      </c>
      <c r="P48" s="215" t="s">
        <v>1555</v>
      </c>
      <c r="Q48" s="219" t="s">
        <v>1500</v>
      </c>
      <c r="R48" s="217">
        <v>0</v>
      </c>
      <c r="S48" s="217">
        <v>1</v>
      </c>
      <c r="T48" s="217">
        <v>550</v>
      </c>
      <c r="U48" s="236">
        <v>0</v>
      </c>
      <c r="V48" s="215"/>
      <c r="W48" s="217"/>
      <c r="X48" s="217"/>
      <c r="Y48" s="216">
        <v>0</v>
      </c>
      <c r="Z48" s="216"/>
      <c r="AA48" s="215"/>
      <c r="AB48" s="215"/>
      <c r="AC48" s="216">
        <v>0</v>
      </c>
      <c r="AD48" s="215"/>
      <c r="AE48" s="215"/>
      <c r="AF48" s="216">
        <v>0</v>
      </c>
      <c r="AG48" s="159" t="s">
        <v>1556</v>
      </c>
      <c r="AH48" s="215"/>
      <c r="AI48" s="214"/>
    </row>
    <row r="49" spans="1:35" ht="18" hidden="1" customHeight="1">
      <c r="A49" s="227" t="s">
        <v>251</v>
      </c>
      <c r="B49" s="231" t="s">
        <v>1475</v>
      </c>
      <c r="C49" s="151" t="s">
        <v>794</v>
      </c>
      <c r="D49" s="162" t="s">
        <v>1557</v>
      </c>
      <c r="E49" s="231" t="s">
        <v>1489</v>
      </c>
      <c r="F49" s="231" t="s">
        <v>53</v>
      </c>
      <c r="G49" s="163" t="s">
        <v>1490</v>
      </c>
      <c r="H49" s="231"/>
      <c r="I49" s="231" t="s">
        <v>79</v>
      </c>
      <c r="J49" s="232" t="s">
        <v>1491</v>
      </c>
      <c r="K49" s="231" t="s">
        <v>1203</v>
      </c>
      <c r="L49" s="231" t="s">
        <v>179</v>
      </c>
      <c r="M49" s="224" t="s">
        <v>1492</v>
      </c>
      <c r="N49" s="230"/>
      <c r="O49" s="230" t="s">
        <v>145</v>
      </c>
      <c r="P49" s="224" t="s">
        <v>1558</v>
      </c>
      <c r="Q49" s="230" t="s">
        <v>146</v>
      </c>
      <c r="R49" s="128">
        <v>9</v>
      </c>
      <c r="S49" s="128">
        <v>2</v>
      </c>
      <c r="T49" s="128">
        <v>550</v>
      </c>
      <c r="U49" s="242">
        <v>9900</v>
      </c>
      <c r="V49" s="224"/>
      <c r="W49" s="131">
        <v>45383</v>
      </c>
      <c r="X49" s="131">
        <v>45426</v>
      </c>
      <c r="Y49" s="229">
        <v>32</v>
      </c>
      <c r="Z49" s="229"/>
      <c r="AA49" s="131">
        <v>45426</v>
      </c>
      <c r="AB49" s="131">
        <v>45440</v>
      </c>
      <c r="AC49" s="229">
        <v>11</v>
      </c>
      <c r="AD49" s="131">
        <v>45440</v>
      </c>
      <c r="AE49" s="131">
        <v>45450</v>
      </c>
      <c r="AF49" s="229">
        <v>9</v>
      </c>
      <c r="AG49" s="200" t="s">
        <v>1559</v>
      </c>
      <c r="AH49" s="224" t="s">
        <v>166</v>
      </c>
      <c r="AI49" s="223" t="s">
        <v>145</v>
      </c>
    </row>
    <row r="50" spans="1:35" ht="18" hidden="1" customHeight="1">
      <c r="A50" s="222" t="s">
        <v>130</v>
      </c>
      <c r="B50" s="220" t="s">
        <v>1475</v>
      </c>
      <c r="C50" s="149" t="s">
        <v>1560</v>
      </c>
      <c r="D50" s="199" t="s">
        <v>507</v>
      </c>
      <c r="E50" s="220" t="s">
        <v>1487</v>
      </c>
      <c r="F50" s="220" t="s">
        <v>53</v>
      </c>
      <c r="G50" s="164" t="s">
        <v>1490</v>
      </c>
      <c r="H50" s="220"/>
      <c r="I50" s="220" t="s">
        <v>139</v>
      </c>
      <c r="J50" s="220" t="s">
        <v>139</v>
      </c>
      <c r="K50" s="220" t="s">
        <v>1186</v>
      </c>
      <c r="L50" s="220" t="s">
        <v>144</v>
      </c>
      <c r="M50" s="215"/>
      <c r="N50" s="219"/>
      <c r="O50" s="219" t="s">
        <v>145</v>
      </c>
      <c r="P50" s="215"/>
      <c r="Q50" s="219" t="s">
        <v>146</v>
      </c>
      <c r="R50" s="217">
        <v>1</v>
      </c>
      <c r="S50" s="217">
        <v>1</v>
      </c>
      <c r="T50" s="217">
        <v>101428</v>
      </c>
      <c r="U50" s="236">
        <v>101428</v>
      </c>
      <c r="V50" s="215"/>
      <c r="W50" s="133">
        <v>45323</v>
      </c>
      <c r="X50" s="133">
        <v>45505</v>
      </c>
      <c r="Y50" s="216">
        <v>131</v>
      </c>
      <c r="Z50" s="216"/>
      <c r="AA50" s="133">
        <v>45505</v>
      </c>
      <c r="AB50" s="133">
        <v>45536</v>
      </c>
      <c r="AC50" s="216">
        <v>22</v>
      </c>
      <c r="AD50" s="133">
        <v>45536</v>
      </c>
      <c r="AE50" s="133">
        <v>45566</v>
      </c>
      <c r="AF50" s="216">
        <v>22</v>
      </c>
      <c r="AG50" s="159"/>
      <c r="AH50" s="215" t="s">
        <v>509</v>
      </c>
      <c r="AI50" s="214" t="s">
        <v>320</v>
      </c>
    </row>
    <row r="51" spans="1:35" ht="18" hidden="1" customHeight="1">
      <c r="A51" s="227" t="s">
        <v>251</v>
      </c>
      <c r="B51" s="231" t="s">
        <v>1475</v>
      </c>
      <c r="C51" s="151" t="s">
        <v>1561</v>
      </c>
      <c r="D51" s="162" t="s">
        <v>1495</v>
      </c>
      <c r="E51" s="231" t="s">
        <v>1478</v>
      </c>
      <c r="F51" s="231" t="s">
        <v>53</v>
      </c>
      <c r="G51" s="154" t="s">
        <v>140</v>
      </c>
      <c r="H51" s="231"/>
      <c r="I51" s="231" t="s">
        <v>52</v>
      </c>
      <c r="J51" s="232" t="s">
        <v>762</v>
      </c>
      <c r="K51" s="231" t="s">
        <v>1186</v>
      </c>
      <c r="L51" s="231" t="s">
        <v>179</v>
      </c>
      <c r="M51" s="224" t="s">
        <v>1492</v>
      </c>
      <c r="N51" s="230"/>
      <c r="O51" s="230" t="s">
        <v>145</v>
      </c>
      <c r="P51" s="224"/>
      <c r="Q51" s="230" t="s">
        <v>146</v>
      </c>
      <c r="R51" s="128">
        <v>4</v>
      </c>
      <c r="S51" s="128">
        <v>1</v>
      </c>
      <c r="T51" s="128">
        <v>550</v>
      </c>
      <c r="U51" s="242">
        <v>2200</v>
      </c>
      <c r="V51" s="224"/>
      <c r="W51" s="131">
        <v>45323</v>
      </c>
      <c r="X51" s="131">
        <v>45343</v>
      </c>
      <c r="Y51" s="229">
        <v>15</v>
      </c>
      <c r="Z51" s="229"/>
      <c r="AA51" s="131">
        <v>45343</v>
      </c>
      <c r="AB51" s="131">
        <v>45350</v>
      </c>
      <c r="AC51" s="229">
        <v>6</v>
      </c>
      <c r="AD51" s="131">
        <v>45350</v>
      </c>
      <c r="AE51" s="131">
        <v>45350</v>
      </c>
      <c r="AF51" s="229">
        <v>1</v>
      </c>
      <c r="AG51" s="165" t="s">
        <v>1562</v>
      </c>
      <c r="AH51" s="224" t="s">
        <v>174</v>
      </c>
      <c r="AI51" s="223" t="s">
        <v>152</v>
      </c>
    </row>
    <row r="52" spans="1:35" ht="18" hidden="1" customHeight="1">
      <c r="A52" s="222" t="s">
        <v>251</v>
      </c>
      <c r="B52" s="220" t="s">
        <v>1475</v>
      </c>
      <c r="C52" s="149" t="s">
        <v>1563</v>
      </c>
      <c r="D52" s="150" t="s">
        <v>1499</v>
      </c>
      <c r="E52" s="220" t="s">
        <v>1478</v>
      </c>
      <c r="F52" s="220" t="s">
        <v>53</v>
      </c>
      <c r="G52" s="153" t="s">
        <v>329</v>
      </c>
      <c r="H52" s="220"/>
      <c r="I52" s="220" t="s">
        <v>79</v>
      </c>
      <c r="J52" s="221" t="s">
        <v>665</v>
      </c>
      <c r="K52" s="220" t="s">
        <v>1186</v>
      </c>
      <c r="L52" s="220" t="s">
        <v>179</v>
      </c>
      <c r="M52" s="215" t="s">
        <v>1492</v>
      </c>
      <c r="N52" s="219"/>
      <c r="O52" s="219" t="s">
        <v>145</v>
      </c>
      <c r="P52" s="215"/>
      <c r="Q52" s="219" t="s">
        <v>1500</v>
      </c>
      <c r="R52" s="217">
        <v>10</v>
      </c>
      <c r="S52" s="217">
        <v>1</v>
      </c>
      <c r="T52" s="217">
        <v>550</v>
      </c>
      <c r="U52" s="236">
        <v>5500</v>
      </c>
      <c r="V52" s="215"/>
      <c r="W52" s="133">
        <v>45383</v>
      </c>
      <c r="X52" s="133">
        <v>45444</v>
      </c>
      <c r="Y52" s="216">
        <v>45</v>
      </c>
      <c r="Z52" s="216"/>
      <c r="AA52" s="133">
        <v>45444</v>
      </c>
      <c r="AB52" s="133">
        <v>45450</v>
      </c>
      <c r="AC52" s="216">
        <v>5</v>
      </c>
      <c r="AD52" s="133">
        <v>45450</v>
      </c>
      <c r="AE52" s="133">
        <v>45457</v>
      </c>
      <c r="AF52" s="216">
        <v>6</v>
      </c>
      <c r="AG52" s="159"/>
      <c r="AH52" s="215"/>
      <c r="AI52" s="214"/>
    </row>
    <row r="53" spans="1:35" ht="18" hidden="1" customHeight="1">
      <c r="A53" s="227" t="s">
        <v>130</v>
      </c>
      <c r="B53" s="231" t="s">
        <v>1475</v>
      </c>
      <c r="C53" s="167" t="s">
        <v>200</v>
      </c>
      <c r="D53" s="152" t="s">
        <v>201</v>
      </c>
      <c r="E53" s="231" t="s">
        <v>1478</v>
      </c>
      <c r="F53" s="231" t="s">
        <v>53</v>
      </c>
      <c r="G53" s="154" t="s">
        <v>140</v>
      </c>
      <c r="H53" s="231"/>
      <c r="I53" s="231" t="s">
        <v>52</v>
      </c>
      <c r="J53" s="232" t="s">
        <v>762</v>
      </c>
      <c r="K53" s="231" t="s">
        <v>1203</v>
      </c>
      <c r="L53" s="231" t="s">
        <v>179</v>
      </c>
      <c r="M53" s="224" t="s">
        <v>1492</v>
      </c>
      <c r="N53" s="230"/>
      <c r="O53" s="230" t="s">
        <v>145</v>
      </c>
      <c r="P53" s="224"/>
      <c r="Q53" s="230" t="s">
        <v>1500</v>
      </c>
      <c r="R53" s="128">
        <v>6</v>
      </c>
      <c r="S53" s="128">
        <v>1</v>
      </c>
      <c r="T53" s="128">
        <v>550</v>
      </c>
      <c r="U53" s="242">
        <v>3300</v>
      </c>
      <c r="V53" s="224"/>
      <c r="W53" s="131">
        <v>45383</v>
      </c>
      <c r="X53" s="131">
        <v>45410</v>
      </c>
      <c r="Y53" s="229">
        <v>20</v>
      </c>
      <c r="Z53" s="229"/>
      <c r="AA53" s="131">
        <v>45410</v>
      </c>
      <c r="AB53" s="131">
        <v>45419</v>
      </c>
      <c r="AC53" s="229">
        <v>7</v>
      </c>
      <c r="AD53" s="131">
        <v>45419</v>
      </c>
      <c r="AE53" s="131">
        <v>45426</v>
      </c>
      <c r="AF53" s="229">
        <v>6</v>
      </c>
      <c r="AG53" s="165"/>
      <c r="AH53" s="224"/>
      <c r="AI53" s="223"/>
    </row>
    <row r="54" spans="1:35" ht="18" hidden="1" customHeight="1">
      <c r="A54" s="222" t="s">
        <v>130</v>
      </c>
      <c r="B54" s="220" t="s">
        <v>1475</v>
      </c>
      <c r="C54" s="149" t="s">
        <v>271</v>
      </c>
      <c r="D54" s="158" t="s">
        <v>1564</v>
      </c>
      <c r="E54" s="220" t="s">
        <v>1487</v>
      </c>
      <c r="F54" s="220" t="s">
        <v>53</v>
      </c>
      <c r="G54" s="153" t="s">
        <v>206</v>
      </c>
      <c r="H54" s="220"/>
      <c r="I54" s="220" t="s">
        <v>26</v>
      </c>
      <c r="J54" s="221" t="s">
        <v>25</v>
      </c>
      <c r="K54" s="220" t="s">
        <v>1186</v>
      </c>
      <c r="L54" s="220" t="s">
        <v>144</v>
      </c>
      <c r="M54" s="215"/>
      <c r="N54" s="219">
        <v>1</v>
      </c>
      <c r="O54" s="205" t="s">
        <v>145</v>
      </c>
      <c r="P54" s="233" t="s">
        <v>273</v>
      </c>
      <c r="Q54" s="219" t="s">
        <v>1500</v>
      </c>
      <c r="R54" s="217">
        <v>3</v>
      </c>
      <c r="S54" s="217">
        <v>1</v>
      </c>
      <c r="T54" s="217">
        <v>0</v>
      </c>
      <c r="U54" s="236">
        <v>0</v>
      </c>
      <c r="V54" s="215"/>
      <c r="W54" s="133">
        <v>45358</v>
      </c>
      <c r="X54" s="133">
        <v>45365</v>
      </c>
      <c r="Y54" s="216">
        <v>6</v>
      </c>
      <c r="Z54" s="216"/>
      <c r="AA54" s="133">
        <v>45372</v>
      </c>
      <c r="AB54" s="133">
        <v>45379</v>
      </c>
      <c r="AC54" s="216">
        <v>6</v>
      </c>
      <c r="AD54" s="133">
        <v>45379</v>
      </c>
      <c r="AE54" s="133">
        <v>45389</v>
      </c>
      <c r="AF54" s="216">
        <v>7</v>
      </c>
      <c r="AG54" s="159" t="s">
        <v>274</v>
      </c>
      <c r="AH54" s="215"/>
      <c r="AI54" s="214"/>
    </row>
    <row r="55" spans="1:35" ht="18" hidden="1" customHeight="1">
      <c r="A55" s="227" t="s">
        <v>130</v>
      </c>
      <c r="B55" s="231" t="s">
        <v>1475</v>
      </c>
      <c r="C55" s="151" t="s">
        <v>1565</v>
      </c>
      <c r="D55" s="201" t="s">
        <v>1566</v>
      </c>
      <c r="E55" s="231" t="s">
        <v>1487</v>
      </c>
      <c r="F55" s="231" t="s">
        <v>53</v>
      </c>
      <c r="G55" s="160" t="s">
        <v>206</v>
      </c>
      <c r="H55" s="251"/>
      <c r="I55" s="231" t="s">
        <v>30</v>
      </c>
      <c r="J55" s="232" t="s">
        <v>28</v>
      </c>
      <c r="K55" s="231" t="s">
        <v>1186</v>
      </c>
      <c r="L55" s="231" t="s">
        <v>144</v>
      </c>
      <c r="M55" s="224"/>
      <c r="N55" s="230"/>
      <c r="O55" s="230" t="s">
        <v>145</v>
      </c>
      <c r="P55" s="224"/>
      <c r="Q55" s="230" t="s">
        <v>1500</v>
      </c>
      <c r="R55" s="128">
        <v>3</v>
      </c>
      <c r="S55" s="128">
        <v>1</v>
      </c>
      <c r="T55" s="128">
        <v>0</v>
      </c>
      <c r="U55" s="242">
        <v>0</v>
      </c>
      <c r="V55" s="224"/>
      <c r="W55" s="131">
        <v>45358</v>
      </c>
      <c r="X55" s="131">
        <v>45365</v>
      </c>
      <c r="Y55" s="229">
        <v>6</v>
      </c>
      <c r="Z55" s="229"/>
      <c r="AA55" s="131">
        <v>45372</v>
      </c>
      <c r="AB55" s="131">
        <v>45379</v>
      </c>
      <c r="AC55" s="229">
        <v>6</v>
      </c>
      <c r="AD55" s="131">
        <v>45379</v>
      </c>
      <c r="AE55" s="131">
        <v>45389</v>
      </c>
      <c r="AF55" s="229">
        <v>7</v>
      </c>
      <c r="AG55" s="165" t="s">
        <v>274</v>
      </c>
      <c r="AH55" s="224"/>
      <c r="AI55" s="223"/>
    </row>
    <row r="56" spans="1:35" ht="18" customHeight="1">
      <c r="A56" s="222" t="s">
        <v>130</v>
      </c>
      <c r="B56" s="220" t="s">
        <v>1475</v>
      </c>
      <c r="C56" s="202" t="s">
        <v>1567</v>
      </c>
      <c r="D56" s="172" t="s">
        <v>1568</v>
      </c>
      <c r="E56" s="220" t="s">
        <v>260</v>
      </c>
      <c r="F56" s="220" t="s">
        <v>53</v>
      </c>
      <c r="G56" s="164" t="s">
        <v>1490</v>
      </c>
      <c r="H56" s="220"/>
      <c r="I56" s="220" t="s">
        <v>47</v>
      </c>
      <c r="J56" s="221" t="s">
        <v>45</v>
      </c>
      <c r="K56" s="220" t="s">
        <v>1186</v>
      </c>
      <c r="L56" s="220" t="s">
        <v>144</v>
      </c>
      <c r="M56" s="215" t="s">
        <v>315</v>
      </c>
      <c r="N56" s="219" t="s">
        <v>145</v>
      </c>
      <c r="O56" s="219" t="s">
        <v>145</v>
      </c>
      <c r="P56" s="215"/>
      <c r="Q56" s="219" t="s">
        <v>1500</v>
      </c>
      <c r="R56" s="217">
        <v>4</v>
      </c>
      <c r="S56" s="217">
        <v>1</v>
      </c>
      <c r="T56" s="217">
        <v>550</v>
      </c>
      <c r="U56" s="236">
        <v>2200</v>
      </c>
      <c r="V56" s="215"/>
      <c r="W56" s="217"/>
      <c r="X56" s="217"/>
      <c r="Y56" s="216">
        <v>0</v>
      </c>
      <c r="Z56" s="216"/>
      <c r="AA56" s="215"/>
      <c r="AB56" s="215"/>
      <c r="AC56" s="216">
        <v>0</v>
      </c>
      <c r="AD56" s="215"/>
      <c r="AE56" s="215"/>
      <c r="AF56" s="216">
        <v>0</v>
      </c>
      <c r="AG56" s="159" t="s">
        <v>869</v>
      </c>
      <c r="AH56" s="206" t="s">
        <v>1569</v>
      </c>
      <c r="AI56" s="214"/>
    </row>
    <row r="57" spans="1:35" ht="18" customHeight="1">
      <c r="A57" s="227" t="s">
        <v>130</v>
      </c>
      <c r="B57" s="231" t="s">
        <v>1475</v>
      </c>
      <c r="C57" s="203" t="s">
        <v>1570</v>
      </c>
      <c r="D57" s="174" t="s">
        <v>1571</v>
      </c>
      <c r="E57" s="231" t="s">
        <v>260</v>
      </c>
      <c r="F57" s="231" t="s">
        <v>53</v>
      </c>
      <c r="G57" s="163" t="s">
        <v>1490</v>
      </c>
      <c r="H57" s="231"/>
      <c r="I57" s="231" t="s">
        <v>47</v>
      </c>
      <c r="J57" s="232" t="s">
        <v>45</v>
      </c>
      <c r="K57" s="231" t="s">
        <v>1186</v>
      </c>
      <c r="L57" s="231" t="s">
        <v>144</v>
      </c>
      <c r="M57" s="224" t="s">
        <v>315</v>
      </c>
      <c r="N57" s="230" t="s">
        <v>152</v>
      </c>
      <c r="O57" s="245" t="s">
        <v>145</v>
      </c>
      <c r="P57" s="224"/>
      <c r="Q57" s="230" t="s">
        <v>1500</v>
      </c>
      <c r="R57" s="128">
        <v>10</v>
      </c>
      <c r="S57" s="128">
        <v>1</v>
      </c>
      <c r="T57" s="128">
        <v>550</v>
      </c>
      <c r="U57" s="242">
        <v>5500</v>
      </c>
      <c r="V57" s="224"/>
      <c r="W57" s="131">
        <v>45383</v>
      </c>
      <c r="X57" s="131">
        <v>45433</v>
      </c>
      <c r="Y57" s="229">
        <v>37</v>
      </c>
      <c r="Z57" s="229"/>
      <c r="AA57" s="131">
        <v>45433</v>
      </c>
      <c r="AB57" s="131">
        <v>45440</v>
      </c>
      <c r="AC57" s="229">
        <v>6</v>
      </c>
      <c r="AD57" s="131">
        <v>45440</v>
      </c>
      <c r="AE57" s="131">
        <v>45457</v>
      </c>
      <c r="AF57" s="229">
        <v>14</v>
      </c>
      <c r="AG57" s="165" t="s">
        <v>1572</v>
      </c>
      <c r="AH57" s="224" t="s">
        <v>1573</v>
      </c>
      <c r="AI57" s="223"/>
    </row>
    <row r="58" spans="1:35" ht="18" customHeight="1">
      <c r="A58" s="222" t="s">
        <v>130</v>
      </c>
      <c r="B58" s="220" t="s">
        <v>1475</v>
      </c>
      <c r="C58" s="179" t="s">
        <v>1574</v>
      </c>
      <c r="D58" s="172" t="s">
        <v>407</v>
      </c>
      <c r="E58" s="220" t="s">
        <v>260</v>
      </c>
      <c r="F58" s="220" t="s">
        <v>53</v>
      </c>
      <c r="G58" s="153" t="s">
        <v>329</v>
      </c>
      <c r="H58" s="220"/>
      <c r="I58" s="220" t="s">
        <v>47</v>
      </c>
      <c r="J58" s="221" t="s">
        <v>45</v>
      </c>
      <c r="K58" s="220" t="s">
        <v>1186</v>
      </c>
      <c r="L58" s="220" t="s">
        <v>144</v>
      </c>
      <c r="M58" s="215" t="s">
        <v>315</v>
      </c>
      <c r="N58" s="219" t="s">
        <v>152</v>
      </c>
      <c r="O58" s="245" t="s">
        <v>145</v>
      </c>
      <c r="P58" s="215"/>
      <c r="Q58" s="219" t="s">
        <v>1575</v>
      </c>
      <c r="R58" s="217">
        <v>8</v>
      </c>
      <c r="S58" s="217">
        <v>1</v>
      </c>
      <c r="T58" s="217">
        <v>550</v>
      </c>
      <c r="U58" s="218">
        <v>4400</v>
      </c>
      <c r="V58" s="215"/>
      <c r="W58" s="133">
        <v>45383</v>
      </c>
      <c r="X58" s="133">
        <v>45419</v>
      </c>
      <c r="Y58" s="216">
        <v>27</v>
      </c>
      <c r="Z58" s="216"/>
      <c r="AA58" s="133">
        <v>45419</v>
      </c>
      <c r="AB58" s="133">
        <v>45426</v>
      </c>
      <c r="AC58" s="216">
        <v>6</v>
      </c>
      <c r="AD58" s="133">
        <v>45426</v>
      </c>
      <c r="AE58" s="133">
        <v>45433</v>
      </c>
      <c r="AF58" s="216">
        <v>6</v>
      </c>
      <c r="AG58" s="159" t="s">
        <v>869</v>
      </c>
      <c r="AH58" s="215"/>
      <c r="AI58" s="214"/>
    </row>
    <row r="59" spans="1:35" ht="18" customHeight="1">
      <c r="A59" s="227" t="s">
        <v>130</v>
      </c>
      <c r="B59" s="231" t="s">
        <v>1475</v>
      </c>
      <c r="C59" s="203" t="s">
        <v>1576</v>
      </c>
      <c r="D59" s="204" t="s">
        <v>352</v>
      </c>
      <c r="E59" s="231" t="s">
        <v>260</v>
      </c>
      <c r="F59" s="231" t="s">
        <v>53</v>
      </c>
      <c r="G59" s="154" t="s">
        <v>206</v>
      </c>
      <c r="H59" s="231"/>
      <c r="I59" s="231" t="s">
        <v>47</v>
      </c>
      <c r="J59" s="232" t="s">
        <v>45</v>
      </c>
      <c r="K59" s="231" t="s">
        <v>1186</v>
      </c>
      <c r="L59" s="231" t="s">
        <v>144</v>
      </c>
      <c r="M59" s="224" t="s">
        <v>315</v>
      </c>
      <c r="N59" s="230" t="s">
        <v>145</v>
      </c>
      <c r="O59" s="230" t="s">
        <v>145</v>
      </c>
      <c r="P59" s="224" t="s">
        <v>1527</v>
      </c>
      <c r="Q59" s="230" t="s">
        <v>146</v>
      </c>
      <c r="R59" s="128">
        <v>6</v>
      </c>
      <c r="S59" s="128">
        <v>1</v>
      </c>
      <c r="T59" s="128">
        <v>550</v>
      </c>
      <c r="U59" s="226">
        <v>3300</v>
      </c>
      <c r="V59" s="224"/>
      <c r="W59" s="131">
        <v>45389</v>
      </c>
      <c r="X59" s="131">
        <v>45419</v>
      </c>
      <c r="Y59" s="229">
        <v>22</v>
      </c>
      <c r="Z59" s="229"/>
      <c r="AA59" s="131">
        <v>45419</v>
      </c>
      <c r="AB59" s="131">
        <v>45426</v>
      </c>
      <c r="AC59" s="229">
        <v>6</v>
      </c>
      <c r="AD59" s="131">
        <v>45426</v>
      </c>
      <c r="AE59" s="131">
        <v>45433</v>
      </c>
      <c r="AF59" s="229">
        <v>6</v>
      </c>
      <c r="AG59" s="165"/>
      <c r="AH59" s="224" t="s">
        <v>353</v>
      </c>
      <c r="AI59" s="223"/>
    </row>
    <row r="60" spans="1:35" ht="18" hidden="1" customHeight="1">
      <c r="A60" s="222" t="s">
        <v>251</v>
      </c>
      <c r="B60" s="220" t="s">
        <v>1475</v>
      </c>
      <c r="C60" s="149" t="s">
        <v>1577</v>
      </c>
      <c r="D60" s="150" t="s">
        <v>1578</v>
      </c>
      <c r="E60" s="220" t="s">
        <v>1478</v>
      </c>
      <c r="F60" s="220" t="s">
        <v>53</v>
      </c>
      <c r="G60" s="153" t="s">
        <v>330</v>
      </c>
      <c r="H60" s="220"/>
      <c r="I60" s="220" t="s">
        <v>513</v>
      </c>
      <c r="J60" s="221" t="s">
        <v>835</v>
      </c>
      <c r="K60" s="220" t="s">
        <v>1186</v>
      </c>
      <c r="L60" s="220" t="s">
        <v>144</v>
      </c>
      <c r="M60" s="215"/>
      <c r="N60" s="219"/>
      <c r="O60" s="219" t="s">
        <v>145</v>
      </c>
      <c r="P60" s="215"/>
      <c r="Q60" s="219" t="s">
        <v>146</v>
      </c>
      <c r="R60" s="217">
        <v>8</v>
      </c>
      <c r="S60" s="217">
        <v>1</v>
      </c>
      <c r="T60" s="217">
        <v>550</v>
      </c>
      <c r="U60" s="218">
        <v>4400</v>
      </c>
      <c r="V60" s="215"/>
      <c r="W60" s="133">
        <v>45389</v>
      </c>
      <c r="X60" s="133">
        <v>45433</v>
      </c>
      <c r="Y60" s="216">
        <v>32</v>
      </c>
      <c r="Z60" s="216"/>
      <c r="AA60" s="133">
        <v>45433</v>
      </c>
      <c r="AB60" s="133">
        <v>45440</v>
      </c>
      <c r="AC60" s="216">
        <v>6</v>
      </c>
      <c r="AD60" s="133">
        <v>45440</v>
      </c>
      <c r="AE60" s="133">
        <v>45450</v>
      </c>
      <c r="AF60" s="216">
        <v>9</v>
      </c>
      <c r="AG60" s="159"/>
      <c r="AH60" s="215" t="s">
        <v>517</v>
      </c>
      <c r="AI60" s="214"/>
    </row>
    <row r="61" spans="1:35" ht="18" hidden="1" customHeight="1">
      <c r="A61" s="253">
        <v>2024</v>
      </c>
      <c r="B61" s="231" t="s">
        <v>1475</v>
      </c>
      <c r="C61" s="231" t="s">
        <v>1579</v>
      </c>
      <c r="D61" s="252" t="s">
        <v>1580</v>
      </c>
      <c r="E61" s="231" t="s">
        <v>1487</v>
      </c>
      <c r="F61" s="231" t="s">
        <v>53</v>
      </c>
      <c r="G61" s="231" t="s">
        <v>206</v>
      </c>
      <c r="H61" s="231"/>
      <c r="I61" s="231"/>
      <c r="J61" s="232"/>
      <c r="K61" s="231" t="s">
        <v>1186</v>
      </c>
      <c r="L61" s="231" t="s">
        <v>144</v>
      </c>
      <c r="M61" s="224"/>
      <c r="N61" s="230" t="s">
        <v>145</v>
      </c>
      <c r="O61" s="230" t="s">
        <v>145</v>
      </c>
      <c r="P61" s="224"/>
      <c r="Q61" s="230" t="s">
        <v>1500</v>
      </c>
      <c r="R61" s="128">
        <v>10</v>
      </c>
      <c r="S61" s="128">
        <v>1</v>
      </c>
      <c r="T61" s="128">
        <v>550</v>
      </c>
      <c r="U61" s="226">
        <v>5500</v>
      </c>
      <c r="V61" s="224"/>
      <c r="W61" s="131">
        <v>45396</v>
      </c>
      <c r="X61" s="131">
        <v>45440</v>
      </c>
      <c r="Y61" s="241">
        <v>32</v>
      </c>
      <c r="Z61" s="241"/>
      <c r="AA61" s="131">
        <v>45440</v>
      </c>
      <c r="AB61" s="131">
        <v>45457</v>
      </c>
      <c r="AC61" s="241">
        <v>14</v>
      </c>
      <c r="AD61" s="131">
        <v>45457</v>
      </c>
      <c r="AE61" s="131">
        <v>45471</v>
      </c>
      <c r="AF61" s="241">
        <v>11</v>
      </c>
      <c r="AG61" s="165"/>
      <c r="AH61" s="224" t="s">
        <v>1581</v>
      </c>
      <c r="AI61" s="223"/>
    </row>
    <row r="62" spans="1:35" ht="18" customHeight="1">
      <c r="A62" s="222"/>
      <c r="B62" s="220" t="s">
        <v>1475</v>
      </c>
      <c r="C62" s="389" t="s">
        <v>1582</v>
      </c>
      <c r="D62" s="390" t="s">
        <v>389</v>
      </c>
      <c r="E62" s="220" t="s">
        <v>260</v>
      </c>
      <c r="F62" s="220" t="s">
        <v>53</v>
      </c>
      <c r="G62" s="153" t="s">
        <v>206</v>
      </c>
      <c r="H62" s="239"/>
      <c r="I62" s="220" t="s">
        <v>47</v>
      </c>
      <c r="J62" s="221" t="s">
        <v>45</v>
      </c>
      <c r="K62" s="220" t="s">
        <v>1186</v>
      </c>
      <c r="L62" s="220" t="s">
        <v>144</v>
      </c>
      <c r="M62" s="215" t="s">
        <v>315</v>
      </c>
      <c r="N62" s="397" t="s">
        <v>221</v>
      </c>
      <c r="O62" s="237" t="s">
        <v>221</v>
      </c>
      <c r="P62" s="217"/>
      <c r="Q62" s="237" t="s">
        <v>1500</v>
      </c>
      <c r="R62" s="217">
        <v>8</v>
      </c>
      <c r="S62" s="217">
        <v>1</v>
      </c>
      <c r="T62" s="217">
        <v>550</v>
      </c>
      <c r="U62" s="236">
        <v>4400</v>
      </c>
      <c r="V62" s="217"/>
      <c r="W62" s="133">
        <v>45464</v>
      </c>
      <c r="X62" s="133">
        <v>45480</v>
      </c>
      <c r="Y62" s="235">
        <v>11</v>
      </c>
      <c r="Z62" s="235"/>
      <c r="AA62" s="133">
        <v>45480</v>
      </c>
      <c r="AB62" s="133">
        <v>45487</v>
      </c>
      <c r="AC62" s="235">
        <v>5</v>
      </c>
      <c r="AD62" s="133">
        <v>45487</v>
      </c>
      <c r="AE62" s="133">
        <v>45501</v>
      </c>
      <c r="AF62" s="235">
        <v>10</v>
      </c>
      <c r="AG62" s="234"/>
      <c r="AH62" s="215" t="s">
        <v>390</v>
      </c>
      <c r="AI62" s="214"/>
    </row>
    <row r="63" spans="1:35" ht="18" customHeight="1">
      <c r="A63" s="227"/>
      <c r="B63" s="231" t="s">
        <v>1475</v>
      </c>
      <c r="C63" s="398" t="s">
        <v>1583</v>
      </c>
      <c r="D63" s="398" t="s">
        <v>854</v>
      </c>
      <c r="E63" s="231" t="s">
        <v>260</v>
      </c>
      <c r="F63" s="231" t="s">
        <v>53</v>
      </c>
      <c r="G63" s="154" t="s">
        <v>206</v>
      </c>
      <c r="H63" s="244"/>
      <c r="I63" s="231" t="s">
        <v>47</v>
      </c>
      <c r="J63" s="232" t="s">
        <v>45</v>
      </c>
      <c r="K63" s="231" t="s">
        <v>1186</v>
      </c>
      <c r="L63" s="231" t="s">
        <v>144</v>
      </c>
      <c r="M63" s="224" t="s">
        <v>315</v>
      </c>
      <c r="N63" s="393" t="s">
        <v>221</v>
      </c>
      <c r="O63" s="243" t="s">
        <v>221</v>
      </c>
      <c r="P63" s="128"/>
      <c r="Q63" s="243" t="s">
        <v>1500</v>
      </c>
      <c r="R63" s="128">
        <v>12</v>
      </c>
      <c r="S63" s="128">
        <v>2</v>
      </c>
      <c r="T63" s="128">
        <v>550</v>
      </c>
      <c r="U63" s="242">
        <v>13200</v>
      </c>
      <c r="V63" s="128"/>
      <c r="W63" s="131">
        <v>45426</v>
      </c>
      <c r="X63" s="131">
        <v>45487</v>
      </c>
      <c r="Y63" s="241">
        <v>44</v>
      </c>
      <c r="Z63" s="241"/>
      <c r="AA63" s="131">
        <v>45487</v>
      </c>
      <c r="AB63" s="131">
        <v>45501</v>
      </c>
      <c r="AC63" s="241">
        <v>10</v>
      </c>
      <c r="AD63" s="131">
        <v>45501</v>
      </c>
      <c r="AE63" s="131">
        <v>45518</v>
      </c>
      <c r="AF63" s="241">
        <v>13</v>
      </c>
      <c r="AG63" s="240"/>
      <c r="AH63" s="224" t="s">
        <v>855</v>
      </c>
      <c r="AI63" s="223"/>
    </row>
    <row r="64" spans="1:35" ht="18" customHeight="1">
      <c r="A64" s="222"/>
      <c r="B64" s="220" t="s">
        <v>1475</v>
      </c>
      <c r="C64" s="390" t="s">
        <v>1584</v>
      </c>
      <c r="D64" s="390" t="s">
        <v>404</v>
      </c>
      <c r="E64" s="220" t="s">
        <v>260</v>
      </c>
      <c r="F64" s="220" t="s">
        <v>53</v>
      </c>
      <c r="G64" s="153" t="s">
        <v>206</v>
      </c>
      <c r="H64" s="239"/>
      <c r="I64" s="220" t="s">
        <v>47</v>
      </c>
      <c r="J64" s="221" t="s">
        <v>45</v>
      </c>
      <c r="K64" s="220" t="s">
        <v>1186</v>
      </c>
      <c r="L64" s="220" t="s">
        <v>144</v>
      </c>
      <c r="M64" s="215" t="s">
        <v>315</v>
      </c>
      <c r="N64" s="397" t="s">
        <v>221</v>
      </c>
      <c r="O64" s="237" t="s">
        <v>221</v>
      </c>
      <c r="P64" s="217"/>
      <c r="Q64" s="237" t="s">
        <v>146</v>
      </c>
      <c r="R64" s="217">
        <v>10</v>
      </c>
      <c r="S64" s="217">
        <v>1</v>
      </c>
      <c r="T64" s="217">
        <v>550</v>
      </c>
      <c r="U64" s="236">
        <v>5500</v>
      </c>
      <c r="V64" s="217"/>
      <c r="W64" s="133">
        <v>45403</v>
      </c>
      <c r="X64" s="133">
        <v>45450</v>
      </c>
      <c r="Y64" s="235">
        <v>35</v>
      </c>
      <c r="Z64" s="235"/>
      <c r="AA64" s="133">
        <v>45450</v>
      </c>
      <c r="AB64" s="133">
        <v>45464</v>
      </c>
      <c r="AC64" s="235">
        <v>11</v>
      </c>
      <c r="AD64" s="133">
        <v>45464</v>
      </c>
      <c r="AE64" s="133">
        <v>45480</v>
      </c>
      <c r="AF64" s="235">
        <v>11</v>
      </c>
      <c r="AG64" s="234"/>
      <c r="AH64" s="215" t="s">
        <v>405</v>
      </c>
      <c r="AI64" s="214"/>
    </row>
    <row r="65" spans="1:35" ht="18" customHeight="1">
      <c r="A65" s="227"/>
      <c r="B65" s="231" t="s">
        <v>1475</v>
      </c>
      <c r="C65" s="398" t="s">
        <v>1585</v>
      </c>
      <c r="D65" s="398" t="s">
        <v>380</v>
      </c>
      <c r="E65" s="231" t="s">
        <v>260</v>
      </c>
      <c r="F65" s="231" t="s">
        <v>53</v>
      </c>
      <c r="G65" s="154" t="s">
        <v>206</v>
      </c>
      <c r="H65" s="244"/>
      <c r="I65" s="231" t="s">
        <v>47</v>
      </c>
      <c r="J65" s="232" t="s">
        <v>45</v>
      </c>
      <c r="K65" s="231" t="s">
        <v>1186</v>
      </c>
      <c r="L65" s="231" t="s">
        <v>144</v>
      </c>
      <c r="M65" s="224" t="s">
        <v>315</v>
      </c>
      <c r="N65" s="393" t="s">
        <v>221</v>
      </c>
      <c r="O65" s="243" t="s">
        <v>221</v>
      </c>
      <c r="P65" s="128"/>
      <c r="Q65" s="243" t="s">
        <v>1500</v>
      </c>
      <c r="R65" s="128">
        <v>12</v>
      </c>
      <c r="S65" s="128">
        <v>2</v>
      </c>
      <c r="T65" s="128">
        <v>550</v>
      </c>
      <c r="U65" s="242">
        <v>13200</v>
      </c>
      <c r="V65" s="128"/>
      <c r="W65" s="131">
        <v>45403</v>
      </c>
      <c r="X65" s="131">
        <v>45464</v>
      </c>
      <c r="Y65" s="241">
        <v>45</v>
      </c>
      <c r="Z65" s="241"/>
      <c r="AA65" s="131">
        <v>45464</v>
      </c>
      <c r="AB65" s="131">
        <v>45471</v>
      </c>
      <c r="AC65" s="241">
        <v>6</v>
      </c>
      <c r="AD65" s="131">
        <v>45471</v>
      </c>
      <c r="AE65" s="131">
        <v>45494</v>
      </c>
      <c r="AF65" s="241">
        <v>16</v>
      </c>
      <c r="AG65" s="240"/>
      <c r="AH65" s="224" t="s">
        <v>381</v>
      </c>
      <c r="AI65" s="223"/>
    </row>
    <row r="66" spans="1:35" ht="18" customHeight="1">
      <c r="A66" s="222"/>
      <c r="B66" s="220" t="s">
        <v>1475</v>
      </c>
      <c r="C66" s="399" t="s">
        <v>1586</v>
      </c>
      <c r="D66" s="399" t="s">
        <v>373</v>
      </c>
      <c r="E66" s="220" t="s">
        <v>260</v>
      </c>
      <c r="F66" s="220" t="s">
        <v>53</v>
      </c>
      <c r="G66" s="153" t="s">
        <v>206</v>
      </c>
      <c r="H66" s="239"/>
      <c r="I66" s="220" t="s">
        <v>47</v>
      </c>
      <c r="J66" s="221" t="s">
        <v>45</v>
      </c>
      <c r="K66" s="220" t="s">
        <v>1186</v>
      </c>
      <c r="L66" s="220" t="s">
        <v>144</v>
      </c>
      <c r="M66" s="215" t="s">
        <v>315</v>
      </c>
      <c r="N66" s="397" t="s">
        <v>221</v>
      </c>
      <c r="O66" s="237" t="s">
        <v>221</v>
      </c>
      <c r="P66" s="217"/>
      <c r="Q66" s="237" t="s">
        <v>146</v>
      </c>
      <c r="R66" s="217">
        <v>8</v>
      </c>
      <c r="S66" s="217">
        <v>1</v>
      </c>
      <c r="T66" s="217">
        <v>550</v>
      </c>
      <c r="U66" s="236">
        <v>4400</v>
      </c>
      <c r="V66" s="217"/>
      <c r="W66" s="133">
        <v>45413</v>
      </c>
      <c r="X66" s="133">
        <v>45440</v>
      </c>
      <c r="Y66" s="235">
        <v>20</v>
      </c>
      <c r="Z66" s="235"/>
      <c r="AA66" s="133">
        <v>45440</v>
      </c>
      <c r="AB66" s="133">
        <v>45450</v>
      </c>
      <c r="AC66" s="235">
        <v>9</v>
      </c>
      <c r="AD66" s="133">
        <v>45450</v>
      </c>
      <c r="AE66" s="133">
        <v>45471</v>
      </c>
      <c r="AF66" s="235">
        <v>16</v>
      </c>
      <c r="AG66" s="234"/>
      <c r="AH66" s="215" t="s">
        <v>374</v>
      </c>
      <c r="AI66" s="214"/>
    </row>
    <row r="67" spans="1:35" ht="18" customHeight="1">
      <c r="A67" s="227"/>
      <c r="B67" s="251" t="s">
        <v>1475</v>
      </c>
      <c r="C67" s="207" t="s">
        <v>1587</v>
      </c>
      <c r="D67" s="392" t="s">
        <v>1588</v>
      </c>
      <c r="E67" s="231" t="s">
        <v>260</v>
      </c>
      <c r="F67" s="231" t="s">
        <v>53</v>
      </c>
      <c r="G67" s="154" t="s">
        <v>206</v>
      </c>
      <c r="H67" s="244"/>
      <c r="I67" s="231" t="s">
        <v>47</v>
      </c>
      <c r="J67" s="232" t="s">
        <v>45</v>
      </c>
      <c r="K67" s="231" t="s">
        <v>1186</v>
      </c>
      <c r="L67" s="231" t="s">
        <v>144</v>
      </c>
      <c r="M67" s="224" t="s">
        <v>315</v>
      </c>
      <c r="N67" s="243" t="s">
        <v>221</v>
      </c>
      <c r="O67" s="243" t="s">
        <v>221</v>
      </c>
      <c r="P67" s="128"/>
      <c r="Q67" s="243" t="s">
        <v>146</v>
      </c>
      <c r="R67" s="128">
        <v>4</v>
      </c>
      <c r="S67" s="128">
        <v>1</v>
      </c>
      <c r="T67" s="128">
        <v>550</v>
      </c>
      <c r="U67" s="242">
        <v>2200</v>
      </c>
      <c r="V67" s="128"/>
      <c r="W67" s="131">
        <v>45525</v>
      </c>
      <c r="X67" s="131">
        <v>45532</v>
      </c>
      <c r="Y67" s="241">
        <v>6</v>
      </c>
      <c r="Z67" s="241"/>
      <c r="AA67" s="131">
        <v>45532</v>
      </c>
      <c r="AB67" s="131">
        <v>45542</v>
      </c>
      <c r="AC67" s="241">
        <v>8</v>
      </c>
      <c r="AD67" s="131">
        <v>45542</v>
      </c>
      <c r="AE67" s="131">
        <v>45556</v>
      </c>
      <c r="AF67" s="241">
        <v>10</v>
      </c>
      <c r="AG67" s="240">
        <v>0</v>
      </c>
      <c r="AH67" s="224" t="s">
        <v>1589</v>
      </c>
      <c r="AI67" s="223"/>
    </row>
    <row r="68" spans="1:35" ht="18" customHeight="1">
      <c r="A68" s="222"/>
      <c r="B68" s="220" t="s">
        <v>1475</v>
      </c>
      <c r="C68" s="208" t="s">
        <v>1590</v>
      </c>
      <c r="D68" s="399" t="s">
        <v>843</v>
      </c>
      <c r="E68" s="220" t="s">
        <v>260</v>
      </c>
      <c r="F68" s="220" t="s">
        <v>53</v>
      </c>
      <c r="G68" s="153" t="s">
        <v>206</v>
      </c>
      <c r="H68" s="239"/>
      <c r="I68" s="220" t="s">
        <v>47</v>
      </c>
      <c r="J68" s="221" t="s">
        <v>45</v>
      </c>
      <c r="K68" s="220" t="s">
        <v>1186</v>
      </c>
      <c r="L68" s="220" t="s">
        <v>144</v>
      </c>
      <c r="M68" s="215" t="s">
        <v>315</v>
      </c>
      <c r="N68" s="237" t="s">
        <v>221</v>
      </c>
      <c r="O68" s="237" t="s">
        <v>221</v>
      </c>
      <c r="P68" s="217"/>
      <c r="Q68" s="237" t="s">
        <v>1525</v>
      </c>
      <c r="R68" s="217">
        <v>3</v>
      </c>
      <c r="S68" s="217">
        <v>1</v>
      </c>
      <c r="T68" s="217">
        <v>550</v>
      </c>
      <c r="U68" s="236">
        <v>1650</v>
      </c>
      <c r="V68" s="217"/>
      <c r="W68" s="133">
        <v>45474</v>
      </c>
      <c r="X68" s="133">
        <v>45480</v>
      </c>
      <c r="Y68" s="235">
        <v>5</v>
      </c>
      <c r="Z68" s="235"/>
      <c r="AA68" s="133">
        <v>45480</v>
      </c>
      <c r="AB68" s="133">
        <v>45487</v>
      </c>
      <c r="AC68" s="235">
        <v>5</v>
      </c>
      <c r="AD68" s="133">
        <v>45487</v>
      </c>
      <c r="AE68" s="133">
        <v>45494</v>
      </c>
      <c r="AF68" s="235">
        <v>5</v>
      </c>
      <c r="AG68" s="234"/>
      <c r="AH68" s="215" t="s">
        <v>844</v>
      </c>
      <c r="AI68" s="214"/>
    </row>
    <row r="69" spans="1:35" ht="18" customHeight="1">
      <c r="A69" s="227"/>
      <c r="B69" s="231" t="s">
        <v>1475</v>
      </c>
      <c r="C69" s="391" t="s">
        <v>1591</v>
      </c>
      <c r="D69" s="392" t="s">
        <v>846</v>
      </c>
      <c r="E69" s="231" t="s">
        <v>260</v>
      </c>
      <c r="F69" s="231" t="s">
        <v>53</v>
      </c>
      <c r="G69" s="154" t="s">
        <v>206</v>
      </c>
      <c r="H69" s="244"/>
      <c r="I69" s="231" t="s">
        <v>47</v>
      </c>
      <c r="J69" s="232" t="s">
        <v>45</v>
      </c>
      <c r="K69" s="231" t="s">
        <v>1186</v>
      </c>
      <c r="L69" s="231" t="s">
        <v>144</v>
      </c>
      <c r="M69" s="224" t="s">
        <v>315</v>
      </c>
      <c r="N69" s="393" t="s">
        <v>221</v>
      </c>
      <c r="O69" s="243" t="s">
        <v>221</v>
      </c>
      <c r="P69" s="128" t="s">
        <v>1527</v>
      </c>
      <c r="Q69" s="243" t="s">
        <v>146</v>
      </c>
      <c r="R69" s="128">
        <v>8</v>
      </c>
      <c r="S69" s="128">
        <v>1</v>
      </c>
      <c r="T69" s="128">
        <v>550</v>
      </c>
      <c r="U69" s="242">
        <v>4400</v>
      </c>
      <c r="V69" s="128"/>
      <c r="W69" s="131">
        <v>45433</v>
      </c>
      <c r="X69" s="131">
        <v>45464</v>
      </c>
      <c r="Y69" s="241">
        <v>24</v>
      </c>
      <c r="Z69" s="241"/>
      <c r="AA69" s="131">
        <v>45464</v>
      </c>
      <c r="AB69" s="131">
        <v>45480</v>
      </c>
      <c r="AC69" s="241">
        <v>11</v>
      </c>
      <c r="AD69" s="131">
        <v>45480</v>
      </c>
      <c r="AE69" s="131">
        <v>45494</v>
      </c>
      <c r="AF69" s="241">
        <v>10</v>
      </c>
      <c r="AG69" s="240"/>
      <c r="AH69" s="224" t="s">
        <v>847</v>
      </c>
      <c r="AI69" s="223"/>
    </row>
    <row r="70" spans="1:35" ht="18" customHeight="1">
      <c r="A70" s="222"/>
      <c r="B70" s="220" t="s">
        <v>1475</v>
      </c>
      <c r="C70" s="208" t="s">
        <v>1592</v>
      </c>
      <c r="D70" s="399" t="s">
        <v>857</v>
      </c>
      <c r="E70" s="220" t="s">
        <v>260</v>
      </c>
      <c r="F70" s="220" t="s">
        <v>53</v>
      </c>
      <c r="G70" s="153" t="s">
        <v>206</v>
      </c>
      <c r="H70" s="239"/>
      <c r="I70" s="220" t="s">
        <v>47</v>
      </c>
      <c r="J70" s="221" t="s">
        <v>45</v>
      </c>
      <c r="K70" s="220" t="s">
        <v>1186</v>
      </c>
      <c r="L70" s="220" t="s">
        <v>144</v>
      </c>
      <c r="M70" s="215" t="s">
        <v>315</v>
      </c>
      <c r="N70" s="397" t="s">
        <v>221</v>
      </c>
      <c r="O70" s="397" t="s">
        <v>221</v>
      </c>
      <c r="P70" s="217" t="s">
        <v>1527</v>
      </c>
      <c r="Q70" s="237" t="s">
        <v>1525</v>
      </c>
      <c r="R70" s="237">
        <v>6</v>
      </c>
      <c r="S70" s="217">
        <v>1</v>
      </c>
      <c r="T70" s="217">
        <v>550</v>
      </c>
      <c r="U70" s="236">
        <v>3300</v>
      </c>
      <c r="V70" s="217"/>
      <c r="W70" s="133">
        <v>45457</v>
      </c>
      <c r="X70" s="133">
        <v>45471</v>
      </c>
      <c r="Y70" s="235">
        <v>11</v>
      </c>
      <c r="Z70" s="235"/>
      <c r="AA70" s="133">
        <v>45471</v>
      </c>
      <c r="AB70" s="133">
        <v>45480</v>
      </c>
      <c r="AC70" s="235">
        <v>6</v>
      </c>
      <c r="AD70" s="133">
        <v>45480</v>
      </c>
      <c r="AE70" s="133">
        <v>45501</v>
      </c>
      <c r="AF70" s="235">
        <v>15</v>
      </c>
      <c r="AG70" s="234"/>
      <c r="AH70" s="215" t="s">
        <v>858</v>
      </c>
      <c r="AI70" s="214"/>
    </row>
    <row r="71" spans="1:35" ht="18" hidden="1" customHeight="1">
      <c r="A71" s="227" t="s">
        <v>130</v>
      </c>
      <c r="B71" s="231" t="s">
        <v>1475</v>
      </c>
      <c r="C71" s="151" t="s">
        <v>1593</v>
      </c>
      <c r="D71" s="152" t="s">
        <v>265</v>
      </c>
      <c r="E71" s="231" t="s">
        <v>1487</v>
      </c>
      <c r="F71" s="231" t="s">
        <v>53</v>
      </c>
      <c r="G71" s="154" t="s">
        <v>206</v>
      </c>
      <c r="H71" s="231"/>
      <c r="I71" s="231" t="s">
        <v>26</v>
      </c>
      <c r="J71" s="232" t="s">
        <v>25</v>
      </c>
      <c r="K71" s="231" t="s">
        <v>1186</v>
      </c>
      <c r="L71" s="231" t="s">
        <v>144</v>
      </c>
      <c r="M71" s="224"/>
      <c r="N71" s="230">
        <v>3</v>
      </c>
      <c r="O71" s="230" t="s">
        <v>221</v>
      </c>
      <c r="P71" s="224"/>
      <c r="Q71" s="230" t="s">
        <v>146</v>
      </c>
      <c r="R71" s="128">
        <v>10</v>
      </c>
      <c r="S71" s="128">
        <v>1</v>
      </c>
      <c r="T71" s="128">
        <v>550</v>
      </c>
      <c r="U71" s="226">
        <v>5500</v>
      </c>
      <c r="V71" s="224"/>
      <c r="W71" s="131">
        <v>45450</v>
      </c>
      <c r="X71" s="131">
        <v>45494</v>
      </c>
      <c r="Y71" s="229">
        <v>31</v>
      </c>
      <c r="Z71" s="229"/>
      <c r="AA71" s="131">
        <v>45494</v>
      </c>
      <c r="AB71" s="131">
        <v>45511</v>
      </c>
      <c r="AC71" s="229">
        <v>13</v>
      </c>
      <c r="AD71" s="131">
        <v>45511</v>
      </c>
      <c r="AE71" s="131">
        <v>45525</v>
      </c>
      <c r="AF71" s="229">
        <v>11</v>
      </c>
      <c r="AG71" s="165" t="s">
        <v>268</v>
      </c>
      <c r="AH71" s="224" t="s">
        <v>267</v>
      </c>
      <c r="AI71" s="223"/>
    </row>
    <row r="72" spans="1:35" ht="18" hidden="1" customHeight="1">
      <c r="A72" s="222" t="s">
        <v>130</v>
      </c>
      <c r="B72" s="215" t="s">
        <v>1475</v>
      </c>
      <c r="C72" s="149" t="s">
        <v>749</v>
      </c>
      <c r="D72" s="158" t="s">
        <v>747</v>
      </c>
      <c r="E72" s="220" t="s">
        <v>1487</v>
      </c>
      <c r="F72" s="220" t="s">
        <v>53</v>
      </c>
      <c r="G72" s="153" t="s">
        <v>206</v>
      </c>
      <c r="H72" s="220"/>
      <c r="I72" s="220" t="s">
        <v>71</v>
      </c>
      <c r="J72" s="221" t="s">
        <v>70</v>
      </c>
      <c r="K72" s="220" t="s">
        <v>1186</v>
      </c>
      <c r="L72" s="220" t="s">
        <v>144</v>
      </c>
      <c r="M72" s="215"/>
      <c r="N72" s="219"/>
      <c r="O72" s="219" t="s">
        <v>221</v>
      </c>
      <c r="P72" s="215"/>
      <c r="Q72" s="219" t="s">
        <v>1500</v>
      </c>
      <c r="R72" s="217">
        <v>8</v>
      </c>
      <c r="S72" s="217">
        <v>1</v>
      </c>
      <c r="T72" s="217">
        <v>550</v>
      </c>
      <c r="U72" s="218">
        <v>4400</v>
      </c>
      <c r="V72" s="215"/>
      <c r="W72" s="133">
        <v>45474</v>
      </c>
      <c r="X72" s="133">
        <v>45501</v>
      </c>
      <c r="Y72" s="216">
        <v>20</v>
      </c>
      <c r="Z72" s="216"/>
      <c r="AA72" s="133">
        <v>45501</v>
      </c>
      <c r="AB72" s="228">
        <v>45518</v>
      </c>
      <c r="AC72" s="216">
        <v>13</v>
      </c>
      <c r="AD72" s="228">
        <v>45518</v>
      </c>
      <c r="AE72" s="228">
        <v>45532</v>
      </c>
      <c r="AF72" s="216">
        <v>11</v>
      </c>
      <c r="AG72" s="159"/>
      <c r="AH72" s="215" t="s">
        <v>750</v>
      </c>
      <c r="AI72" s="214"/>
    </row>
    <row r="73" spans="1:35" ht="18" hidden="1" customHeight="1">
      <c r="A73" s="227" t="s">
        <v>130</v>
      </c>
      <c r="B73" s="224" t="s">
        <v>1475</v>
      </c>
      <c r="C73" s="151" t="s">
        <v>1594</v>
      </c>
      <c r="D73" s="152" t="s">
        <v>747</v>
      </c>
      <c r="E73" s="231" t="s">
        <v>1487</v>
      </c>
      <c r="F73" s="231" t="s">
        <v>53</v>
      </c>
      <c r="G73" s="154" t="s">
        <v>206</v>
      </c>
      <c r="H73" s="231"/>
      <c r="I73" s="231" t="s">
        <v>71</v>
      </c>
      <c r="J73" s="232" t="s">
        <v>70</v>
      </c>
      <c r="K73" s="231" t="s">
        <v>1186</v>
      </c>
      <c r="L73" s="231" t="s">
        <v>144</v>
      </c>
      <c r="M73" s="224"/>
      <c r="N73" s="230"/>
      <c r="O73" s="230" t="s">
        <v>221</v>
      </c>
      <c r="P73" s="224"/>
      <c r="Q73" s="230" t="s">
        <v>1500</v>
      </c>
      <c r="R73" s="128">
        <v>8</v>
      </c>
      <c r="S73" s="128">
        <v>1</v>
      </c>
      <c r="T73" s="128">
        <v>550</v>
      </c>
      <c r="U73" s="226">
        <v>4400</v>
      </c>
      <c r="V73" s="224"/>
      <c r="W73" s="131">
        <v>45474</v>
      </c>
      <c r="X73" s="131">
        <v>45501</v>
      </c>
      <c r="Y73" s="229">
        <v>20</v>
      </c>
      <c r="Z73" s="229"/>
      <c r="AA73" s="131">
        <v>45501</v>
      </c>
      <c r="AB73" s="132">
        <v>45518</v>
      </c>
      <c r="AC73" s="229">
        <v>13</v>
      </c>
      <c r="AD73" s="132">
        <v>45518</v>
      </c>
      <c r="AE73" s="132">
        <v>45532</v>
      </c>
      <c r="AF73" s="229">
        <v>11</v>
      </c>
      <c r="AG73" s="165"/>
      <c r="AH73" s="224" t="s">
        <v>748</v>
      </c>
      <c r="AI73" s="223"/>
    </row>
    <row r="74" spans="1:35" ht="18" hidden="1" customHeight="1">
      <c r="A74" s="222" t="s">
        <v>130</v>
      </c>
      <c r="B74" s="215" t="s">
        <v>1475</v>
      </c>
      <c r="C74" s="149" t="s">
        <v>742</v>
      </c>
      <c r="D74" s="158" t="s">
        <v>747</v>
      </c>
      <c r="E74" s="220" t="s">
        <v>1487</v>
      </c>
      <c r="F74" s="220" t="s">
        <v>53</v>
      </c>
      <c r="G74" s="153" t="s">
        <v>206</v>
      </c>
      <c r="H74" s="220"/>
      <c r="I74" s="220" t="s">
        <v>71</v>
      </c>
      <c r="J74" s="221" t="s">
        <v>70</v>
      </c>
      <c r="K74" s="220" t="s">
        <v>1186</v>
      </c>
      <c r="L74" s="220" t="s">
        <v>144</v>
      </c>
      <c r="M74" s="215"/>
      <c r="N74" s="219"/>
      <c r="O74" s="219" t="s">
        <v>221</v>
      </c>
      <c r="P74" s="215"/>
      <c r="Q74" s="219" t="s">
        <v>1500</v>
      </c>
      <c r="R74" s="217">
        <v>8</v>
      </c>
      <c r="S74" s="217">
        <v>1</v>
      </c>
      <c r="T74" s="217">
        <v>550</v>
      </c>
      <c r="U74" s="218">
        <v>4400</v>
      </c>
      <c r="V74" s="215"/>
      <c r="W74" s="133">
        <v>45480</v>
      </c>
      <c r="X74" s="133">
        <v>45511</v>
      </c>
      <c r="Y74" s="216">
        <v>23</v>
      </c>
      <c r="Z74" s="216"/>
      <c r="AA74" s="133">
        <v>45511</v>
      </c>
      <c r="AB74" s="228">
        <v>45525</v>
      </c>
      <c r="AC74" s="216">
        <v>11</v>
      </c>
      <c r="AD74" s="228">
        <v>45525</v>
      </c>
      <c r="AE74" s="228">
        <v>45542</v>
      </c>
      <c r="AF74" s="216">
        <v>13</v>
      </c>
      <c r="AG74" s="159"/>
      <c r="AH74" s="215" t="s">
        <v>744</v>
      </c>
      <c r="AI74" s="214"/>
    </row>
    <row r="75" spans="1:35" ht="18" customHeight="1">
      <c r="A75" s="227" t="s">
        <v>130</v>
      </c>
      <c r="B75" s="231" t="s">
        <v>1475</v>
      </c>
      <c r="C75" s="173" t="s">
        <v>1595</v>
      </c>
      <c r="D75" s="174" t="s">
        <v>399</v>
      </c>
      <c r="E75" s="231" t="s">
        <v>260</v>
      </c>
      <c r="F75" s="231" t="s">
        <v>53</v>
      </c>
      <c r="G75" s="154" t="s">
        <v>206</v>
      </c>
      <c r="H75" s="231"/>
      <c r="I75" s="231" t="s">
        <v>47</v>
      </c>
      <c r="J75" s="232" t="s">
        <v>45</v>
      </c>
      <c r="K75" s="231" t="s">
        <v>1186</v>
      </c>
      <c r="L75" s="231" t="s">
        <v>144</v>
      </c>
      <c r="M75" s="224" t="s">
        <v>315</v>
      </c>
      <c r="N75" s="230" t="s">
        <v>221</v>
      </c>
      <c r="O75" s="230" t="s">
        <v>221</v>
      </c>
      <c r="P75" s="224"/>
      <c r="Q75" s="230" t="s">
        <v>146</v>
      </c>
      <c r="R75" s="128">
        <v>8</v>
      </c>
      <c r="S75" s="128">
        <v>1</v>
      </c>
      <c r="T75" s="128">
        <v>550</v>
      </c>
      <c r="U75" s="226">
        <v>4400</v>
      </c>
      <c r="V75" s="224"/>
      <c r="W75" s="131">
        <v>45494</v>
      </c>
      <c r="X75" s="131">
        <v>45532</v>
      </c>
      <c r="Y75" s="229">
        <v>28</v>
      </c>
      <c r="Z75" s="229"/>
      <c r="AA75" s="131">
        <v>45532</v>
      </c>
      <c r="AB75" s="131">
        <v>45549</v>
      </c>
      <c r="AC75" s="229">
        <v>13</v>
      </c>
      <c r="AD75" s="131">
        <v>45549</v>
      </c>
      <c r="AE75" s="131">
        <v>45556</v>
      </c>
      <c r="AF75" s="229">
        <v>5</v>
      </c>
      <c r="AG75" s="165"/>
      <c r="AH75" s="224" t="s">
        <v>400</v>
      </c>
      <c r="AI75" s="223"/>
    </row>
    <row r="76" spans="1:35" ht="18" customHeight="1">
      <c r="A76" s="222" t="s">
        <v>130</v>
      </c>
      <c r="B76" s="220" t="s">
        <v>1475</v>
      </c>
      <c r="C76" s="180" t="s">
        <v>1596</v>
      </c>
      <c r="D76" s="209" t="s">
        <v>1597</v>
      </c>
      <c r="E76" s="220" t="s">
        <v>260</v>
      </c>
      <c r="F76" s="220" t="s">
        <v>53</v>
      </c>
      <c r="G76" s="153" t="s">
        <v>206</v>
      </c>
      <c r="H76" s="220"/>
      <c r="I76" s="220" t="s">
        <v>47</v>
      </c>
      <c r="J76" s="221" t="s">
        <v>45</v>
      </c>
      <c r="K76" s="220" t="s">
        <v>1186</v>
      </c>
      <c r="L76" s="220" t="s">
        <v>144</v>
      </c>
      <c r="M76" s="215" t="s">
        <v>315</v>
      </c>
      <c r="N76" s="219" t="s">
        <v>145</v>
      </c>
      <c r="O76" s="245" t="s">
        <v>221</v>
      </c>
      <c r="P76" s="215"/>
      <c r="Q76" s="219" t="s">
        <v>146</v>
      </c>
      <c r="R76" s="217">
        <v>12</v>
      </c>
      <c r="S76" s="217">
        <v>1</v>
      </c>
      <c r="T76" s="217">
        <v>550</v>
      </c>
      <c r="U76" s="218">
        <v>6600</v>
      </c>
      <c r="V76" s="215"/>
      <c r="W76" s="133">
        <v>45457</v>
      </c>
      <c r="X76" s="133">
        <v>45518</v>
      </c>
      <c r="Y76" s="216">
        <v>44</v>
      </c>
      <c r="Z76" s="216"/>
      <c r="AA76" s="133">
        <v>45518</v>
      </c>
      <c r="AB76" s="133">
        <v>45532</v>
      </c>
      <c r="AC76" s="216">
        <v>11</v>
      </c>
      <c r="AD76" s="133">
        <v>45532</v>
      </c>
      <c r="AE76" s="133">
        <v>45549</v>
      </c>
      <c r="AF76" s="216">
        <v>13</v>
      </c>
      <c r="AG76" s="159"/>
      <c r="AH76" s="215" t="s">
        <v>357</v>
      </c>
      <c r="AI76" s="214"/>
    </row>
    <row r="77" spans="1:35" ht="18" customHeight="1">
      <c r="A77" s="227" t="s">
        <v>130</v>
      </c>
      <c r="B77" s="231" t="s">
        <v>1475</v>
      </c>
      <c r="C77" s="178" t="s">
        <v>1598</v>
      </c>
      <c r="D77" s="174" t="s">
        <v>1599</v>
      </c>
      <c r="E77" s="231" t="s">
        <v>260</v>
      </c>
      <c r="F77" s="231" t="s">
        <v>53</v>
      </c>
      <c r="G77" s="154" t="s">
        <v>206</v>
      </c>
      <c r="H77" s="231"/>
      <c r="I77" s="231" t="s">
        <v>47</v>
      </c>
      <c r="J77" s="232" t="s">
        <v>45</v>
      </c>
      <c r="K77" s="231" t="s">
        <v>1186</v>
      </c>
      <c r="L77" s="231" t="s">
        <v>144</v>
      </c>
      <c r="M77" s="224" t="s">
        <v>315</v>
      </c>
      <c r="N77" s="230" t="s">
        <v>145</v>
      </c>
      <c r="O77" s="245" t="s">
        <v>221</v>
      </c>
      <c r="P77" s="224"/>
      <c r="Q77" s="230" t="s">
        <v>146</v>
      </c>
      <c r="R77" s="128">
        <v>12</v>
      </c>
      <c r="S77" s="128">
        <v>2</v>
      </c>
      <c r="T77" s="128">
        <v>550</v>
      </c>
      <c r="U77" s="226">
        <v>13200</v>
      </c>
      <c r="V77" s="224"/>
      <c r="W77" s="131">
        <v>45444</v>
      </c>
      <c r="X77" s="131">
        <v>45501</v>
      </c>
      <c r="Y77" s="229">
        <v>40</v>
      </c>
      <c r="Z77" s="229"/>
      <c r="AA77" s="131">
        <v>45501</v>
      </c>
      <c r="AB77" s="131">
        <v>45518</v>
      </c>
      <c r="AC77" s="229">
        <v>13</v>
      </c>
      <c r="AD77" s="131">
        <v>45518</v>
      </c>
      <c r="AE77" s="131">
        <v>45532</v>
      </c>
      <c r="AF77" s="229">
        <v>11</v>
      </c>
      <c r="AG77" s="165"/>
      <c r="AH77" s="224" t="s">
        <v>314</v>
      </c>
      <c r="AI77" s="223"/>
    </row>
    <row r="78" spans="1:35" ht="18" customHeight="1">
      <c r="A78" s="222" t="s">
        <v>130</v>
      </c>
      <c r="B78" s="249" t="s">
        <v>1475</v>
      </c>
      <c r="C78" s="180" t="s">
        <v>1600</v>
      </c>
      <c r="D78" s="210" t="s">
        <v>1601</v>
      </c>
      <c r="E78" s="220" t="s">
        <v>260</v>
      </c>
      <c r="F78" s="220" t="s">
        <v>53</v>
      </c>
      <c r="G78" s="177" t="s">
        <v>329</v>
      </c>
      <c r="H78" s="249"/>
      <c r="I78" s="249" t="s">
        <v>48</v>
      </c>
      <c r="J78" s="250" t="s">
        <v>45</v>
      </c>
      <c r="K78" s="249" t="s">
        <v>1186</v>
      </c>
      <c r="L78" s="249" t="s">
        <v>144</v>
      </c>
      <c r="M78" s="248" t="s">
        <v>315</v>
      </c>
      <c r="N78" s="247"/>
      <c r="O78" s="247" t="s">
        <v>221</v>
      </c>
      <c r="P78" s="215"/>
      <c r="Q78" s="219" t="s">
        <v>1500</v>
      </c>
      <c r="R78" s="217">
        <v>8</v>
      </c>
      <c r="S78" s="217">
        <v>1</v>
      </c>
      <c r="T78" s="217">
        <v>550</v>
      </c>
      <c r="U78" s="218">
        <v>4400</v>
      </c>
      <c r="V78" s="215"/>
      <c r="W78" s="133">
        <v>45403</v>
      </c>
      <c r="X78" s="133">
        <v>45440</v>
      </c>
      <c r="Y78" s="216">
        <v>27</v>
      </c>
      <c r="Z78" s="216"/>
      <c r="AA78" s="133">
        <v>45440</v>
      </c>
      <c r="AB78" s="133">
        <v>45457</v>
      </c>
      <c r="AC78" s="216">
        <v>14</v>
      </c>
      <c r="AD78" s="133">
        <v>45457</v>
      </c>
      <c r="AE78" s="133">
        <v>45464</v>
      </c>
      <c r="AF78" s="216">
        <v>6</v>
      </c>
      <c r="AG78" s="159"/>
      <c r="AH78" s="215" t="s">
        <v>1602</v>
      </c>
      <c r="AI78" s="214" t="s">
        <v>145</v>
      </c>
    </row>
    <row r="79" spans="1:35" ht="18" customHeight="1">
      <c r="A79" s="227" t="s">
        <v>130</v>
      </c>
      <c r="B79" s="231" t="s">
        <v>1475</v>
      </c>
      <c r="C79" s="178" t="s">
        <v>1603</v>
      </c>
      <c r="D79" s="174" t="s">
        <v>1588</v>
      </c>
      <c r="E79" s="231" t="s">
        <v>260</v>
      </c>
      <c r="F79" s="231" t="s">
        <v>53</v>
      </c>
      <c r="G79" s="154" t="s">
        <v>206</v>
      </c>
      <c r="H79" s="231"/>
      <c r="I79" s="231" t="s">
        <v>47</v>
      </c>
      <c r="J79" s="232" t="s">
        <v>45</v>
      </c>
      <c r="K79" s="231" t="s">
        <v>1186</v>
      </c>
      <c r="L79" s="231" t="s">
        <v>144</v>
      </c>
      <c r="M79" s="224" t="s">
        <v>315</v>
      </c>
      <c r="N79" s="230" t="s">
        <v>221</v>
      </c>
      <c r="O79" s="230" t="s">
        <v>221</v>
      </c>
      <c r="P79" s="224"/>
      <c r="Q79" s="230" t="s">
        <v>1500</v>
      </c>
      <c r="R79" s="128">
        <v>4</v>
      </c>
      <c r="S79" s="128">
        <v>1</v>
      </c>
      <c r="T79" s="128">
        <v>550</v>
      </c>
      <c r="U79" s="226">
        <v>2200</v>
      </c>
      <c r="V79" s="224"/>
      <c r="W79" s="131">
        <v>45464</v>
      </c>
      <c r="X79" s="131">
        <v>45480</v>
      </c>
      <c r="Y79" s="229">
        <v>11</v>
      </c>
      <c r="Z79" s="229"/>
      <c r="AA79" s="131">
        <v>45480</v>
      </c>
      <c r="AB79" s="131">
        <v>45487</v>
      </c>
      <c r="AC79" s="229">
        <v>5</v>
      </c>
      <c r="AD79" s="131">
        <v>45487</v>
      </c>
      <c r="AE79" s="246">
        <v>45494</v>
      </c>
      <c r="AF79" s="229">
        <v>5</v>
      </c>
      <c r="AG79" s="165" t="s">
        <v>274</v>
      </c>
      <c r="AH79" s="224" t="s">
        <v>1604</v>
      </c>
      <c r="AI79" s="223"/>
    </row>
    <row r="80" spans="1:35" ht="18" customHeight="1">
      <c r="A80" s="222" t="s">
        <v>130</v>
      </c>
      <c r="B80" s="220" t="s">
        <v>1475</v>
      </c>
      <c r="C80" s="179" t="s">
        <v>1605</v>
      </c>
      <c r="D80" s="172" t="s">
        <v>1606</v>
      </c>
      <c r="E80" s="220" t="s">
        <v>260</v>
      </c>
      <c r="F80" s="220" t="s">
        <v>53</v>
      </c>
      <c r="G80" s="153" t="s">
        <v>206</v>
      </c>
      <c r="H80" s="220"/>
      <c r="I80" s="220" t="s">
        <v>47</v>
      </c>
      <c r="J80" s="221" t="s">
        <v>45</v>
      </c>
      <c r="K80" s="220" t="s">
        <v>1186</v>
      </c>
      <c r="L80" s="220" t="s">
        <v>144</v>
      </c>
      <c r="M80" s="215" t="s">
        <v>315</v>
      </c>
      <c r="N80" s="219" t="s">
        <v>145</v>
      </c>
      <c r="O80" s="245" t="s">
        <v>221</v>
      </c>
      <c r="P80" s="215"/>
      <c r="Q80" s="219" t="s">
        <v>1500</v>
      </c>
      <c r="R80" s="217">
        <v>10</v>
      </c>
      <c r="S80" s="217">
        <v>1</v>
      </c>
      <c r="T80" s="217">
        <v>550</v>
      </c>
      <c r="U80" s="218">
        <v>5500</v>
      </c>
      <c r="V80" s="215"/>
      <c r="W80" s="133">
        <v>45444</v>
      </c>
      <c r="X80" s="133">
        <v>45487</v>
      </c>
      <c r="Y80" s="216">
        <v>30</v>
      </c>
      <c r="Z80" s="216"/>
      <c r="AA80" s="133">
        <v>45487</v>
      </c>
      <c r="AB80" s="133">
        <v>45501</v>
      </c>
      <c r="AC80" s="216">
        <v>10</v>
      </c>
      <c r="AD80" s="133">
        <v>45501</v>
      </c>
      <c r="AE80" s="133">
        <v>45518</v>
      </c>
      <c r="AF80" s="216">
        <v>13</v>
      </c>
      <c r="AG80" s="159"/>
      <c r="AH80" s="215" t="s">
        <v>1607</v>
      </c>
      <c r="AI80" s="214"/>
    </row>
    <row r="81" spans="1:35" ht="18" customHeight="1">
      <c r="A81" s="227"/>
      <c r="B81" s="231" t="s">
        <v>1475</v>
      </c>
      <c r="C81" s="400" t="s">
        <v>391</v>
      </c>
      <c r="D81" s="398" t="s">
        <v>392</v>
      </c>
      <c r="E81" s="231" t="s">
        <v>260</v>
      </c>
      <c r="F81" s="231" t="s">
        <v>53</v>
      </c>
      <c r="G81" s="154" t="s">
        <v>206</v>
      </c>
      <c r="H81" s="244"/>
      <c r="I81" s="231" t="s">
        <v>47</v>
      </c>
      <c r="J81" s="232" t="s">
        <v>45</v>
      </c>
      <c r="K81" s="231" t="s">
        <v>1186</v>
      </c>
      <c r="L81" s="231" t="s">
        <v>144</v>
      </c>
      <c r="M81" s="224" t="s">
        <v>315</v>
      </c>
      <c r="N81" s="393" t="s">
        <v>221</v>
      </c>
      <c r="O81" s="238" t="s">
        <v>320</v>
      </c>
      <c r="P81" s="128"/>
      <c r="Q81" s="243" t="s">
        <v>1500</v>
      </c>
      <c r="R81" s="128">
        <v>10</v>
      </c>
      <c r="S81" s="128">
        <v>2</v>
      </c>
      <c r="T81" s="128">
        <v>550</v>
      </c>
      <c r="U81" s="242">
        <v>11000</v>
      </c>
      <c r="V81" s="128"/>
      <c r="W81" s="131">
        <v>45444</v>
      </c>
      <c r="X81" s="131">
        <v>45487</v>
      </c>
      <c r="Y81" s="241">
        <v>30</v>
      </c>
      <c r="Z81" s="241"/>
      <c r="AA81" s="131">
        <v>45487</v>
      </c>
      <c r="AB81" s="131">
        <v>45501</v>
      </c>
      <c r="AC81" s="241">
        <v>10</v>
      </c>
      <c r="AD81" s="131">
        <v>45501</v>
      </c>
      <c r="AE81" s="131">
        <v>45518</v>
      </c>
      <c r="AF81" s="241">
        <v>13</v>
      </c>
      <c r="AG81" s="240"/>
      <c r="AH81" s="224" t="s">
        <v>393</v>
      </c>
      <c r="AI81" s="223"/>
    </row>
    <row r="82" spans="1:35" ht="18" customHeight="1">
      <c r="A82" s="222"/>
      <c r="B82" s="220" t="s">
        <v>1475</v>
      </c>
      <c r="C82" s="390" t="s">
        <v>1608</v>
      </c>
      <c r="D82" s="390" t="s">
        <v>383</v>
      </c>
      <c r="E82" s="220" t="s">
        <v>260</v>
      </c>
      <c r="F82" s="220" t="s">
        <v>53</v>
      </c>
      <c r="G82" s="153" t="s">
        <v>206</v>
      </c>
      <c r="H82" s="239"/>
      <c r="I82" s="220" t="s">
        <v>47</v>
      </c>
      <c r="J82" s="221" t="s">
        <v>45</v>
      </c>
      <c r="K82" s="220" t="s">
        <v>1186</v>
      </c>
      <c r="L82" s="220" t="s">
        <v>144</v>
      </c>
      <c r="M82" s="215" t="s">
        <v>315</v>
      </c>
      <c r="N82" s="397" t="s">
        <v>221</v>
      </c>
      <c r="O82" s="238" t="s">
        <v>320</v>
      </c>
      <c r="P82" s="217"/>
      <c r="Q82" s="237" t="s">
        <v>1500</v>
      </c>
      <c r="R82" s="217">
        <v>12</v>
      </c>
      <c r="S82" s="217">
        <v>2</v>
      </c>
      <c r="T82" s="217">
        <v>550</v>
      </c>
      <c r="U82" s="236">
        <v>13200</v>
      </c>
      <c r="V82" s="217"/>
      <c r="W82" s="133">
        <v>45413</v>
      </c>
      <c r="X82" s="133">
        <v>45471</v>
      </c>
      <c r="Y82" s="235">
        <v>43</v>
      </c>
      <c r="Z82" s="235"/>
      <c r="AA82" s="133">
        <v>45471</v>
      </c>
      <c r="AB82" s="133">
        <v>45487</v>
      </c>
      <c r="AC82" s="235">
        <v>11</v>
      </c>
      <c r="AD82" s="133">
        <v>45487</v>
      </c>
      <c r="AE82" s="133">
        <v>45501</v>
      </c>
      <c r="AF82" s="235">
        <v>10</v>
      </c>
      <c r="AG82" s="234"/>
      <c r="AH82" s="215" t="s">
        <v>384</v>
      </c>
      <c r="AI82" s="214"/>
    </row>
    <row r="83" spans="1:35" ht="18" hidden="1" customHeight="1">
      <c r="A83" s="227" t="s">
        <v>130</v>
      </c>
      <c r="B83" s="231" t="s">
        <v>1475</v>
      </c>
      <c r="C83" s="151" t="s">
        <v>1609</v>
      </c>
      <c r="D83" s="152" t="s">
        <v>1610</v>
      </c>
      <c r="E83" s="231" t="s">
        <v>1478</v>
      </c>
      <c r="F83" s="231" t="s">
        <v>53</v>
      </c>
      <c r="G83" s="154" t="s">
        <v>330</v>
      </c>
      <c r="H83" s="231"/>
      <c r="I83" s="231" t="s">
        <v>513</v>
      </c>
      <c r="J83" s="232" t="s">
        <v>835</v>
      </c>
      <c r="K83" s="231" t="s">
        <v>1186</v>
      </c>
      <c r="L83" s="231" t="s">
        <v>144</v>
      </c>
      <c r="M83" s="224"/>
      <c r="N83" s="230"/>
      <c r="O83" s="230" t="s">
        <v>320</v>
      </c>
      <c r="P83" s="224"/>
      <c r="Q83" s="230" t="s">
        <v>146</v>
      </c>
      <c r="R83" s="128">
        <v>8</v>
      </c>
      <c r="S83" s="128">
        <v>1</v>
      </c>
      <c r="T83" s="128">
        <v>550</v>
      </c>
      <c r="U83" s="226">
        <v>4400</v>
      </c>
      <c r="V83" s="224"/>
      <c r="W83" s="131">
        <v>45536</v>
      </c>
      <c r="X83" s="131">
        <v>45563</v>
      </c>
      <c r="Y83" s="229">
        <v>20</v>
      </c>
      <c r="Z83" s="229"/>
      <c r="AA83" s="131">
        <v>45563</v>
      </c>
      <c r="AB83" s="131">
        <v>45579</v>
      </c>
      <c r="AC83" s="229">
        <v>11</v>
      </c>
      <c r="AD83" s="131">
        <v>45579</v>
      </c>
      <c r="AE83" s="131">
        <v>45593</v>
      </c>
      <c r="AF83" s="229">
        <v>11</v>
      </c>
      <c r="AG83" s="165"/>
      <c r="AH83" s="224" t="s">
        <v>1611</v>
      </c>
      <c r="AI83" s="223"/>
    </row>
    <row r="84" spans="1:35" ht="18" hidden="1" customHeight="1">
      <c r="A84" s="222" t="s">
        <v>251</v>
      </c>
      <c r="B84" s="220" t="s">
        <v>1475</v>
      </c>
      <c r="C84" s="149" t="s">
        <v>1612</v>
      </c>
      <c r="D84" s="150" t="s">
        <v>1499</v>
      </c>
      <c r="E84" s="220" t="s">
        <v>1478</v>
      </c>
      <c r="F84" s="220" t="s">
        <v>53</v>
      </c>
      <c r="G84" s="153" t="s">
        <v>140</v>
      </c>
      <c r="H84" s="220"/>
      <c r="I84" s="220" t="s">
        <v>79</v>
      </c>
      <c r="J84" s="221" t="s">
        <v>762</v>
      </c>
      <c r="K84" s="220" t="s">
        <v>1186</v>
      </c>
      <c r="L84" s="220" t="s">
        <v>179</v>
      </c>
      <c r="M84" s="215" t="s">
        <v>1492</v>
      </c>
      <c r="N84" s="219"/>
      <c r="O84" s="219" t="s">
        <v>320</v>
      </c>
      <c r="P84" s="233" t="s">
        <v>1613</v>
      </c>
      <c r="Q84" s="219" t="s">
        <v>1500</v>
      </c>
      <c r="R84" s="217">
        <v>10</v>
      </c>
      <c r="S84" s="217">
        <v>1</v>
      </c>
      <c r="T84" s="217">
        <v>550</v>
      </c>
      <c r="U84" s="218">
        <v>5500</v>
      </c>
      <c r="V84" s="215"/>
      <c r="W84" s="133">
        <v>45536</v>
      </c>
      <c r="X84" s="133">
        <v>45586</v>
      </c>
      <c r="Y84" s="216">
        <v>36</v>
      </c>
      <c r="Z84" s="216"/>
      <c r="AA84" s="133">
        <v>45586</v>
      </c>
      <c r="AB84" s="133">
        <v>45593</v>
      </c>
      <c r="AC84" s="216">
        <v>6</v>
      </c>
      <c r="AD84" s="133">
        <v>45593</v>
      </c>
      <c r="AE84" s="228">
        <v>45610</v>
      </c>
      <c r="AF84" s="216">
        <v>14</v>
      </c>
      <c r="AG84" s="159"/>
      <c r="AH84" s="215" t="s">
        <v>1614</v>
      </c>
      <c r="AI84" s="214"/>
    </row>
    <row r="85" spans="1:35" ht="18" hidden="1" customHeight="1">
      <c r="A85" s="227" t="s">
        <v>130</v>
      </c>
      <c r="B85" s="231" t="s">
        <v>1475</v>
      </c>
      <c r="C85" s="151" t="s">
        <v>269</v>
      </c>
      <c r="D85" s="211" t="s">
        <v>269</v>
      </c>
      <c r="E85" s="231" t="s">
        <v>1487</v>
      </c>
      <c r="F85" s="231" t="s">
        <v>53</v>
      </c>
      <c r="G85" s="154" t="s">
        <v>206</v>
      </c>
      <c r="H85" s="231"/>
      <c r="I85" s="231" t="s">
        <v>26</v>
      </c>
      <c r="J85" s="232" t="s">
        <v>25</v>
      </c>
      <c r="K85" s="231" t="s">
        <v>1186</v>
      </c>
      <c r="L85" s="231" t="s">
        <v>144</v>
      </c>
      <c r="M85" s="224"/>
      <c r="N85" s="230">
        <v>5</v>
      </c>
      <c r="O85" s="230" t="s">
        <v>320</v>
      </c>
      <c r="P85" s="224"/>
      <c r="Q85" s="230" t="s">
        <v>1500</v>
      </c>
      <c r="R85" s="128">
        <v>12</v>
      </c>
      <c r="S85" s="128">
        <v>1</v>
      </c>
      <c r="T85" s="128">
        <v>550</v>
      </c>
      <c r="U85" s="226">
        <v>6600</v>
      </c>
      <c r="V85" s="224"/>
      <c r="W85" s="131">
        <v>45556</v>
      </c>
      <c r="X85" s="131">
        <v>45586</v>
      </c>
      <c r="Y85" s="229">
        <v>21</v>
      </c>
      <c r="Z85" s="229"/>
      <c r="AA85" s="131">
        <v>45586</v>
      </c>
      <c r="AB85" s="131">
        <v>45603</v>
      </c>
      <c r="AC85" s="229">
        <v>14</v>
      </c>
      <c r="AD85" s="131">
        <v>45603</v>
      </c>
      <c r="AE85" s="131">
        <v>45617</v>
      </c>
      <c r="AF85" s="229">
        <v>11</v>
      </c>
      <c r="AG85" s="165"/>
      <c r="AH85" s="224" t="s">
        <v>270</v>
      </c>
      <c r="AI85" s="223"/>
    </row>
    <row r="86" spans="1:35" ht="18" customHeight="1">
      <c r="A86" s="222" t="s">
        <v>130</v>
      </c>
      <c r="B86" s="220" t="s">
        <v>1475</v>
      </c>
      <c r="C86" s="179" t="s">
        <v>1615</v>
      </c>
      <c r="D86" s="172" t="s">
        <v>319</v>
      </c>
      <c r="E86" s="220" t="s">
        <v>260</v>
      </c>
      <c r="F86" s="220" t="s">
        <v>53</v>
      </c>
      <c r="G86" s="153" t="s">
        <v>206</v>
      </c>
      <c r="H86" s="220"/>
      <c r="I86" s="220" t="s">
        <v>47</v>
      </c>
      <c r="J86" s="221" t="s">
        <v>45</v>
      </c>
      <c r="K86" s="220" t="s">
        <v>1186</v>
      </c>
      <c r="L86" s="220" t="s">
        <v>144</v>
      </c>
      <c r="M86" s="215" t="s">
        <v>315</v>
      </c>
      <c r="N86" s="219" t="s">
        <v>320</v>
      </c>
      <c r="O86" s="219" t="s">
        <v>320</v>
      </c>
      <c r="P86" s="215"/>
      <c r="Q86" s="219" t="s">
        <v>1500</v>
      </c>
      <c r="R86" s="217">
        <v>12</v>
      </c>
      <c r="S86" s="217">
        <v>2</v>
      </c>
      <c r="T86" s="217">
        <v>550</v>
      </c>
      <c r="U86" s="218">
        <v>13200</v>
      </c>
      <c r="V86" s="215"/>
      <c r="W86" s="133">
        <v>45494</v>
      </c>
      <c r="X86" s="133">
        <v>45501</v>
      </c>
      <c r="Y86" s="216">
        <v>5</v>
      </c>
      <c r="Z86" s="216"/>
      <c r="AA86" s="133">
        <v>45501</v>
      </c>
      <c r="AB86" s="133">
        <v>45579</v>
      </c>
      <c r="AC86" s="216">
        <v>56</v>
      </c>
      <c r="AD86" s="133">
        <v>45579</v>
      </c>
      <c r="AE86" s="133">
        <v>45586</v>
      </c>
      <c r="AF86" s="216">
        <v>6</v>
      </c>
      <c r="AG86" s="159"/>
      <c r="AH86" s="215" t="s">
        <v>321</v>
      </c>
      <c r="AI86" s="214"/>
    </row>
    <row r="87" spans="1:35" ht="18" customHeight="1">
      <c r="A87" s="227" t="s">
        <v>130</v>
      </c>
      <c r="B87" s="231" t="s">
        <v>1475</v>
      </c>
      <c r="C87" s="180" t="s">
        <v>850</v>
      </c>
      <c r="D87" s="212" t="s">
        <v>1616</v>
      </c>
      <c r="E87" s="231" t="s">
        <v>260</v>
      </c>
      <c r="F87" s="231" t="s">
        <v>53</v>
      </c>
      <c r="G87" s="154" t="s">
        <v>329</v>
      </c>
      <c r="H87" s="231"/>
      <c r="I87" s="231" t="s">
        <v>48</v>
      </c>
      <c r="J87" s="232" t="s">
        <v>45</v>
      </c>
      <c r="K87" s="231" t="s">
        <v>1186</v>
      </c>
      <c r="L87" s="231" t="s">
        <v>144</v>
      </c>
      <c r="M87" s="224" t="s">
        <v>315</v>
      </c>
      <c r="N87" s="230"/>
      <c r="O87" s="230" t="s">
        <v>320</v>
      </c>
      <c r="P87" s="224"/>
      <c r="Q87" s="230" t="s">
        <v>1500</v>
      </c>
      <c r="R87" s="128">
        <v>10</v>
      </c>
      <c r="S87" s="128">
        <v>1</v>
      </c>
      <c r="T87" s="128">
        <v>550</v>
      </c>
      <c r="U87" s="226">
        <v>5500</v>
      </c>
      <c r="V87" s="224"/>
      <c r="W87" s="131">
        <v>45505</v>
      </c>
      <c r="X87" s="131">
        <v>45549</v>
      </c>
      <c r="Y87" s="229">
        <v>32</v>
      </c>
      <c r="Z87" s="229"/>
      <c r="AA87" s="131">
        <v>45549</v>
      </c>
      <c r="AB87" s="131">
        <v>45563</v>
      </c>
      <c r="AC87" s="229">
        <v>10</v>
      </c>
      <c r="AD87" s="131">
        <v>45563</v>
      </c>
      <c r="AE87" s="132">
        <v>45579</v>
      </c>
      <c r="AF87" s="229">
        <v>11</v>
      </c>
      <c r="AG87" s="165" t="s">
        <v>869</v>
      </c>
      <c r="AH87" s="224" t="s">
        <v>852</v>
      </c>
      <c r="AI87" s="223"/>
    </row>
    <row r="88" spans="1:35" ht="18" customHeight="1">
      <c r="A88" s="222" t="s">
        <v>130</v>
      </c>
      <c r="B88" s="220" t="s">
        <v>1475</v>
      </c>
      <c r="C88" s="179" t="s">
        <v>1617</v>
      </c>
      <c r="D88" s="213" t="s">
        <v>1618</v>
      </c>
      <c r="E88" s="220" t="s">
        <v>260</v>
      </c>
      <c r="F88" s="220" t="s">
        <v>53</v>
      </c>
      <c r="G88" s="153" t="s">
        <v>206</v>
      </c>
      <c r="H88" s="220"/>
      <c r="I88" s="220" t="s">
        <v>47</v>
      </c>
      <c r="J88" s="221" t="s">
        <v>45</v>
      </c>
      <c r="K88" s="220" t="s">
        <v>1186</v>
      </c>
      <c r="L88" s="220" t="s">
        <v>144</v>
      </c>
      <c r="M88" s="215" t="s">
        <v>315</v>
      </c>
      <c r="N88" s="219"/>
      <c r="O88" s="219" t="s">
        <v>320</v>
      </c>
      <c r="P88" s="215"/>
      <c r="Q88" s="219" t="s">
        <v>146</v>
      </c>
      <c r="R88" s="217">
        <v>4</v>
      </c>
      <c r="S88" s="217">
        <v>1</v>
      </c>
      <c r="T88" s="217">
        <v>550</v>
      </c>
      <c r="U88" s="218">
        <v>2200</v>
      </c>
      <c r="V88" s="215"/>
      <c r="W88" s="133">
        <v>45556</v>
      </c>
      <c r="X88" s="133">
        <v>45572</v>
      </c>
      <c r="Y88" s="216">
        <v>11</v>
      </c>
      <c r="Z88" s="216"/>
      <c r="AA88" s="133">
        <v>45572</v>
      </c>
      <c r="AB88" s="133">
        <v>45579</v>
      </c>
      <c r="AC88" s="216">
        <v>6</v>
      </c>
      <c r="AD88" s="133">
        <v>45579</v>
      </c>
      <c r="AE88" s="133">
        <v>45586</v>
      </c>
      <c r="AF88" s="216">
        <v>6</v>
      </c>
      <c r="AG88" s="159" t="s">
        <v>869</v>
      </c>
      <c r="AH88" s="215" t="s">
        <v>841</v>
      </c>
      <c r="AI88" s="214"/>
    </row>
    <row r="89" spans="1:35" ht="18" customHeight="1">
      <c r="A89" s="227" t="s">
        <v>130</v>
      </c>
      <c r="B89" s="231" t="s">
        <v>1475</v>
      </c>
      <c r="C89" s="178" t="s">
        <v>1619</v>
      </c>
      <c r="D89" s="213" t="s">
        <v>1620</v>
      </c>
      <c r="E89" s="231" t="s">
        <v>260</v>
      </c>
      <c r="F89" s="231" t="s">
        <v>53</v>
      </c>
      <c r="G89" s="154" t="s">
        <v>329</v>
      </c>
      <c r="H89" s="231"/>
      <c r="I89" s="231" t="s">
        <v>47</v>
      </c>
      <c r="J89" s="232" t="s">
        <v>45</v>
      </c>
      <c r="K89" s="231" t="s">
        <v>1186</v>
      </c>
      <c r="L89" s="231" t="s">
        <v>144</v>
      </c>
      <c r="M89" s="224" t="s">
        <v>315</v>
      </c>
      <c r="N89" s="230"/>
      <c r="O89" s="230" t="s">
        <v>320</v>
      </c>
      <c r="P89" s="224"/>
      <c r="Q89" s="230" t="s">
        <v>146</v>
      </c>
      <c r="R89" s="128">
        <v>3</v>
      </c>
      <c r="S89" s="128">
        <v>1</v>
      </c>
      <c r="T89" s="128">
        <v>550</v>
      </c>
      <c r="U89" s="226">
        <v>1650</v>
      </c>
      <c r="V89" s="224"/>
      <c r="W89" s="131">
        <v>45556</v>
      </c>
      <c r="X89" s="131">
        <v>45563</v>
      </c>
      <c r="Y89" s="229">
        <v>5</v>
      </c>
      <c r="Z89" s="229"/>
      <c r="AA89" s="131">
        <v>45563</v>
      </c>
      <c r="AB89" s="132">
        <v>45572</v>
      </c>
      <c r="AC89" s="229">
        <v>6</v>
      </c>
      <c r="AD89" s="132">
        <v>45572</v>
      </c>
      <c r="AE89" s="132">
        <v>45579</v>
      </c>
      <c r="AF89" s="229">
        <v>6</v>
      </c>
      <c r="AG89" s="165" t="s">
        <v>869</v>
      </c>
      <c r="AH89" s="224" t="s">
        <v>1621</v>
      </c>
      <c r="AI89" s="223"/>
    </row>
    <row r="90" spans="1:35" ht="18" customHeight="1">
      <c r="A90" s="222" t="s">
        <v>130</v>
      </c>
      <c r="B90" s="220" t="s">
        <v>1475</v>
      </c>
      <c r="C90" s="179" t="s">
        <v>162</v>
      </c>
      <c r="D90" s="172" t="s">
        <v>1622</v>
      </c>
      <c r="E90" s="220" t="s">
        <v>260</v>
      </c>
      <c r="F90" s="220" t="s">
        <v>53</v>
      </c>
      <c r="G90" s="153" t="s">
        <v>206</v>
      </c>
      <c r="H90" s="220"/>
      <c r="I90" s="220" t="s">
        <v>47</v>
      </c>
      <c r="J90" s="221" t="s">
        <v>45</v>
      </c>
      <c r="K90" s="220" t="s">
        <v>1186</v>
      </c>
      <c r="L90" s="220" t="s">
        <v>144</v>
      </c>
      <c r="M90" s="215" t="s">
        <v>315</v>
      </c>
      <c r="N90" s="219" t="s">
        <v>320</v>
      </c>
      <c r="O90" s="219" t="s">
        <v>320</v>
      </c>
      <c r="P90" s="215"/>
      <c r="Q90" s="219" t="s">
        <v>146</v>
      </c>
      <c r="R90" s="217">
        <v>6</v>
      </c>
      <c r="S90" s="217">
        <v>1</v>
      </c>
      <c r="T90" s="217">
        <v>550</v>
      </c>
      <c r="U90" s="218">
        <v>3300</v>
      </c>
      <c r="V90" s="215"/>
      <c r="W90" s="133">
        <v>45579</v>
      </c>
      <c r="X90" s="133">
        <v>45603</v>
      </c>
      <c r="Y90" s="216">
        <v>19</v>
      </c>
      <c r="Z90" s="216"/>
      <c r="AA90" s="133">
        <v>45603</v>
      </c>
      <c r="AB90" s="133">
        <v>45610</v>
      </c>
      <c r="AC90" s="216">
        <v>6</v>
      </c>
      <c r="AD90" s="133">
        <v>45610</v>
      </c>
      <c r="AE90" s="228">
        <v>45624</v>
      </c>
      <c r="AF90" s="216">
        <v>11</v>
      </c>
      <c r="AG90" s="159"/>
      <c r="AH90" s="215" t="s">
        <v>369</v>
      </c>
      <c r="AI90" s="214"/>
    </row>
    <row r="91" spans="1:35" ht="18" hidden="1" customHeight="1" thickTop="1">
      <c r="A91" s="227"/>
      <c r="B91" s="134" t="s">
        <v>1475</v>
      </c>
      <c r="C91" s="134" t="s">
        <v>737</v>
      </c>
      <c r="D91" s="139" t="s">
        <v>738</v>
      </c>
      <c r="E91" s="134" t="s">
        <v>1487</v>
      </c>
      <c r="F91" s="134" t="s">
        <v>53</v>
      </c>
      <c r="G91" s="134" t="s">
        <v>206</v>
      </c>
      <c r="H91" s="134"/>
      <c r="I91" s="134" t="s">
        <v>51</v>
      </c>
      <c r="J91" s="135" t="s">
        <v>1623</v>
      </c>
      <c r="K91" s="134" t="s">
        <v>1186</v>
      </c>
      <c r="L91" s="134" t="s">
        <v>144</v>
      </c>
      <c r="M91" s="136"/>
      <c r="N91" s="137" t="s">
        <v>221</v>
      </c>
      <c r="O91" s="137" t="s">
        <v>221</v>
      </c>
      <c r="P91" s="136"/>
      <c r="Q91" s="140" t="s">
        <v>1500</v>
      </c>
      <c r="R91" s="138" t="s">
        <v>1624</v>
      </c>
      <c r="S91" s="138" t="s">
        <v>1625</v>
      </c>
      <c r="T91" s="128">
        <v>550</v>
      </c>
      <c r="U91" s="226">
        <v>6600</v>
      </c>
      <c r="V91" s="224"/>
      <c r="W91" s="131">
        <v>45505</v>
      </c>
      <c r="X91" s="131">
        <v>45563</v>
      </c>
      <c r="Y91" s="225">
        <v>42</v>
      </c>
      <c r="Z91" s="225"/>
      <c r="AA91" s="131">
        <v>45563</v>
      </c>
      <c r="AB91" s="131">
        <v>45579</v>
      </c>
      <c r="AC91" s="225">
        <v>11</v>
      </c>
      <c r="AD91" s="131">
        <v>45579</v>
      </c>
      <c r="AE91" s="131">
        <v>45593</v>
      </c>
      <c r="AF91" s="225">
        <v>11</v>
      </c>
      <c r="AG91" s="224"/>
      <c r="AH91" s="224" t="s">
        <v>740</v>
      </c>
      <c r="AI91" s="223"/>
    </row>
    <row r="92" spans="1:35" ht="23.25" hidden="1">
      <c r="A92" s="222" t="s">
        <v>130</v>
      </c>
      <c r="B92" s="220" t="s">
        <v>1475</v>
      </c>
      <c r="C92" s="149" t="s">
        <v>866</v>
      </c>
      <c r="D92" s="158" t="s">
        <v>867</v>
      </c>
      <c r="E92" s="220" t="s">
        <v>1478</v>
      </c>
      <c r="F92" s="220" t="s">
        <v>53</v>
      </c>
      <c r="G92" s="153" t="s">
        <v>329</v>
      </c>
      <c r="H92" s="220"/>
      <c r="I92" s="220" t="s">
        <v>433</v>
      </c>
      <c r="J92" s="221" t="s">
        <v>665</v>
      </c>
      <c r="K92" s="220" t="s">
        <v>1186</v>
      </c>
      <c r="L92" s="220" t="s">
        <v>144</v>
      </c>
      <c r="M92" s="215"/>
      <c r="N92" s="219"/>
      <c r="O92" s="219" t="s">
        <v>320</v>
      </c>
      <c r="P92" s="215"/>
      <c r="Q92" s="219" t="s">
        <v>146</v>
      </c>
      <c r="R92" s="217">
        <v>8</v>
      </c>
      <c r="S92" s="217">
        <v>1</v>
      </c>
      <c r="T92" s="217">
        <v>550</v>
      </c>
      <c r="U92" s="218">
        <v>4400</v>
      </c>
      <c r="V92" s="215"/>
      <c r="W92" s="217"/>
      <c r="X92" s="217"/>
      <c r="Y92" s="216">
        <v>0</v>
      </c>
      <c r="Z92" s="216"/>
      <c r="AA92" s="215"/>
      <c r="AB92" s="215"/>
      <c r="AC92" s="216">
        <v>0</v>
      </c>
      <c r="AD92" s="215"/>
      <c r="AE92" s="215"/>
      <c r="AF92" s="216">
        <v>0</v>
      </c>
      <c r="AG92" s="159" t="s">
        <v>869</v>
      </c>
      <c r="AH92" s="215" t="s">
        <v>868</v>
      </c>
      <c r="AI92" s="214"/>
    </row>
  </sheetData>
  <autoFilter ref="B9:AI92" xr:uid="{183F4425-D959-40D0-8307-7F5AE2882D9F}">
    <filterColumn colId="3">
      <filters>
        <filter val="Proyectos TD 2024"/>
      </filters>
    </filterColumn>
  </autoFilter>
  <mergeCells count="4">
    <mergeCell ref="AT8:BA8"/>
    <mergeCell ref="BB8:BI8"/>
    <mergeCell ref="BJ8:BQ8"/>
    <mergeCell ref="BR8:BZ9"/>
  </mergeCells>
  <pageMargins left="0.7" right="0.7" top="0.75" bottom="0.75" header="0.3" footer="0.3"/>
  <pageSetup paperSize="9" orientation="portrait" r:id="rId1"/>
  <drawing r:id="rId2"/>
  <legacyDrawing r:id="rId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1"/>
  <sheetViews>
    <sheetView zoomScale="70" zoomScaleNormal="70" workbookViewId="0">
      <selection activeCell="D1" sqref="D1"/>
    </sheetView>
  </sheetViews>
  <sheetFormatPr baseColWidth="10" defaultColWidth="11.3984375" defaultRowHeight="14.25"/>
  <cols>
    <col min="1" max="1" width="11.3984375" style="28"/>
    <col min="2" max="2" width="16.73046875" style="28" bestFit="1" customWidth="1"/>
    <col min="3" max="3" width="15" style="28" bestFit="1" customWidth="1"/>
    <col min="4" max="4" width="109.86328125" customWidth="1"/>
    <col min="5" max="6" width="14.73046875" style="28" customWidth="1"/>
    <col min="7" max="7" width="35" style="28" bestFit="1" customWidth="1"/>
    <col min="8" max="8" width="22.265625" bestFit="1" customWidth="1"/>
  </cols>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33"/>
  <sheetViews>
    <sheetView workbookViewId="0">
      <selection activeCell="A9" sqref="A9"/>
    </sheetView>
  </sheetViews>
  <sheetFormatPr baseColWidth="10" defaultColWidth="11.3984375" defaultRowHeight="14.25"/>
  <cols>
    <col min="1" max="1" width="26" customWidth="1"/>
    <col min="2" max="2" width="51" customWidth="1"/>
    <col min="3" max="4" width="26" customWidth="1"/>
  </cols>
  <sheetData>
    <row r="1" spans="1:4">
      <c r="A1" s="7" t="s">
        <v>85</v>
      </c>
      <c r="B1" s="8" t="s">
        <v>88</v>
      </c>
      <c r="C1" s="7" t="s">
        <v>1626</v>
      </c>
      <c r="D1" s="9" t="s">
        <v>1627</v>
      </c>
    </row>
    <row r="2" spans="1:4" ht="60" customHeight="1">
      <c r="A2" s="11" t="s">
        <v>1628</v>
      </c>
      <c r="B2" s="12" t="s">
        <v>1629</v>
      </c>
      <c r="C2" s="11" t="s">
        <v>1630</v>
      </c>
      <c r="D2" s="13" t="s">
        <v>152</v>
      </c>
    </row>
    <row r="3" spans="1:4" ht="55.5" customHeight="1">
      <c r="A3" s="10" t="s">
        <v>1511</v>
      </c>
      <c r="B3" s="12" t="s">
        <v>1512</v>
      </c>
      <c r="C3" s="10"/>
      <c r="D3" s="13" t="s">
        <v>152</v>
      </c>
    </row>
    <row r="4" spans="1:4" ht="75" customHeight="1">
      <c r="A4" s="11" t="s">
        <v>1567</v>
      </c>
      <c r="B4" s="12" t="s">
        <v>1568</v>
      </c>
      <c r="C4" s="11"/>
      <c r="D4" s="13" t="s">
        <v>145</v>
      </c>
    </row>
    <row r="5" spans="1:4" ht="59.25" customHeight="1">
      <c r="A5" s="11" t="s">
        <v>1513</v>
      </c>
      <c r="B5" s="12" t="s">
        <v>410</v>
      </c>
      <c r="C5" s="11" t="s">
        <v>317</v>
      </c>
      <c r="D5" s="13" t="s">
        <v>152</v>
      </c>
    </row>
    <row r="6" spans="1:4" ht="42.75">
      <c r="A6" s="11" t="s">
        <v>1595</v>
      </c>
      <c r="B6" s="12" t="s">
        <v>399</v>
      </c>
      <c r="C6" s="11" t="s">
        <v>1631</v>
      </c>
      <c r="D6" s="13" t="s">
        <v>221</v>
      </c>
    </row>
    <row r="7" spans="1:4" ht="72.75" customHeight="1">
      <c r="A7" s="11" t="s">
        <v>1615</v>
      </c>
      <c r="B7" s="12" t="s">
        <v>319</v>
      </c>
      <c r="C7" s="11" t="s">
        <v>317</v>
      </c>
      <c r="D7" s="13" t="s">
        <v>320</v>
      </c>
    </row>
    <row r="8" spans="1:4" ht="49.5" customHeight="1">
      <c r="A8" s="11" t="s">
        <v>1517</v>
      </c>
      <c r="B8" s="12" t="s">
        <v>1518</v>
      </c>
      <c r="C8" s="11" t="s">
        <v>317</v>
      </c>
      <c r="D8" s="13" t="s">
        <v>152</v>
      </c>
    </row>
    <row r="9" spans="1:4" ht="99" customHeight="1">
      <c r="A9" s="11" t="s">
        <v>1570</v>
      </c>
      <c r="B9" s="12" t="s">
        <v>1571</v>
      </c>
      <c r="C9" s="11" t="s">
        <v>1632</v>
      </c>
      <c r="D9" s="13" t="s">
        <v>152</v>
      </c>
    </row>
    <row r="10" spans="1:4" ht="39" customHeight="1">
      <c r="A10" s="16" t="s">
        <v>850</v>
      </c>
      <c r="B10" s="16" t="s">
        <v>1616</v>
      </c>
      <c r="C10" s="10" t="s">
        <v>1633</v>
      </c>
      <c r="D10" s="13"/>
    </row>
    <row r="11" spans="1:4" ht="70.5" customHeight="1">
      <c r="A11" s="11" t="s">
        <v>1520</v>
      </c>
      <c r="B11" s="12" t="s">
        <v>1521</v>
      </c>
      <c r="C11" s="11" t="s">
        <v>1634</v>
      </c>
      <c r="D11" s="13" t="s">
        <v>152</v>
      </c>
    </row>
    <row r="12" spans="1:4" ht="39" customHeight="1">
      <c r="A12" s="11" t="s">
        <v>1522</v>
      </c>
      <c r="B12" s="12" t="s">
        <v>343</v>
      </c>
      <c r="C12" s="11" t="s">
        <v>1632</v>
      </c>
      <c r="D12" s="13" t="s">
        <v>152</v>
      </c>
    </row>
    <row r="13" spans="1:4" ht="39" customHeight="1">
      <c r="A13" s="11" t="s">
        <v>1635</v>
      </c>
      <c r="B13" s="12" t="s">
        <v>1636</v>
      </c>
      <c r="C13" s="11" t="s">
        <v>1635</v>
      </c>
      <c r="D13" s="13" t="s">
        <v>152</v>
      </c>
    </row>
    <row r="14" spans="1:4" ht="39" customHeight="1">
      <c r="A14" s="11" t="s">
        <v>1574</v>
      </c>
      <c r="B14" s="12" t="s">
        <v>407</v>
      </c>
      <c r="C14" s="11" t="s">
        <v>1633</v>
      </c>
      <c r="D14" s="13" t="s">
        <v>152</v>
      </c>
    </row>
    <row r="15" spans="1:4" ht="39" customHeight="1">
      <c r="A15" s="11" t="s">
        <v>1637</v>
      </c>
      <c r="B15" s="11" t="s">
        <v>1638</v>
      </c>
      <c r="C15" s="11" t="s">
        <v>1639</v>
      </c>
      <c r="D15" s="13" t="s">
        <v>152</v>
      </c>
    </row>
    <row r="16" spans="1:4" ht="39" customHeight="1">
      <c r="A16" s="11" t="s">
        <v>1640</v>
      </c>
      <c r="B16" s="11" t="s">
        <v>1641</v>
      </c>
      <c r="C16" s="11" t="s">
        <v>1642</v>
      </c>
      <c r="D16" s="13" t="s">
        <v>152</v>
      </c>
    </row>
    <row r="17" spans="1:4" ht="65.25" customHeight="1">
      <c r="A17" s="11" t="s">
        <v>1537</v>
      </c>
      <c r="B17" s="12" t="s">
        <v>857</v>
      </c>
      <c r="C17" s="11" t="s">
        <v>1643</v>
      </c>
      <c r="D17" s="13" t="s">
        <v>152</v>
      </c>
    </row>
    <row r="18" spans="1:4" ht="39" customHeight="1">
      <c r="A18" s="11" t="s">
        <v>1529</v>
      </c>
      <c r="B18" s="12" t="s">
        <v>1644</v>
      </c>
      <c r="C18" s="11" t="s">
        <v>1645</v>
      </c>
      <c r="D18" s="13" t="s">
        <v>152</v>
      </c>
    </row>
    <row r="19" spans="1:4" ht="102" customHeight="1">
      <c r="A19" s="10" t="s">
        <v>1646</v>
      </c>
      <c r="B19" s="12" t="s">
        <v>1647</v>
      </c>
      <c r="C19" s="10" t="s">
        <v>1632</v>
      </c>
      <c r="D19" s="13" t="s">
        <v>152</v>
      </c>
    </row>
    <row r="20" spans="1:4" ht="39" customHeight="1">
      <c r="A20" s="10" t="s">
        <v>1648</v>
      </c>
      <c r="B20" s="14" t="s">
        <v>1515</v>
      </c>
      <c r="C20" s="10" t="s">
        <v>1649</v>
      </c>
      <c r="D20" s="13" t="s">
        <v>152</v>
      </c>
    </row>
    <row r="21" spans="1:4" ht="39" customHeight="1">
      <c r="A21" s="11" t="s">
        <v>1596</v>
      </c>
      <c r="B21" s="14" t="s">
        <v>1597</v>
      </c>
      <c r="C21" s="11" t="s">
        <v>1632</v>
      </c>
      <c r="D21" s="13" t="s">
        <v>145</v>
      </c>
    </row>
    <row r="22" spans="1:4" ht="28.5">
      <c r="A22" s="11" t="s">
        <v>1531</v>
      </c>
      <c r="B22" s="12" t="s">
        <v>1532</v>
      </c>
      <c r="C22" s="11" t="s">
        <v>1650</v>
      </c>
      <c r="D22" s="13" t="s">
        <v>152</v>
      </c>
    </row>
    <row r="23" spans="1:4" ht="39" customHeight="1">
      <c r="A23" s="15" t="s">
        <v>1576</v>
      </c>
      <c r="B23" s="14" t="s">
        <v>352</v>
      </c>
      <c r="C23" s="11" t="s">
        <v>1632</v>
      </c>
      <c r="D23" s="13" t="s">
        <v>145</v>
      </c>
    </row>
    <row r="24" spans="1:4" ht="77.25">
      <c r="A24" s="16" t="s">
        <v>1617</v>
      </c>
      <c r="B24" s="16" t="s">
        <v>1618</v>
      </c>
      <c r="C24" s="11" t="s">
        <v>1651</v>
      </c>
      <c r="D24" s="18"/>
    </row>
    <row r="25" spans="1:4" ht="39" customHeight="1">
      <c r="A25" s="11" t="s">
        <v>1534</v>
      </c>
      <c r="B25" s="12" t="s">
        <v>335</v>
      </c>
      <c r="C25" s="11" t="s">
        <v>1652</v>
      </c>
      <c r="D25" s="13" t="s">
        <v>152</v>
      </c>
    </row>
    <row r="26" spans="1:4" ht="39" customHeight="1">
      <c r="A26" s="15" t="s">
        <v>1619</v>
      </c>
      <c r="B26" s="16" t="s">
        <v>1620</v>
      </c>
      <c r="C26" s="17" t="s">
        <v>1633</v>
      </c>
      <c r="D26" s="13"/>
    </row>
    <row r="27" spans="1:4" ht="75" customHeight="1">
      <c r="A27" s="11" t="s">
        <v>1535</v>
      </c>
      <c r="B27" s="19" t="s">
        <v>1536</v>
      </c>
      <c r="C27" s="11" t="s">
        <v>1643</v>
      </c>
      <c r="D27" s="13" t="s">
        <v>152</v>
      </c>
    </row>
    <row r="28" spans="1:4" ht="39" customHeight="1">
      <c r="A28" s="11" t="s">
        <v>1598</v>
      </c>
      <c r="B28" s="12" t="s">
        <v>1599</v>
      </c>
      <c r="C28" s="11" t="s">
        <v>317</v>
      </c>
      <c r="D28" s="13" t="s">
        <v>145</v>
      </c>
    </row>
    <row r="29" spans="1:4" ht="39" customHeight="1">
      <c r="A29" s="11" t="s">
        <v>1605</v>
      </c>
      <c r="B29" s="12" t="s">
        <v>1606</v>
      </c>
      <c r="C29" s="11" t="s">
        <v>1653</v>
      </c>
      <c r="D29" s="13" t="s">
        <v>145</v>
      </c>
    </row>
    <row r="30" spans="1:4" ht="39" customHeight="1">
      <c r="A30" s="16" t="s">
        <v>1600</v>
      </c>
      <c r="B30" s="16" t="s">
        <v>1601</v>
      </c>
      <c r="C30" s="11" t="s">
        <v>1651</v>
      </c>
      <c r="D30" s="18"/>
    </row>
    <row r="31" spans="1:4" ht="39" customHeight="1">
      <c r="A31" s="11" t="s">
        <v>162</v>
      </c>
      <c r="B31" s="12" t="s">
        <v>1622</v>
      </c>
      <c r="C31" s="11" t="s">
        <v>1654</v>
      </c>
      <c r="D31" s="13" t="s">
        <v>320</v>
      </c>
    </row>
    <row r="32" spans="1:4" ht="39" customHeight="1">
      <c r="A32" s="10" t="s">
        <v>1539</v>
      </c>
      <c r="B32" s="14" t="s">
        <v>1540</v>
      </c>
      <c r="C32" s="10"/>
      <c r="D32" s="13" t="s">
        <v>152</v>
      </c>
    </row>
    <row r="33" spans="1:4" ht="39" customHeight="1">
      <c r="A33" s="11" t="s">
        <v>1603</v>
      </c>
      <c r="B33" s="12" t="s">
        <v>1588</v>
      </c>
      <c r="C33" s="11" t="s">
        <v>317</v>
      </c>
      <c r="D33" s="13" t="s">
        <v>221</v>
      </c>
    </row>
  </sheetData>
  <autoFilter ref="A1:D1" xr:uid="{00000000-0009-0000-0000-000003000000}">
    <sortState xmlns:xlrd2="http://schemas.microsoft.com/office/spreadsheetml/2017/richdata2" ref="A2:D33">
      <sortCondition descending="1" ref="A1"/>
    </sortState>
  </autoFilter>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3:P32"/>
  <sheetViews>
    <sheetView zoomScale="80" zoomScaleNormal="80" workbookViewId="0">
      <pane xSplit="1" ySplit="3" topLeftCell="G10" activePane="bottomRight" state="frozen"/>
      <selection pane="topRight" activeCell="B1" sqref="B1"/>
      <selection pane="bottomLeft" activeCell="A4" sqref="A4"/>
      <selection pane="bottomRight" activeCell="G10" sqref="G10"/>
    </sheetView>
  </sheetViews>
  <sheetFormatPr baseColWidth="10" defaultColWidth="11.3984375" defaultRowHeight="14.25"/>
  <cols>
    <col min="1" max="1" width="3.3984375" style="97" bestFit="1" customWidth="1"/>
    <col min="2" max="2" width="14.86328125" style="97" bestFit="1" customWidth="1"/>
    <col min="3" max="3" width="14.86328125" style="97" customWidth="1"/>
    <col min="4" max="4" width="18.86328125" style="97" bestFit="1" customWidth="1"/>
    <col min="5" max="5" width="21.3984375" style="97" bestFit="1" customWidth="1"/>
    <col min="6" max="6" width="11.73046875" style="97" customWidth="1"/>
    <col min="7" max="7" width="34" style="97" customWidth="1"/>
    <col min="8" max="8" width="77.265625" style="97" customWidth="1"/>
    <col min="9" max="9" width="12.59765625" style="97" customWidth="1"/>
    <col min="10" max="10" width="17.73046875" style="97" customWidth="1"/>
    <col min="11" max="11" width="12" style="97" customWidth="1"/>
    <col min="12" max="12" width="44.59765625" style="97" customWidth="1"/>
    <col min="13" max="16384" width="11.3984375" style="97"/>
  </cols>
  <sheetData>
    <row r="3" spans="1:12">
      <c r="A3" s="112" t="s">
        <v>1655</v>
      </c>
      <c r="B3" s="112" t="s">
        <v>89</v>
      </c>
      <c r="C3" s="112"/>
      <c r="D3" s="112"/>
      <c r="E3" s="112"/>
      <c r="F3" s="112" t="s">
        <v>96</v>
      </c>
      <c r="G3" s="112" t="s">
        <v>1656</v>
      </c>
      <c r="H3" s="112" t="s">
        <v>1657</v>
      </c>
      <c r="I3" s="112" t="s">
        <v>1627</v>
      </c>
      <c r="J3" s="112" t="s">
        <v>1658</v>
      </c>
      <c r="K3" s="112" t="s">
        <v>1659</v>
      </c>
      <c r="L3" s="112" t="s">
        <v>1660</v>
      </c>
    </row>
    <row r="4" spans="1:12" ht="31.5">
      <c r="A4" s="24">
        <v>1</v>
      </c>
      <c r="B4" s="25">
        <v>1</v>
      </c>
      <c r="C4" s="25">
        <v>2023</v>
      </c>
      <c r="D4" s="25" t="s">
        <v>217</v>
      </c>
      <c r="F4" s="26" t="s">
        <v>1661</v>
      </c>
      <c r="G4" s="20" t="s">
        <v>1662</v>
      </c>
      <c r="H4" s="21" t="s">
        <v>1202</v>
      </c>
      <c r="I4" s="109">
        <v>45322</v>
      </c>
      <c r="J4" s="108" t="s">
        <v>1663</v>
      </c>
      <c r="K4" s="24">
        <v>80</v>
      </c>
      <c r="L4" s="24" t="s">
        <v>1664</v>
      </c>
    </row>
    <row r="5" spans="1:12" ht="78.75">
      <c r="A5" s="24">
        <v>2</v>
      </c>
      <c r="B5" s="25">
        <v>1</v>
      </c>
      <c r="C5" s="25">
        <v>2023</v>
      </c>
      <c r="D5" s="25" t="s">
        <v>1665</v>
      </c>
      <c r="E5" s="25"/>
      <c r="F5" s="26" t="s">
        <v>1666</v>
      </c>
      <c r="G5" s="20" t="s">
        <v>1667</v>
      </c>
      <c r="H5" s="21" t="s">
        <v>1668</v>
      </c>
      <c r="I5" s="24"/>
      <c r="J5" s="108" t="s">
        <v>1669</v>
      </c>
      <c r="K5" s="24">
        <v>0</v>
      </c>
      <c r="L5" s="24" t="s">
        <v>1670</v>
      </c>
    </row>
    <row r="6" spans="1:12" ht="31.5">
      <c r="A6" s="24">
        <v>3</v>
      </c>
      <c r="B6" s="25">
        <v>1</v>
      </c>
      <c r="C6" s="25">
        <v>2023</v>
      </c>
      <c r="D6" s="25" t="s">
        <v>218</v>
      </c>
      <c r="E6" s="25"/>
      <c r="F6" s="26" t="s">
        <v>1671</v>
      </c>
      <c r="G6" s="20" t="s">
        <v>1672</v>
      </c>
      <c r="H6" s="21" t="s">
        <v>725</v>
      </c>
      <c r="I6" s="109">
        <v>45318</v>
      </c>
      <c r="J6" s="108" t="s">
        <v>1673</v>
      </c>
      <c r="K6" s="24">
        <v>90</v>
      </c>
      <c r="L6" s="24" t="s">
        <v>1674</v>
      </c>
    </row>
    <row r="7" spans="1:12" ht="31.5">
      <c r="A7" s="24">
        <v>4</v>
      </c>
      <c r="B7" s="25">
        <v>1</v>
      </c>
      <c r="C7" s="25">
        <v>2023</v>
      </c>
      <c r="D7" s="25" t="s">
        <v>218</v>
      </c>
      <c r="E7" s="25"/>
      <c r="F7" s="26" t="s">
        <v>1671</v>
      </c>
      <c r="G7" s="20" t="s">
        <v>1675</v>
      </c>
      <c r="H7" s="22" t="s">
        <v>1676</v>
      </c>
      <c r="I7" s="109">
        <v>45322</v>
      </c>
      <c r="J7" s="108" t="s">
        <v>1677</v>
      </c>
      <c r="K7" s="24">
        <v>0</v>
      </c>
      <c r="L7" s="24" t="s">
        <v>1678</v>
      </c>
    </row>
    <row r="8" spans="1:12" ht="31.5">
      <c r="A8" s="24">
        <v>5</v>
      </c>
      <c r="B8" s="25">
        <v>1</v>
      </c>
      <c r="C8" s="25">
        <v>2023</v>
      </c>
      <c r="D8" s="25" t="s">
        <v>218</v>
      </c>
      <c r="E8" s="25" t="s">
        <v>1679</v>
      </c>
      <c r="F8" s="26" t="s">
        <v>1671</v>
      </c>
      <c r="G8" s="20" t="s">
        <v>1680</v>
      </c>
      <c r="H8" s="22" t="s">
        <v>1681</v>
      </c>
      <c r="I8" s="24"/>
      <c r="J8" s="108" t="s">
        <v>1673</v>
      </c>
      <c r="K8" s="24">
        <v>90</v>
      </c>
      <c r="L8" s="24" t="s">
        <v>1682</v>
      </c>
    </row>
    <row r="9" spans="1:12" ht="31.5">
      <c r="A9" s="24">
        <v>6</v>
      </c>
      <c r="B9" s="25">
        <v>1</v>
      </c>
      <c r="C9" s="25">
        <v>2023</v>
      </c>
      <c r="D9" s="25" t="s">
        <v>218</v>
      </c>
      <c r="E9" s="25" t="s">
        <v>1683</v>
      </c>
      <c r="F9" s="26" t="s">
        <v>1684</v>
      </c>
      <c r="G9" s="20" t="s">
        <v>729</v>
      </c>
      <c r="H9" s="22" t="s">
        <v>730</v>
      </c>
      <c r="I9" s="24"/>
      <c r="J9" s="108" t="s">
        <v>1685</v>
      </c>
      <c r="K9" s="24">
        <v>0</v>
      </c>
      <c r="L9" s="24" t="s">
        <v>1686</v>
      </c>
    </row>
    <row r="10" spans="1:12" ht="67.5" customHeight="1">
      <c r="A10" s="111">
        <v>7</v>
      </c>
      <c r="B10" s="25">
        <v>1</v>
      </c>
      <c r="C10" s="25">
        <v>2024</v>
      </c>
      <c r="D10" s="25" t="s">
        <v>428</v>
      </c>
      <c r="E10" s="110" t="s">
        <v>1687</v>
      </c>
      <c r="F10" s="26" t="s">
        <v>1688</v>
      </c>
      <c r="G10" s="20" t="s">
        <v>1689</v>
      </c>
      <c r="H10" s="23" t="s">
        <v>1690</v>
      </c>
      <c r="I10" s="24"/>
      <c r="J10" s="108" t="s">
        <v>1691</v>
      </c>
      <c r="K10" s="24">
        <v>0</v>
      </c>
      <c r="L10" s="24" t="s">
        <v>1678</v>
      </c>
    </row>
    <row r="11" spans="1:12" ht="15.75">
      <c r="A11" s="24">
        <v>8</v>
      </c>
      <c r="B11" s="25">
        <v>1</v>
      </c>
      <c r="C11" s="25">
        <v>2024</v>
      </c>
      <c r="D11" s="25" t="s">
        <v>218</v>
      </c>
      <c r="E11" s="25"/>
      <c r="F11" s="26" t="s">
        <v>1671</v>
      </c>
      <c r="G11" s="20" t="s">
        <v>1689</v>
      </c>
      <c r="H11" s="23" t="s">
        <v>701</v>
      </c>
      <c r="I11" s="24"/>
      <c r="J11" s="108" t="s">
        <v>1673</v>
      </c>
      <c r="K11" s="24">
        <v>0</v>
      </c>
      <c r="L11" s="24" t="s">
        <v>1678</v>
      </c>
    </row>
    <row r="12" spans="1:12" ht="15.75">
      <c r="A12" s="24">
        <v>9</v>
      </c>
      <c r="B12" s="25">
        <v>1</v>
      </c>
      <c r="C12" s="25">
        <v>2023</v>
      </c>
      <c r="D12" s="25" t="s">
        <v>1665</v>
      </c>
      <c r="E12" s="25"/>
      <c r="F12" s="26" t="s">
        <v>1666</v>
      </c>
      <c r="G12" s="20" t="s">
        <v>1689</v>
      </c>
      <c r="H12" s="23" t="s">
        <v>711</v>
      </c>
      <c r="I12" s="24"/>
      <c r="J12" s="108" t="s">
        <v>1692</v>
      </c>
      <c r="K12" s="24">
        <v>0</v>
      </c>
      <c r="L12" s="24" t="s">
        <v>1678</v>
      </c>
    </row>
    <row r="13" spans="1:12" ht="28.5">
      <c r="A13" s="24">
        <v>10</v>
      </c>
      <c r="B13" s="25">
        <v>1</v>
      </c>
      <c r="C13" s="25">
        <v>2024</v>
      </c>
      <c r="D13" s="25" t="s">
        <v>1665</v>
      </c>
      <c r="E13" s="25"/>
      <c r="F13" s="26" t="s">
        <v>1666</v>
      </c>
      <c r="G13" s="20" t="s">
        <v>1689</v>
      </c>
      <c r="H13" s="23" t="s">
        <v>717</v>
      </c>
      <c r="I13" s="24"/>
      <c r="J13" s="108" t="s">
        <v>1692</v>
      </c>
      <c r="K13" s="24">
        <v>0</v>
      </c>
      <c r="L13" s="24" t="s">
        <v>1678</v>
      </c>
    </row>
    <row r="14" spans="1:12" ht="31.5">
      <c r="A14" s="24">
        <v>11</v>
      </c>
      <c r="B14" s="26">
        <v>2</v>
      </c>
      <c r="C14" s="26">
        <v>2023</v>
      </c>
      <c r="D14" s="26" t="s">
        <v>1665</v>
      </c>
      <c r="E14" s="26"/>
      <c r="F14" s="26" t="s">
        <v>1666</v>
      </c>
      <c r="G14" s="20" t="s">
        <v>1693</v>
      </c>
      <c r="H14" s="21" t="s">
        <v>1694</v>
      </c>
      <c r="I14" s="109">
        <v>45322</v>
      </c>
      <c r="J14" s="108" t="s">
        <v>1695</v>
      </c>
      <c r="K14" s="24">
        <v>80</v>
      </c>
      <c r="L14" s="24" t="s">
        <v>1664</v>
      </c>
    </row>
    <row r="15" spans="1:12" ht="44.25" customHeight="1">
      <c r="A15" s="24">
        <v>12</v>
      </c>
      <c r="B15" s="26">
        <v>2</v>
      </c>
      <c r="C15" s="26">
        <v>2023</v>
      </c>
      <c r="D15" s="26" t="s">
        <v>1665</v>
      </c>
      <c r="E15" s="26"/>
      <c r="F15" s="26" t="s">
        <v>1666</v>
      </c>
      <c r="G15" s="20" t="s">
        <v>1696</v>
      </c>
      <c r="H15" s="22" t="s">
        <v>1697</v>
      </c>
      <c r="I15" s="109">
        <v>45322</v>
      </c>
      <c r="J15" s="108" t="s">
        <v>1677</v>
      </c>
      <c r="K15" s="24">
        <v>0</v>
      </c>
      <c r="L15" s="24" t="s">
        <v>1678</v>
      </c>
    </row>
    <row r="16" spans="1:12" ht="45.75" customHeight="1">
      <c r="A16" s="24">
        <v>13</v>
      </c>
      <c r="B16" s="26">
        <v>2</v>
      </c>
      <c r="C16" s="26">
        <v>2023</v>
      </c>
      <c r="D16" s="26" t="s">
        <v>1665</v>
      </c>
      <c r="E16" s="26"/>
      <c r="F16" s="26" t="s">
        <v>1666</v>
      </c>
      <c r="G16" s="20" t="s">
        <v>1698</v>
      </c>
      <c r="H16" s="23" t="s">
        <v>693</v>
      </c>
      <c r="I16" s="24"/>
      <c r="J16" s="108" t="s">
        <v>1685</v>
      </c>
      <c r="K16" s="24">
        <v>0</v>
      </c>
      <c r="L16" s="24" t="s">
        <v>1678</v>
      </c>
    </row>
    <row r="17" spans="1:16" ht="15.75">
      <c r="A17" s="24">
        <v>14</v>
      </c>
      <c r="B17" s="26">
        <v>2</v>
      </c>
      <c r="C17" s="26">
        <v>2024</v>
      </c>
      <c r="D17" s="26" t="s">
        <v>217</v>
      </c>
      <c r="F17" s="26" t="s">
        <v>1661</v>
      </c>
      <c r="G17" s="20" t="s">
        <v>1689</v>
      </c>
      <c r="H17" s="23" t="s">
        <v>1200</v>
      </c>
      <c r="I17" s="24"/>
      <c r="J17" s="108" t="s">
        <v>1663</v>
      </c>
      <c r="K17" s="24">
        <v>0</v>
      </c>
      <c r="L17" s="24" t="s">
        <v>1678</v>
      </c>
    </row>
    <row r="18" spans="1:16" ht="29.25" customHeight="1">
      <c r="A18" s="24">
        <v>15</v>
      </c>
      <c r="B18" s="26">
        <v>2</v>
      </c>
      <c r="C18" s="26">
        <v>2024</v>
      </c>
      <c r="D18" s="26" t="s">
        <v>217</v>
      </c>
      <c r="F18" s="26" t="s">
        <v>1661</v>
      </c>
      <c r="G18" s="20" t="s">
        <v>1689</v>
      </c>
      <c r="H18" s="23" t="s">
        <v>1205</v>
      </c>
      <c r="I18" s="24"/>
      <c r="J18" s="108" t="s">
        <v>1663</v>
      </c>
      <c r="K18" s="24">
        <v>0</v>
      </c>
      <c r="L18" s="24" t="s">
        <v>1678</v>
      </c>
    </row>
    <row r="19" spans="1:16" ht="15.75">
      <c r="A19" s="24">
        <v>16</v>
      </c>
      <c r="B19" s="26">
        <v>2</v>
      </c>
      <c r="C19" s="26">
        <v>2024</v>
      </c>
      <c r="D19" s="26" t="s">
        <v>218</v>
      </c>
      <c r="E19" s="26"/>
      <c r="F19" s="26" t="s">
        <v>1671</v>
      </c>
      <c r="G19" s="20" t="s">
        <v>1689</v>
      </c>
      <c r="H19" s="23" t="s">
        <v>713</v>
      </c>
      <c r="I19" s="24"/>
      <c r="J19" s="108" t="s">
        <v>1673</v>
      </c>
      <c r="K19" s="24">
        <v>0</v>
      </c>
      <c r="L19" s="24" t="s">
        <v>1699</v>
      </c>
    </row>
    <row r="20" spans="1:16" ht="27" customHeight="1">
      <c r="A20" s="24">
        <v>17</v>
      </c>
      <c r="B20" s="26">
        <v>3</v>
      </c>
      <c r="C20" s="26">
        <v>2024</v>
      </c>
      <c r="D20" s="26" t="s">
        <v>1665</v>
      </c>
      <c r="E20" s="26"/>
      <c r="F20" s="26" t="s">
        <v>1666</v>
      </c>
      <c r="G20" s="20" t="s">
        <v>1689</v>
      </c>
      <c r="H20" s="23" t="s">
        <v>728</v>
      </c>
      <c r="I20" s="24"/>
      <c r="J20" s="108" t="s">
        <v>1692</v>
      </c>
      <c r="K20" s="24">
        <v>0</v>
      </c>
      <c r="L20" s="24" t="s">
        <v>1686</v>
      </c>
    </row>
    <row r="21" spans="1:16" ht="15.75">
      <c r="A21" s="24">
        <v>18</v>
      </c>
      <c r="B21" s="26">
        <v>3</v>
      </c>
      <c r="C21" s="26">
        <v>2024</v>
      </c>
      <c r="D21" s="26" t="s">
        <v>218</v>
      </c>
      <c r="E21" s="26"/>
      <c r="F21" s="26" t="s">
        <v>1671</v>
      </c>
      <c r="G21" s="20" t="s">
        <v>1689</v>
      </c>
      <c r="H21" s="23" t="s">
        <v>1700</v>
      </c>
      <c r="I21" s="24"/>
      <c r="J21" s="108" t="s">
        <v>1673</v>
      </c>
      <c r="K21" s="24">
        <v>0</v>
      </c>
      <c r="L21" s="24" t="s">
        <v>1678</v>
      </c>
    </row>
    <row r="22" spans="1:16" ht="28.5">
      <c r="A22" s="24">
        <v>19</v>
      </c>
      <c r="B22" s="26">
        <v>5</v>
      </c>
      <c r="C22" s="26">
        <v>2024</v>
      </c>
      <c r="D22" s="26" t="s">
        <v>218</v>
      </c>
      <c r="E22" s="26"/>
      <c r="F22" s="26" t="s">
        <v>1671</v>
      </c>
      <c r="G22" s="20" t="s">
        <v>1689</v>
      </c>
      <c r="H22" s="23" t="s">
        <v>1701</v>
      </c>
      <c r="I22" s="24"/>
      <c r="J22" s="108" t="s">
        <v>1673</v>
      </c>
      <c r="K22" s="24">
        <v>0</v>
      </c>
      <c r="L22" s="24" t="s">
        <v>1699</v>
      </c>
    </row>
    <row r="23" spans="1:16" ht="34.5" customHeight="1">
      <c r="A23" s="24">
        <v>20</v>
      </c>
      <c r="B23" s="26">
        <v>3</v>
      </c>
      <c r="C23" s="26">
        <v>2024</v>
      </c>
      <c r="D23" s="26" t="s">
        <v>218</v>
      </c>
      <c r="E23" s="26"/>
      <c r="F23" s="26" t="s">
        <v>1671</v>
      </c>
      <c r="G23" s="20" t="s">
        <v>1689</v>
      </c>
      <c r="H23" s="23" t="s">
        <v>703</v>
      </c>
      <c r="I23" s="24"/>
      <c r="J23" s="108" t="s">
        <v>1673</v>
      </c>
      <c r="K23" s="24">
        <v>0</v>
      </c>
      <c r="L23" s="24" t="s">
        <v>1699</v>
      </c>
    </row>
    <row r="24" spans="1:16" ht="15.75">
      <c r="A24" s="24">
        <v>21</v>
      </c>
      <c r="B24" s="27">
        <v>4</v>
      </c>
      <c r="C24" s="26">
        <v>2024</v>
      </c>
      <c r="D24" s="27" t="s">
        <v>1702</v>
      </c>
      <c r="E24" s="27"/>
      <c r="F24" s="26" t="s">
        <v>1666</v>
      </c>
      <c r="G24" s="20" t="s">
        <v>1689</v>
      </c>
      <c r="H24" s="23" t="s">
        <v>698</v>
      </c>
      <c r="I24" s="24"/>
      <c r="J24" s="108" t="s">
        <v>1692</v>
      </c>
      <c r="K24" s="24">
        <v>0</v>
      </c>
      <c r="L24" s="24" t="s">
        <v>1678</v>
      </c>
    </row>
    <row r="25" spans="1:16" ht="32.25" customHeight="1">
      <c r="A25" s="24">
        <v>22</v>
      </c>
      <c r="B25" s="27">
        <v>4</v>
      </c>
      <c r="C25" s="26">
        <v>2024</v>
      </c>
      <c r="D25" s="27" t="s">
        <v>1702</v>
      </c>
      <c r="E25" s="27"/>
      <c r="F25" s="26" t="s">
        <v>1666</v>
      </c>
      <c r="G25" s="20" t="s">
        <v>1689</v>
      </c>
      <c r="H25" s="23" t="s">
        <v>709</v>
      </c>
      <c r="I25" s="24"/>
      <c r="J25" s="108" t="s">
        <v>1692</v>
      </c>
      <c r="K25" s="24">
        <v>0</v>
      </c>
      <c r="L25" s="24" t="s">
        <v>1678</v>
      </c>
      <c r="M25" s="107"/>
      <c r="N25" s="107"/>
      <c r="O25" s="107"/>
      <c r="P25" s="107"/>
    </row>
    <row r="27" spans="1:16" ht="15.75">
      <c r="B27" s="106" t="s">
        <v>1703</v>
      </c>
      <c r="C27" s="106"/>
      <c r="D27" s="106"/>
      <c r="E27" s="106"/>
      <c r="F27" s="106"/>
    </row>
    <row r="28" spans="1:16" ht="15.75">
      <c r="B28" s="106"/>
      <c r="C28" s="106"/>
      <c r="D28" s="106"/>
      <c r="E28" s="106"/>
      <c r="F28" s="106"/>
    </row>
    <row r="29" spans="1:16" ht="15.75">
      <c r="B29" s="106"/>
      <c r="C29" s="106"/>
      <c r="D29" s="106"/>
      <c r="E29" s="106"/>
      <c r="F29" s="106"/>
    </row>
    <row r="30" spans="1:16" ht="15.75">
      <c r="B30" s="106"/>
      <c r="C30" s="106"/>
      <c r="D30" s="106"/>
      <c r="E30" s="106"/>
      <c r="F30" s="106"/>
    </row>
    <row r="31" spans="1:16" ht="15.75">
      <c r="B31" s="106" t="s">
        <v>1703</v>
      </c>
      <c r="C31" s="106"/>
      <c r="D31" s="106"/>
      <c r="E31" s="106"/>
      <c r="F31" s="106"/>
    </row>
    <row r="32" spans="1:16" ht="15.75">
      <c r="B32" s="106"/>
      <c r="C32" s="106"/>
      <c r="D32" s="106"/>
      <c r="E32" s="106"/>
      <c r="F32" s="106"/>
    </row>
  </sheetData>
  <autoFilter ref="B3:L23" xr:uid="{00000000-0009-0000-0000-000007000000}">
    <sortState xmlns:xlrd2="http://schemas.microsoft.com/office/spreadsheetml/2017/richdata2" ref="B4:L25">
      <sortCondition ref="B3:B23"/>
    </sortState>
  </autoFilter>
  <pageMargins left="0.7" right="0.7" top="0.75" bottom="0.75" header="0.3" footer="0.3"/>
  <pageSetup paperSize="9" orientation="portrait" horizontalDpi="200" verticalDpi="200"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52"/>
  <sheetViews>
    <sheetView workbookViewId="0">
      <selection activeCell="F9" sqref="F9"/>
    </sheetView>
  </sheetViews>
  <sheetFormatPr baseColWidth="10" defaultColWidth="11.3984375" defaultRowHeight="14.25"/>
  <cols>
    <col min="1" max="1" width="13.1328125" bestFit="1" customWidth="1"/>
    <col min="2" max="2" width="16.59765625" hidden="1" customWidth="1"/>
    <col min="3" max="3" width="83.3984375" style="5" customWidth="1"/>
    <col min="4" max="4" width="4.86328125" hidden="1" customWidth="1"/>
    <col min="5" max="5" width="6.1328125" hidden="1" customWidth="1"/>
    <col min="6" max="6" width="69.3984375" customWidth="1"/>
  </cols>
  <sheetData>
    <row r="1" spans="1:6" ht="18">
      <c r="A1" s="69" t="s">
        <v>89</v>
      </c>
      <c r="B1" s="39"/>
      <c r="C1" s="126" t="s">
        <v>85</v>
      </c>
      <c r="D1" s="35"/>
      <c r="F1" s="69" t="s">
        <v>1704</v>
      </c>
    </row>
    <row r="2" spans="1:6">
      <c r="A2" s="33">
        <v>1</v>
      </c>
      <c r="B2" s="36" t="s">
        <v>1397</v>
      </c>
      <c r="C2" s="125" t="s">
        <v>1401</v>
      </c>
      <c r="D2" s="53">
        <v>1</v>
      </c>
      <c r="E2" s="123" t="s">
        <v>1372</v>
      </c>
      <c r="F2" s="33" t="s">
        <v>1705</v>
      </c>
    </row>
    <row r="3" spans="1:6">
      <c r="A3" s="124" t="s">
        <v>1706</v>
      </c>
      <c r="B3" s="36"/>
      <c r="C3" s="119" t="s">
        <v>1056</v>
      </c>
      <c r="D3" s="52"/>
      <c r="E3" s="123"/>
      <c r="F3" s="33"/>
    </row>
    <row r="4" spans="1:6">
      <c r="A4" s="124" t="s">
        <v>1707</v>
      </c>
      <c r="B4" s="36"/>
      <c r="C4" s="119" t="s">
        <v>1417</v>
      </c>
      <c r="D4" s="52"/>
      <c r="E4" s="123"/>
      <c r="F4" s="33"/>
    </row>
    <row r="5" spans="1:6">
      <c r="A5" s="33">
        <v>2</v>
      </c>
      <c r="B5" s="36" t="s">
        <v>1397</v>
      </c>
      <c r="C5" s="114" t="s">
        <v>1046</v>
      </c>
      <c r="D5" s="48">
        <v>3</v>
      </c>
      <c r="E5" t="s">
        <v>1359</v>
      </c>
      <c r="F5" s="33" t="s">
        <v>1708</v>
      </c>
    </row>
    <row r="6" spans="1:6">
      <c r="A6" s="33">
        <v>3</v>
      </c>
      <c r="B6" s="36" t="s">
        <v>1397</v>
      </c>
      <c r="C6" s="122" t="s">
        <v>1049</v>
      </c>
      <c r="D6" s="32" t="s">
        <v>1398</v>
      </c>
      <c r="E6" t="s">
        <v>1709</v>
      </c>
      <c r="F6" s="33" t="s">
        <v>1710</v>
      </c>
    </row>
    <row r="7" spans="1:6">
      <c r="A7" s="33">
        <v>4</v>
      </c>
      <c r="B7" s="36" t="s">
        <v>1371</v>
      </c>
      <c r="C7" s="122" t="s">
        <v>1418</v>
      </c>
      <c r="D7" s="32" t="s">
        <v>1398</v>
      </c>
      <c r="E7" t="s">
        <v>1709</v>
      </c>
      <c r="F7" s="33" t="s">
        <v>1711</v>
      </c>
    </row>
    <row r="8" spans="1:6" ht="28.5">
      <c r="A8" s="33">
        <v>5</v>
      </c>
      <c r="B8" s="36" t="s">
        <v>1371</v>
      </c>
      <c r="C8" s="114" t="s">
        <v>1057</v>
      </c>
      <c r="D8" s="59">
        <v>3</v>
      </c>
      <c r="E8" t="s">
        <v>1359</v>
      </c>
      <c r="F8" s="47" t="s">
        <v>1712</v>
      </c>
    </row>
    <row r="9" spans="1:6">
      <c r="A9" s="33">
        <v>6</v>
      </c>
      <c r="B9" s="36" t="s">
        <v>1371</v>
      </c>
      <c r="C9" s="122" t="s">
        <v>1055</v>
      </c>
      <c r="D9" s="57">
        <v>4</v>
      </c>
      <c r="E9" t="s">
        <v>1342</v>
      </c>
      <c r="F9" s="33"/>
    </row>
    <row r="10" spans="1:6">
      <c r="A10" s="33">
        <v>7</v>
      </c>
      <c r="B10" s="36" t="s">
        <v>1371</v>
      </c>
      <c r="C10" s="114" t="s">
        <v>1054</v>
      </c>
      <c r="D10" s="46">
        <v>4</v>
      </c>
      <c r="E10" t="s">
        <v>1359</v>
      </c>
      <c r="F10" s="33" t="s">
        <v>1713</v>
      </c>
    </row>
    <row r="11" spans="1:6">
      <c r="A11" s="33">
        <v>8</v>
      </c>
      <c r="B11" s="36" t="s">
        <v>1371</v>
      </c>
      <c r="C11" s="122" t="s">
        <v>591</v>
      </c>
      <c r="D11" s="63">
        <v>1</v>
      </c>
      <c r="E11" t="s">
        <v>1359</v>
      </c>
      <c r="F11" s="33" t="s">
        <v>1714</v>
      </c>
    </row>
    <row r="12" spans="1:6">
      <c r="A12" s="33">
        <v>9</v>
      </c>
      <c r="B12" s="36"/>
      <c r="C12" s="114" t="s">
        <v>1715</v>
      </c>
      <c r="D12" s="33"/>
      <c r="F12" s="33" t="s">
        <v>1716</v>
      </c>
    </row>
    <row r="13" spans="1:6">
      <c r="A13" s="33">
        <v>10</v>
      </c>
      <c r="B13" s="36" t="s">
        <v>1371</v>
      </c>
      <c r="C13" s="114" t="s">
        <v>594</v>
      </c>
      <c r="D13" s="67">
        <v>1</v>
      </c>
      <c r="E13" t="s">
        <v>1359</v>
      </c>
      <c r="F13" s="33"/>
    </row>
    <row r="14" spans="1:6">
      <c r="A14" s="33">
        <v>11</v>
      </c>
      <c r="B14" s="36"/>
      <c r="C14" s="114" t="s">
        <v>1717</v>
      </c>
      <c r="D14" s="33"/>
      <c r="F14" s="33"/>
    </row>
    <row r="15" spans="1:6">
      <c r="A15" s="33">
        <v>12</v>
      </c>
      <c r="B15" s="36" t="s">
        <v>1397</v>
      </c>
      <c r="C15" s="114" t="s">
        <v>588</v>
      </c>
      <c r="D15" s="32" t="s">
        <v>1398</v>
      </c>
      <c r="E15" t="s">
        <v>1709</v>
      </c>
      <c r="F15" s="33" t="s">
        <v>1718</v>
      </c>
    </row>
    <row r="16" spans="1:6">
      <c r="A16" s="33">
        <v>13</v>
      </c>
      <c r="B16" s="36" t="s">
        <v>1371</v>
      </c>
      <c r="C16" s="114" t="s">
        <v>1719</v>
      </c>
      <c r="D16" s="46">
        <v>4</v>
      </c>
      <c r="E16" t="s">
        <v>1359</v>
      </c>
      <c r="F16" s="33"/>
    </row>
    <row r="17" spans="1:6">
      <c r="A17" s="33">
        <v>14</v>
      </c>
      <c r="B17" s="36" t="s">
        <v>1371</v>
      </c>
      <c r="C17" s="114" t="s">
        <v>586</v>
      </c>
      <c r="D17" s="46">
        <v>4</v>
      </c>
      <c r="E17" t="s">
        <v>1359</v>
      </c>
      <c r="F17" s="33" t="s">
        <v>1720</v>
      </c>
    </row>
    <row r="18" spans="1:6">
      <c r="A18" s="33">
        <v>15</v>
      </c>
      <c r="B18" s="36"/>
      <c r="C18" s="77" t="s">
        <v>1721</v>
      </c>
      <c r="D18" s="63"/>
      <c r="F18" s="47" t="s">
        <v>1722</v>
      </c>
    </row>
    <row r="19" spans="1:6">
      <c r="A19" s="33">
        <v>16</v>
      </c>
      <c r="B19" s="36" t="s">
        <v>1371</v>
      </c>
      <c r="C19" s="114" t="s">
        <v>585</v>
      </c>
      <c r="D19" s="32" t="s">
        <v>1398</v>
      </c>
      <c r="E19" t="s">
        <v>1709</v>
      </c>
      <c r="F19" s="33" t="s">
        <v>1723</v>
      </c>
    </row>
    <row r="20" spans="1:6">
      <c r="A20" s="33">
        <v>17</v>
      </c>
      <c r="B20" s="36" t="s">
        <v>1397</v>
      </c>
      <c r="C20" s="114" t="s">
        <v>1173</v>
      </c>
      <c r="D20" s="35" t="s">
        <v>1398</v>
      </c>
      <c r="E20" t="s">
        <v>1709</v>
      </c>
      <c r="F20" s="33" t="s">
        <v>1724</v>
      </c>
    </row>
    <row r="21" spans="1:6">
      <c r="A21" s="33">
        <v>18</v>
      </c>
      <c r="B21" s="36"/>
      <c r="C21" s="121" t="s">
        <v>1725</v>
      </c>
      <c r="D21" s="33"/>
      <c r="F21" s="33"/>
    </row>
    <row r="22" spans="1:6">
      <c r="A22" s="33">
        <v>19</v>
      </c>
      <c r="B22" s="36" t="s">
        <v>1397</v>
      </c>
      <c r="C22" s="114" t="s">
        <v>589</v>
      </c>
      <c r="D22" s="67">
        <v>1</v>
      </c>
      <c r="E22" t="s">
        <v>1359</v>
      </c>
      <c r="F22" s="33" t="s">
        <v>1726</v>
      </c>
    </row>
    <row r="23" spans="1:6">
      <c r="A23" s="33">
        <v>20</v>
      </c>
      <c r="B23" s="36" t="s">
        <v>1371</v>
      </c>
      <c r="C23" s="114" t="s">
        <v>580</v>
      </c>
      <c r="D23" s="46">
        <v>4</v>
      </c>
      <c r="E23" t="s">
        <v>1359</v>
      </c>
      <c r="F23" s="118" t="s">
        <v>1727</v>
      </c>
    </row>
    <row r="24" spans="1:6">
      <c r="A24" s="33">
        <v>21</v>
      </c>
      <c r="B24" s="33"/>
      <c r="C24" s="114" t="s">
        <v>1728</v>
      </c>
      <c r="D24" s="33"/>
      <c r="F24" s="33"/>
    </row>
    <row r="25" spans="1:6">
      <c r="A25" s="33">
        <v>22</v>
      </c>
      <c r="B25" s="36"/>
      <c r="C25" s="114" t="s">
        <v>1052</v>
      </c>
      <c r="D25" s="32"/>
      <c r="F25" s="120" t="s">
        <v>1729</v>
      </c>
    </row>
    <row r="26" spans="1:6" ht="28.5">
      <c r="A26" s="33">
        <v>23</v>
      </c>
      <c r="B26" s="36" t="s">
        <v>1371</v>
      </c>
      <c r="C26" s="77" t="s">
        <v>593</v>
      </c>
      <c r="D26" s="63">
        <v>1</v>
      </c>
      <c r="E26" t="s">
        <v>1359</v>
      </c>
      <c r="F26" s="47" t="s">
        <v>1730</v>
      </c>
    </row>
    <row r="27" spans="1:6">
      <c r="A27" s="33">
        <v>24</v>
      </c>
      <c r="B27" s="36"/>
      <c r="C27" s="119" t="s">
        <v>1731</v>
      </c>
      <c r="D27" s="63"/>
      <c r="F27" s="33" t="s">
        <v>1732</v>
      </c>
    </row>
    <row r="28" spans="1:6">
      <c r="A28" s="33">
        <v>25</v>
      </c>
      <c r="B28" s="36" t="s">
        <v>1397</v>
      </c>
      <c r="C28" s="114" t="s">
        <v>1400</v>
      </c>
      <c r="D28" s="34" t="s">
        <v>1072</v>
      </c>
      <c r="E28" t="s">
        <v>1372</v>
      </c>
      <c r="F28" s="33" t="s">
        <v>1733</v>
      </c>
    </row>
    <row r="29" spans="1:6">
      <c r="A29" s="33">
        <v>26</v>
      </c>
      <c r="B29" s="36" t="s">
        <v>1397</v>
      </c>
      <c r="C29" s="114" t="s">
        <v>584</v>
      </c>
      <c r="D29" s="30" t="s">
        <v>1398</v>
      </c>
      <c r="E29" t="s">
        <v>1709</v>
      </c>
      <c r="F29" s="118" t="s">
        <v>1734</v>
      </c>
    </row>
    <row r="32" spans="1:6">
      <c r="A32" s="33"/>
      <c r="B32" s="4"/>
      <c r="C32" s="117" t="s">
        <v>1735</v>
      </c>
      <c r="D32" s="33"/>
      <c r="E32" s="33"/>
      <c r="F32" s="33" t="s">
        <v>1736</v>
      </c>
    </row>
    <row r="33" spans="1:6">
      <c r="A33" s="33"/>
      <c r="C33" s="116" t="s">
        <v>696</v>
      </c>
      <c r="D33" s="33"/>
      <c r="E33" s="36"/>
      <c r="F33" s="33" t="s">
        <v>1737</v>
      </c>
    </row>
    <row r="34" spans="1:6">
      <c r="A34" s="33"/>
      <c r="C34" s="116" t="s">
        <v>1738</v>
      </c>
      <c r="D34" s="33"/>
      <c r="E34" s="36"/>
      <c r="F34" s="33"/>
    </row>
    <row r="35" spans="1:6">
      <c r="A35" s="33"/>
      <c r="C35" s="116" t="s">
        <v>1739</v>
      </c>
      <c r="D35" s="33"/>
      <c r="E35" s="36"/>
      <c r="F35" s="33"/>
    </row>
    <row r="36" spans="1:6">
      <c r="C36" s="115" t="s">
        <v>836</v>
      </c>
      <c r="E36" s="4"/>
    </row>
    <row r="39" spans="1:6" hidden="1">
      <c r="B39" s="36" t="s">
        <v>1397</v>
      </c>
      <c r="C39" s="114" t="s">
        <v>1402</v>
      </c>
      <c r="D39" s="67">
        <v>1</v>
      </c>
      <c r="E39" t="s">
        <v>1359</v>
      </c>
      <c r="F39" t="s">
        <v>665</v>
      </c>
    </row>
    <row r="40" spans="1:6" hidden="1">
      <c r="B40" s="36" t="s">
        <v>1397</v>
      </c>
      <c r="C40" s="114" t="s">
        <v>1404</v>
      </c>
      <c r="D40" s="35" t="s">
        <v>1398</v>
      </c>
      <c r="E40" t="s">
        <v>1709</v>
      </c>
      <c r="F40" t="s">
        <v>665</v>
      </c>
    </row>
    <row r="41" spans="1:6" hidden="1">
      <c r="B41" s="36" t="s">
        <v>1397</v>
      </c>
      <c r="C41" s="114" t="s">
        <v>1405</v>
      </c>
      <c r="D41" s="35" t="s">
        <v>1398</v>
      </c>
      <c r="E41" t="s">
        <v>1709</v>
      </c>
      <c r="F41" t="s">
        <v>665</v>
      </c>
    </row>
    <row r="42" spans="1:6" hidden="1">
      <c r="B42" s="36" t="s">
        <v>1397</v>
      </c>
      <c r="C42" s="114" t="s">
        <v>1406</v>
      </c>
      <c r="D42" s="35" t="s">
        <v>1398</v>
      </c>
      <c r="E42" t="s">
        <v>1709</v>
      </c>
      <c r="F42" t="s">
        <v>665</v>
      </c>
    </row>
    <row r="43" spans="1:6" hidden="1">
      <c r="C43" s="5" t="s">
        <v>1740</v>
      </c>
      <c r="F43" t="s">
        <v>763</v>
      </c>
    </row>
    <row r="44" spans="1:6" hidden="1">
      <c r="C44" s="5" t="s">
        <v>1741</v>
      </c>
      <c r="F44" t="s">
        <v>835</v>
      </c>
    </row>
    <row r="45" spans="1:6" hidden="1">
      <c r="C45" s="5" t="s">
        <v>1742</v>
      </c>
      <c r="F45" t="s">
        <v>762</v>
      </c>
    </row>
    <row r="46" spans="1:6" hidden="1">
      <c r="C46" s="5" t="s">
        <v>1743</v>
      </c>
      <c r="F46" t="s">
        <v>1374</v>
      </c>
    </row>
    <row r="47" spans="1:6" hidden="1">
      <c r="B47" s="36" t="s">
        <v>1371</v>
      </c>
      <c r="C47" s="114" t="s">
        <v>1409</v>
      </c>
      <c r="D47" s="46">
        <v>4</v>
      </c>
      <c r="E47" t="s">
        <v>1359</v>
      </c>
      <c r="F47" t="s">
        <v>835</v>
      </c>
    </row>
    <row r="48" spans="1:6" hidden="1">
      <c r="B48" s="36" t="s">
        <v>1371</v>
      </c>
      <c r="C48" s="114" t="s">
        <v>1410</v>
      </c>
      <c r="D48" s="46">
        <v>4</v>
      </c>
      <c r="E48" t="s">
        <v>1359</v>
      </c>
      <c r="F48" t="s">
        <v>763</v>
      </c>
    </row>
    <row r="49" spans="2:6" hidden="1">
      <c r="B49" s="36" t="s">
        <v>1371</v>
      </c>
      <c r="C49" s="114" t="s">
        <v>1412</v>
      </c>
      <c r="D49" s="46">
        <v>4</v>
      </c>
      <c r="E49" t="s">
        <v>1359</v>
      </c>
      <c r="F49" t="s">
        <v>665</v>
      </c>
    </row>
    <row r="50" spans="2:6" hidden="1">
      <c r="B50" s="36" t="s">
        <v>1371</v>
      </c>
      <c r="C50" s="114" t="s">
        <v>1413</v>
      </c>
      <c r="D50" s="46">
        <v>4</v>
      </c>
      <c r="E50" t="s">
        <v>1359</v>
      </c>
      <c r="F50" t="s">
        <v>665</v>
      </c>
    </row>
    <row r="51" spans="2:6" hidden="1">
      <c r="B51" s="36" t="s">
        <v>1371</v>
      </c>
      <c r="C51" s="114" t="s">
        <v>1414</v>
      </c>
      <c r="D51" s="46">
        <v>4</v>
      </c>
      <c r="E51" t="s">
        <v>1359</v>
      </c>
      <c r="F51" t="s">
        <v>665</v>
      </c>
    </row>
    <row r="52" spans="2:6" hidden="1">
      <c r="B52" s="36" t="s">
        <v>1371</v>
      </c>
      <c r="C52" s="114" t="s">
        <v>1415</v>
      </c>
      <c r="D52" s="46">
        <v>4</v>
      </c>
      <c r="E52" t="s">
        <v>1359</v>
      </c>
      <c r="F52" t="s">
        <v>665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FA158746CF1D204E93D90B094C458BEC" ma:contentTypeVersion="6" ma:contentTypeDescription="Crear nuevo documento." ma:contentTypeScope="" ma:versionID="a15b5e4566600783ed67ecae70b54687">
  <xsd:schema xmlns:xsd="http://www.w3.org/2001/XMLSchema" xmlns:xs="http://www.w3.org/2001/XMLSchema" xmlns:p="http://schemas.microsoft.com/office/2006/metadata/properties" xmlns:ns2="25aac2ad-06d8-411b-b855-f2fd4e3d61ff" xmlns:ns3="c3eddd45-9354-481b-a9ff-f946339faca5" targetNamespace="http://schemas.microsoft.com/office/2006/metadata/properties" ma:root="true" ma:fieldsID="87fd2ed837e5a62aec2443e838d1efea" ns2:_="" ns3:_="">
    <xsd:import namespace="25aac2ad-06d8-411b-b855-f2fd4e3d61ff"/>
    <xsd:import namespace="c3eddd45-9354-481b-a9ff-f946339faca5"/>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aac2ad-06d8-411b-b855-f2fd4e3d61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eddd45-9354-481b-a9ff-f946339faca5" elementFormDefault="qualified">
    <xsd:import namespace="http://schemas.microsoft.com/office/2006/documentManagement/types"/>
    <xsd:import namespace="http://schemas.microsoft.com/office/infopath/2007/PartnerControls"/>
    <xsd:element name="SharedWithUsers" ma:index="1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919674-8C07-4794-B5BF-4ED1BE6EBFC0}">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2ED3AD88-E556-4D03-AC1E-50F80259F31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aac2ad-06d8-411b-b855-f2fd4e3d61ff"/>
    <ds:schemaRef ds:uri="c3eddd45-9354-481b-a9ff-f946339faca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134D1B1-ED23-4E98-B2DD-9E313743B1E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44</vt:i4>
      </vt:variant>
    </vt:vector>
  </HeadingPairs>
  <TitlesOfParts>
    <vt:vector size="44" baseType="lpstr">
      <vt:lpstr>Hoja6</vt:lpstr>
      <vt:lpstr>Hoja2</vt:lpstr>
      <vt:lpstr>BASE</vt:lpstr>
      <vt:lpstr>Hoja7</vt:lpstr>
      <vt:lpstr>Hoja4</vt:lpstr>
      <vt:lpstr>Hoja3</vt:lpstr>
      <vt:lpstr>Hoja1</vt:lpstr>
      <vt:lpstr>OPER</vt:lpstr>
      <vt:lpstr>Contabilidad y SAP</vt:lpstr>
      <vt:lpstr>Resumen ABR</vt:lpstr>
      <vt:lpstr>Regional ABR</vt:lpstr>
      <vt:lpstr>Local ABR</vt:lpstr>
      <vt:lpstr>Sis. Internos</vt:lpstr>
      <vt:lpstr>Revisar</vt:lpstr>
      <vt:lpstr>Hoja5</vt:lpstr>
      <vt:lpstr>Resumen</vt:lpstr>
      <vt:lpstr>Plant</vt:lpstr>
      <vt:lpstr>Detalle2</vt:lpstr>
      <vt:lpstr>Detalle3</vt:lpstr>
      <vt:lpstr>Detalle4</vt:lpstr>
      <vt:lpstr>Detalle5</vt:lpstr>
      <vt:lpstr>Detalle6</vt:lpstr>
      <vt:lpstr>Detalle7</vt:lpstr>
      <vt:lpstr>Detalle8</vt:lpstr>
      <vt:lpstr>Canales</vt:lpstr>
      <vt:lpstr>Mxp</vt:lpstr>
      <vt:lpstr>Detalle9</vt:lpstr>
      <vt:lpstr>SIR</vt:lpstr>
      <vt:lpstr>VE</vt:lpstr>
      <vt:lpstr>ERP</vt:lpstr>
      <vt:lpstr>Detalle1</vt:lpstr>
      <vt:lpstr>CL</vt:lpstr>
      <vt:lpstr>AR</vt:lpstr>
      <vt:lpstr>ES</vt:lpstr>
      <vt:lpstr>BI</vt:lpstr>
      <vt:lpstr>CO</vt:lpstr>
      <vt:lpstr>A6 Contabilidad</vt:lpstr>
      <vt:lpstr>Nuevo A3</vt:lpstr>
      <vt:lpstr>A2 Operaciones MXP</vt:lpstr>
      <vt:lpstr>Gant TD</vt:lpstr>
      <vt:lpstr>A3 mto mxp</vt:lpstr>
      <vt:lpstr>A1 TD</vt:lpstr>
      <vt:lpstr>A5 Audit</vt:lpstr>
      <vt:lpstr>A4 operaciones sir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Cesar Siguenza</dc:creator>
  <cp:keywords/>
  <dc:description/>
  <cp:lastModifiedBy>Luis Salazar</cp:lastModifiedBy>
  <cp:revision/>
  <dcterms:created xsi:type="dcterms:W3CDTF">2024-01-22T13:46:25Z</dcterms:created>
  <dcterms:modified xsi:type="dcterms:W3CDTF">2024-05-03T22:54:27Z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0x010100FA158746CF1D204E93D90B094C458BEC</vt:lpwstr>
  </property>
</Properties>
</file>