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5\"/>
    </mc:Choice>
  </mc:AlternateContent>
  <xr:revisionPtr revIDLastSave="0" documentId="13_ncr:1_{FAF085C7-AC10-4030-9663-20A09988DE1F}" xr6:coauthVersionLast="47" xr6:coauthVersionMax="47" xr10:uidLastSave="{00000000-0000-0000-0000-000000000000}"/>
  <bookViews>
    <workbookView xWindow="-108" yWindow="-108" windowWidth="23256" windowHeight="12576" xr2:uid="{4487ACED-7675-497C-9C20-99B5491320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8" i="1" l="1"/>
  <c r="C127" i="1"/>
  <c r="B126" i="1"/>
  <c r="B121" i="1"/>
  <c r="B120" i="1"/>
  <c r="A114" i="1"/>
  <c r="A113" i="1"/>
  <c r="C108" i="1"/>
  <c r="C107" i="1"/>
  <c r="C103" i="1"/>
  <c r="D103" i="1" s="1"/>
  <c r="C96" i="1"/>
  <c r="C95" i="1"/>
  <c r="C94" i="1"/>
  <c r="C89" i="1"/>
  <c r="C90" i="1" s="1"/>
  <c r="C88" i="1"/>
  <c r="B81" i="1"/>
  <c r="C78" i="1"/>
  <c r="C77" i="1"/>
  <c r="C76" i="1"/>
  <c r="B75" i="1"/>
  <c r="B79" i="1" s="1"/>
  <c r="B60" i="1"/>
  <c r="B61" i="1" s="1"/>
  <c r="B57" i="1"/>
  <c r="B58" i="1" s="1"/>
  <c r="F53" i="1" s="1"/>
  <c r="C46" i="1"/>
  <c r="B46" i="1"/>
  <c r="C36" i="1"/>
  <c r="B36" i="1"/>
  <c r="C11" i="1"/>
  <c r="D11" i="1"/>
  <c r="B11" i="1"/>
  <c r="E78" i="1"/>
  <c r="E77" i="1"/>
  <c r="B72" i="1"/>
  <c r="B53" i="1"/>
  <c r="C35" i="1"/>
  <c r="C26" i="1"/>
  <c r="B35" i="1"/>
  <c r="B29" i="1"/>
  <c r="B23" i="1"/>
  <c r="D10" i="1"/>
  <c r="C10" i="1"/>
  <c r="D112" i="1"/>
  <c r="C114" i="1"/>
  <c r="C115" i="1" s="1"/>
  <c r="C116" i="1" s="1"/>
  <c r="C117" i="1" s="1"/>
  <c r="C118" i="1" s="1"/>
  <c r="B90" i="1"/>
  <c r="B97" i="1"/>
  <c r="E71" i="1"/>
  <c r="D70" i="1"/>
  <c r="E70" i="1" s="1"/>
  <c r="B54" i="1"/>
  <c r="B55" i="1" s="1"/>
  <c r="B56" i="1" s="1"/>
  <c r="C45" i="1"/>
  <c r="B45" i="1"/>
  <c r="B10" i="1"/>
  <c r="D109" i="1" l="1"/>
  <c r="C79" i="1"/>
  <c r="D76" i="1"/>
  <c r="D79" i="1"/>
  <c r="D90" i="1"/>
  <c r="E79" i="1"/>
  <c r="C72" i="1"/>
  <c r="F78" i="1"/>
  <c r="C97" i="1"/>
  <c r="D97" i="1" s="1"/>
  <c r="E72" i="1"/>
  <c r="D72" i="1"/>
</calcChain>
</file>

<file path=xl/sharedStrings.xml><?xml version="1.0" encoding="utf-8"?>
<sst xmlns="http://schemas.openxmlformats.org/spreadsheetml/2006/main" count="114" uniqueCount="70">
  <si>
    <t>Ejemplo 5.1</t>
  </si>
  <si>
    <t>TMAR</t>
  </si>
  <si>
    <t xml:space="preserve"> E. Eléctrica</t>
  </si>
  <si>
    <t>Gas</t>
  </si>
  <si>
    <t>E. Solar</t>
  </si>
  <si>
    <t>VP</t>
  </si>
  <si>
    <t>Ejemplo 5.2</t>
  </si>
  <si>
    <t>A</t>
  </si>
  <si>
    <t>B</t>
  </si>
  <si>
    <t>Ejemplo 5.3</t>
  </si>
  <si>
    <t>VP 3</t>
  </si>
  <si>
    <t>VF 3</t>
  </si>
  <si>
    <t>Falta</t>
  </si>
  <si>
    <t>VP 5</t>
  </si>
  <si>
    <t>VF 5</t>
  </si>
  <si>
    <t>Ejemplo 5.4</t>
  </si>
  <si>
    <t>i</t>
  </si>
  <si>
    <t>CC= A/i</t>
  </si>
  <si>
    <t>No recurrentes</t>
  </si>
  <si>
    <t>Recurrentes</t>
  </si>
  <si>
    <t>CC1</t>
  </si>
  <si>
    <t>CC2</t>
  </si>
  <si>
    <t>CC3</t>
  </si>
  <si>
    <t>CC4</t>
  </si>
  <si>
    <t>CC5</t>
  </si>
  <si>
    <t>CCT</t>
  </si>
  <si>
    <t>CC=A/i</t>
  </si>
  <si>
    <t>Ejemplo 5.5</t>
  </si>
  <si>
    <t>Puente Suspendido</t>
  </si>
  <si>
    <t>Puente Apuntalado</t>
  </si>
  <si>
    <t>Mantenimiento</t>
  </si>
  <si>
    <t>Ejemplo 5.6</t>
  </si>
  <si>
    <t>Alternativa LP</t>
  </si>
  <si>
    <t>Alternativa CP</t>
  </si>
  <si>
    <t>Ejemplo 5.7</t>
  </si>
  <si>
    <t>"nper"</t>
  </si>
  <si>
    <t>BONOS</t>
  </si>
  <si>
    <t>I</t>
  </si>
  <si>
    <t>Trimestre</t>
  </si>
  <si>
    <t>Al vencimiento</t>
  </si>
  <si>
    <t>Ejemplo 5.11</t>
  </si>
  <si>
    <t>PP</t>
  </si>
  <si>
    <t>PC</t>
  </si>
  <si>
    <t>semestre</t>
  </si>
  <si>
    <t>Semestre</t>
  </si>
  <si>
    <t>Pintura c/ 3años</t>
  </si>
  <si>
    <t>Renova c/ 10 años</t>
  </si>
  <si>
    <t>Sand Blast c/ 10años</t>
  </si>
  <si>
    <t>10 máquinas a/p</t>
  </si>
  <si>
    <t>costo operación</t>
  </si>
  <si>
    <t>Ejemplo 5.8</t>
  </si>
  <si>
    <t>Vp</t>
  </si>
  <si>
    <t>$5k</t>
  </si>
  <si>
    <t>$3K diferidos 4</t>
  </si>
  <si>
    <t>$15k a/f cada 13</t>
  </si>
  <si>
    <t>b.)</t>
  </si>
  <si>
    <t>anual perpetuo</t>
  </si>
  <si>
    <t>anualidad de $5k</t>
  </si>
  <si>
    <t>anuaidad de $8k perpetua</t>
  </si>
  <si>
    <t>.</t>
  </si>
  <si>
    <t>MCM</t>
  </si>
  <si>
    <t>Ejercicios Capítulo 5: VALOR PRESENTE</t>
  </si>
  <si>
    <t>selecciono el electrico, es  el más barato</t>
  </si>
  <si>
    <t>Selecciono la ubicación B, gasto menos</t>
  </si>
  <si>
    <t>Selecciono la ubicación A, gasto menos</t>
  </si>
  <si>
    <t>Hubiera perdido no conviene vender</t>
  </si>
  <si>
    <t>Si se desea vender dentro de 5 años</t>
  </si>
  <si>
    <t>oferta</t>
  </si>
  <si>
    <t>diferencia</t>
  </si>
  <si>
    <t>negativo pierdo, positivo 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</si>
</sst>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/>
    <xf numFmtId="164" fontId="0" fillId="2" borderId="0" xfId="0" applyNumberFormat="1" applyFill="1"/>
    <xf numFmtId="2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BAD-66A2-495F-A12B-51B3EF0CD913}">
  <dimension ref="A1:G128"/>
  <sheetViews>
    <sheetView tabSelected="1" topLeftCell="A115" zoomScale="110" zoomScaleNormal="110" workbookViewId="0">
      <selection activeCell="B127" sqref="B127"/>
    </sheetView>
  </sheetViews>
  <sheetFormatPr baseColWidth="10" defaultRowHeight="14.4" x14ac:dyDescent="0.3"/>
  <cols>
    <col min="2" max="2" width="20" style="1" bestFit="1" customWidth="1"/>
    <col min="3" max="3" width="16.88671875" style="1" bestFit="1" customWidth="1"/>
    <col min="4" max="4" width="25.33203125" style="1" bestFit="1" customWidth="1"/>
    <col min="5" max="5" width="13.109375" bestFit="1" customWidth="1"/>
    <col min="6" max="6" width="15.6640625" bestFit="1" customWidth="1"/>
  </cols>
  <sheetData>
    <row r="1" spans="1:6" x14ac:dyDescent="0.3">
      <c r="A1" t="s">
        <v>61</v>
      </c>
    </row>
    <row r="3" spans="1:6" x14ac:dyDescent="0.3">
      <c r="A3" t="s">
        <v>0</v>
      </c>
      <c r="C3" s="1" t="s">
        <v>1</v>
      </c>
      <c r="D3" s="2">
        <v>0.1</v>
      </c>
    </row>
    <row r="4" spans="1:6" x14ac:dyDescent="0.3">
      <c r="B4" s="3" t="s">
        <v>2</v>
      </c>
      <c r="C4" s="3" t="s">
        <v>3</v>
      </c>
      <c r="D4" s="3" t="s">
        <v>4</v>
      </c>
    </row>
    <row r="5" spans="1:6" x14ac:dyDescent="0.3">
      <c r="A5">
        <v>0</v>
      </c>
      <c r="B5" s="1">
        <v>-2500</v>
      </c>
      <c r="C5" s="1">
        <v>-3500</v>
      </c>
      <c r="D5" s="1">
        <v>-6000</v>
      </c>
    </row>
    <row r="6" spans="1:6" x14ac:dyDescent="0.3">
      <c r="A6">
        <v>1</v>
      </c>
      <c r="B6" s="1">
        <v>-900</v>
      </c>
      <c r="C6" s="1">
        <v>-700</v>
      </c>
      <c r="D6" s="1">
        <v>-50</v>
      </c>
    </row>
    <row r="7" spans="1:6" x14ac:dyDescent="0.3">
      <c r="A7">
        <v>2</v>
      </c>
      <c r="B7" s="1">
        <v>-900</v>
      </c>
      <c r="C7" s="1">
        <v>-700</v>
      </c>
      <c r="D7" s="1">
        <v>-50</v>
      </c>
    </row>
    <row r="8" spans="1:6" x14ac:dyDescent="0.3">
      <c r="A8">
        <v>3</v>
      </c>
      <c r="B8" s="1">
        <v>-900</v>
      </c>
      <c r="C8" s="1">
        <v>-700</v>
      </c>
      <c r="D8" s="1">
        <v>-50</v>
      </c>
    </row>
    <row r="9" spans="1:6" x14ac:dyDescent="0.3">
      <c r="A9">
        <v>4</v>
      </c>
      <c r="B9" s="1">
        <v>-900</v>
      </c>
      <c r="C9" s="1">
        <v>-700</v>
      </c>
      <c r="D9" s="1">
        <v>-50</v>
      </c>
    </row>
    <row r="10" spans="1:6" x14ac:dyDescent="0.3">
      <c r="A10">
        <v>5</v>
      </c>
      <c r="B10" s="1">
        <f>-900+200</f>
        <v>-700</v>
      </c>
      <c r="C10" s="1">
        <f>-700+350</f>
        <v>-350</v>
      </c>
      <c r="D10" s="1">
        <f>-50+100</f>
        <v>50</v>
      </c>
    </row>
    <row r="11" spans="1:6" x14ac:dyDescent="0.3">
      <c r="A11" t="s">
        <v>5</v>
      </c>
      <c r="B11" s="8">
        <f>NPV($D$3,B6:B10)+B5</f>
        <v>-5787.5238278557717</v>
      </c>
      <c r="C11" s="8">
        <f t="shared" ref="C11:D11" si="0">NPV($D$3,C6:C10)+C5</f>
        <v>-5936.2282755152091</v>
      </c>
      <c r="D11" s="8">
        <f t="shared" si="0"/>
        <v>-6127.4472061645065</v>
      </c>
      <c r="F11" t="s">
        <v>62</v>
      </c>
    </row>
    <row r="14" spans="1:6" x14ac:dyDescent="0.3">
      <c r="A14" t="s">
        <v>60</v>
      </c>
      <c r="B14" s="13">
        <v>18</v>
      </c>
    </row>
    <row r="15" spans="1:6" x14ac:dyDescent="0.3">
      <c r="A15" t="s">
        <v>6</v>
      </c>
      <c r="C15" s="1" t="s">
        <v>1</v>
      </c>
      <c r="D15" s="4">
        <v>0.15</v>
      </c>
    </row>
    <row r="16" spans="1:6" x14ac:dyDescent="0.3">
      <c r="B16" s="3" t="s">
        <v>7</v>
      </c>
      <c r="C16" s="3" t="s">
        <v>8</v>
      </c>
    </row>
    <row r="17" spans="1:3" x14ac:dyDescent="0.3">
      <c r="A17">
        <v>0</v>
      </c>
      <c r="B17" s="1">
        <v>-15000</v>
      </c>
      <c r="C17" s="1">
        <v>-18000</v>
      </c>
    </row>
    <row r="18" spans="1:3" x14ac:dyDescent="0.3">
      <c r="A18">
        <v>1</v>
      </c>
      <c r="B18" s="1">
        <v>-3500</v>
      </c>
      <c r="C18" s="1">
        <v>-3100</v>
      </c>
    </row>
    <row r="19" spans="1:3" x14ac:dyDescent="0.3">
      <c r="A19">
        <v>2</v>
      </c>
      <c r="B19" s="1">
        <v>-3500</v>
      </c>
      <c r="C19" s="1">
        <v>-3100</v>
      </c>
    </row>
    <row r="20" spans="1:3" x14ac:dyDescent="0.3">
      <c r="A20">
        <v>3</v>
      </c>
      <c r="B20" s="1">
        <v>-3500</v>
      </c>
      <c r="C20" s="1">
        <v>-3100</v>
      </c>
    </row>
    <row r="21" spans="1:3" x14ac:dyDescent="0.3">
      <c r="A21">
        <v>4</v>
      </c>
      <c r="B21" s="1">
        <v>-3500</v>
      </c>
      <c r="C21" s="1">
        <v>-3100</v>
      </c>
    </row>
    <row r="22" spans="1:3" x14ac:dyDescent="0.3">
      <c r="A22">
        <v>5</v>
      </c>
      <c r="B22" s="1">
        <v>-3500</v>
      </c>
      <c r="C22" s="1">
        <v>-3100</v>
      </c>
    </row>
    <row r="23" spans="1:3" x14ac:dyDescent="0.3">
      <c r="A23">
        <v>6</v>
      </c>
      <c r="B23" s="8">
        <f>-3500+1000-15000</f>
        <v>-17500</v>
      </c>
      <c r="C23" s="1">
        <v>-3100</v>
      </c>
    </row>
    <row r="24" spans="1:3" x14ac:dyDescent="0.3">
      <c r="A24">
        <v>7</v>
      </c>
      <c r="B24" s="1">
        <v>-3500</v>
      </c>
      <c r="C24" s="1">
        <v>-3100</v>
      </c>
    </row>
    <row r="25" spans="1:3" x14ac:dyDescent="0.3">
      <c r="A25">
        <v>8</v>
      </c>
      <c r="B25" s="1">
        <v>-3500</v>
      </c>
      <c r="C25" s="1">
        <v>-3100</v>
      </c>
    </row>
    <row r="26" spans="1:3" x14ac:dyDescent="0.3">
      <c r="A26">
        <v>9</v>
      </c>
      <c r="B26" s="1">
        <v>-3500</v>
      </c>
      <c r="C26" s="8">
        <f>-3100+2000-18000</f>
        <v>-19100</v>
      </c>
    </row>
    <row r="27" spans="1:3" x14ac:dyDescent="0.3">
      <c r="A27">
        <v>10</v>
      </c>
      <c r="B27" s="1">
        <v>-3500</v>
      </c>
      <c r="C27" s="1">
        <v>-3100</v>
      </c>
    </row>
    <row r="28" spans="1:3" x14ac:dyDescent="0.3">
      <c r="A28">
        <v>11</v>
      </c>
      <c r="B28" s="1">
        <v>-3500</v>
      </c>
      <c r="C28" s="1">
        <v>-3100</v>
      </c>
    </row>
    <row r="29" spans="1:3" x14ac:dyDescent="0.3">
      <c r="A29">
        <v>12</v>
      </c>
      <c r="B29" s="8">
        <f>-3500+1000-15000</f>
        <v>-17500</v>
      </c>
      <c r="C29" s="1">
        <v>-3100</v>
      </c>
    </row>
    <row r="30" spans="1:3" x14ac:dyDescent="0.3">
      <c r="A30">
        <v>13</v>
      </c>
      <c r="B30" s="1">
        <v>-3500</v>
      </c>
      <c r="C30" s="1">
        <v>-3100</v>
      </c>
    </row>
    <row r="31" spans="1:3" x14ac:dyDescent="0.3">
      <c r="A31">
        <v>14</v>
      </c>
      <c r="B31" s="1">
        <v>-3500</v>
      </c>
      <c r="C31" s="1">
        <v>-3100</v>
      </c>
    </row>
    <row r="32" spans="1:3" x14ac:dyDescent="0.3">
      <c r="A32">
        <v>15</v>
      </c>
      <c r="B32" s="1">
        <v>-3500</v>
      </c>
      <c r="C32" s="1">
        <v>-3100</v>
      </c>
    </row>
    <row r="33" spans="1:4" x14ac:dyDescent="0.3">
      <c r="A33">
        <v>16</v>
      </c>
      <c r="B33" s="1">
        <v>-3500</v>
      </c>
      <c r="C33" s="1">
        <v>-3100</v>
      </c>
    </row>
    <row r="34" spans="1:4" x14ac:dyDescent="0.3">
      <c r="A34">
        <v>17</v>
      </c>
      <c r="B34" s="1">
        <v>-3500</v>
      </c>
      <c r="C34" s="1">
        <v>-3100</v>
      </c>
    </row>
    <row r="35" spans="1:4" x14ac:dyDescent="0.3">
      <c r="A35">
        <v>18</v>
      </c>
      <c r="B35" s="1">
        <f>-3500+1000</f>
        <v>-2500</v>
      </c>
      <c r="C35" s="1">
        <f>-3100+2000</f>
        <v>-1100</v>
      </c>
    </row>
    <row r="36" spans="1:4" x14ac:dyDescent="0.3">
      <c r="A36" t="s">
        <v>5</v>
      </c>
      <c r="B36" s="8">
        <f>NPV($D$15,B18:B35)+B17</f>
        <v>-45036.361885502345</v>
      </c>
      <c r="C36" s="8">
        <f>NPV($D$15,C18:C35)+C17</f>
        <v>-41383.282564267691</v>
      </c>
      <c r="D36" s="1" t="s">
        <v>63</v>
      </c>
    </row>
    <row r="38" spans="1:4" x14ac:dyDescent="0.3">
      <c r="C38" s="1" t="s">
        <v>1</v>
      </c>
      <c r="D38" s="4">
        <v>0.15</v>
      </c>
    </row>
    <row r="39" spans="1:4" x14ac:dyDescent="0.3">
      <c r="B39" s="3" t="s">
        <v>7</v>
      </c>
      <c r="C39" s="3" t="s">
        <v>8</v>
      </c>
    </row>
    <row r="40" spans="1:4" x14ac:dyDescent="0.3">
      <c r="A40">
        <v>0</v>
      </c>
      <c r="B40" s="1">
        <v>-15000</v>
      </c>
      <c r="C40" s="1">
        <v>-18000</v>
      </c>
    </row>
    <row r="41" spans="1:4" x14ac:dyDescent="0.3">
      <c r="A41">
        <v>1</v>
      </c>
      <c r="B41" s="1">
        <v>-3500</v>
      </c>
      <c r="C41" s="1">
        <v>-3100</v>
      </c>
    </row>
    <row r="42" spans="1:4" x14ac:dyDescent="0.3">
      <c r="A42">
        <v>2</v>
      </c>
      <c r="B42" s="1">
        <v>-3500</v>
      </c>
      <c r="C42" s="1">
        <v>-3100</v>
      </c>
    </row>
    <row r="43" spans="1:4" x14ac:dyDescent="0.3">
      <c r="A43">
        <v>3</v>
      </c>
      <c r="B43" s="1">
        <v>-3500</v>
      </c>
      <c r="C43" s="1">
        <v>-3100</v>
      </c>
    </row>
    <row r="44" spans="1:4" x14ac:dyDescent="0.3">
      <c r="A44">
        <v>4</v>
      </c>
      <c r="B44" s="1">
        <v>-3500</v>
      </c>
      <c r="C44" s="1">
        <v>-3100</v>
      </c>
    </row>
    <row r="45" spans="1:4" x14ac:dyDescent="0.3">
      <c r="A45">
        <v>5</v>
      </c>
      <c r="B45" s="1">
        <f>-3500+1000</f>
        <v>-2500</v>
      </c>
      <c r="C45" s="1">
        <f>-3100+2000</f>
        <v>-1100</v>
      </c>
    </row>
    <row r="46" spans="1:4" x14ac:dyDescent="0.3">
      <c r="A46" t="s">
        <v>5</v>
      </c>
      <c r="B46" s="8">
        <f>NPV($D$38,B41:B45)+B40</f>
        <v>-26235.366107741618</v>
      </c>
      <c r="C46" s="8">
        <f>NPV($D$38,C41:C45)+C40</f>
        <v>-27397.327333238769</v>
      </c>
      <c r="D46" s="1" t="s">
        <v>64</v>
      </c>
    </row>
    <row r="49" spans="1:7" x14ac:dyDescent="0.3">
      <c r="A49" t="s">
        <v>9</v>
      </c>
    </row>
    <row r="50" spans="1:7" x14ac:dyDescent="0.3">
      <c r="C50" s="1" t="s">
        <v>1</v>
      </c>
      <c r="D50" s="4">
        <v>0.25</v>
      </c>
    </row>
    <row r="51" spans="1:7" x14ac:dyDescent="0.3">
      <c r="A51">
        <v>0</v>
      </c>
      <c r="B51" s="1">
        <v>-75000000</v>
      </c>
    </row>
    <row r="52" spans="1:7" x14ac:dyDescent="0.3">
      <c r="A52">
        <v>1</v>
      </c>
      <c r="B52" s="1">
        <v>-10000000</v>
      </c>
      <c r="C52" s="1">
        <v>5000000</v>
      </c>
      <c r="E52" t="s">
        <v>67</v>
      </c>
      <c r="F52" s="1">
        <v>159500000</v>
      </c>
    </row>
    <row r="53" spans="1:7" x14ac:dyDescent="0.3">
      <c r="A53">
        <v>2</v>
      </c>
      <c r="B53" s="1">
        <f>B52+$C$52</f>
        <v>-5000000</v>
      </c>
      <c r="E53" t="s">
        <v>68</v>
      </c>
      <c r="F53" s="1">
        <f>-B58+F52</f>
        <v>-8859375</v>
      </c>
      <c r="G53" t="s">
        <v>69</v>
      </c>
    </row>
    <row r="54" spans="1:7" x14ac:dyDescent="0.3">
      <c r="A54">
        <v>3</v>
      </c>
      <c r="B54" s="1">
        <f t="shared" ref="B54:B56" si="1">B53+$C$52</f>
        <v>0</v>
      </c>
    </row>
    <row r="55" spans="1:7" x14ac:dyDescent="0.3">
      <c r="A55">
        <v>4</v>
      </c>
      <c r="B55" s="1">
        <f t="shared" si="1"/>
        <v>5000000</v>
      </c>
    </row>
    <row r="56" spans="1:7" x14ac:dyDescent="0.3">
      <c r="A56">
        <v>5</v>
      </c>
      <c r="B56" s="1">
        <f t="shared" si="1"/>
        <v>10000000</v>
      </c>
    </row>
    <row r="57" spans="1:7" x14ac:dyDescent="0.3">
      <c r="A57" t="s">
        <v>10</v>
      </c>
      <c r="B57" s="8">
        <f>NPV(D50,B52:B54)+B51</f>
        <v>-86200000</v>
      </c>
    </row>
    <row r="58" spans="1:7" x14ac:dyDescent="0.3">
      <c r="A58" t="s">
        <v>11</v>
      </c>
      <c r="B58" s="8">
        <f>FV($D$50,A54,,B57)</f>
        <v>168359375</v>
      </c>
      <c r="C58" s="1" t="s">
        <v>65</v>
      </c>
      <c r="E58" t="s">
        <v>12</v>
      </c>
    </row>
    <row r="60" spans="1:7" x14ac:dyDescent="0.3">
      <c r="A60" t="s">
        <v>13</v>
      </c>
      <c r="B60" s="8">
        <f>NPV($D$50,B52:B56)+B51</f>
        <v>-80875200</v>
      </c>
    </row>
    <row r="61" spans="1:7" x14ac:dyDescent="0.3">
      <c r="A61" t="s">
        <v>14</v>
      </c>
      <c r="B61" s="8">
        <f>FV($D$50,A56,,B60)</f>
        <v>246811523.4375</v>
      </c>
      <c r="C61" s="1" t="s">
        <v>66</v>
      </c>
    </row>
    <row r="64" spans="1:7" x14ac:dyDescent="0.3">
      <c r="A64" t="s">
        <v>15</v>
      </c>
      <c r="C64" s="1" t="s">
        <v>16</v>
      </c>
      <c r="D64" s="4">
        <v>0.05</v>
      </c>
    </row>
    <row r="65" spans="1:7" x14ac:dyDescent="0.3">
      <c r="C65" s="1" t="s">
        <v>17</v>
      </c>
    </row>
    <row r="66" spans="1:7" x14ac:dyDescent="0.3">
      <c r="B66" s="5" t="s">
        <v>18</v>
      </c>
      <c r="C66" s="3" t="s">
        <v>19</v>
      </c>
    </row>
    <row r="67" spans="1:7" x14ac:dyDescent="0.3">
      <c r="A67" t="s">
        <v>20</v>
      </c>
      <c r="B67" s="1">
        <v>-150000</v>
      </c>
    </row>
    <row r="68" spans="1:7" x14ac:dyDescent="0.3">
      <c r="A68" t="s">
        <v>21</v>
      </c>
    </row>
    <row r="69" spans="1:7" x14ac:dyDescent="0.3">
      <c r="A69" t="s">
        <v>22</v>
      </c>
      <c r="B69" s="1" t="s">
        <v>52</v>
      </c>
    </row>
    <row r="70" spans="1:7" x14ac:dyDescent="0.3">
      <c r="A70" t="s">
        <v>23</v>
      </c>
      <c r="B70" s="1" t="s">
        <v>53</v>
      </c>
      <c r="D70" s="1">
        <f>-8000/D64</f>
        <v>-160000</v>
      </c>
      <c r="E70" s="1">
        <f>PV(D64,4,,-D70)</f>
        <v>-131632.39596670112</v>
      </c>
    </row>
    <row r="71" spans="1:7" x14ac:dyDescent="0.3">
      <c r="A71" t="s">
        <v>24</v>
      </c>
      <c r="B71" s="1" t="s">
        <v>54</v>
      </c>
      <c r="E71" s="1">
        <f>-PV(D64,4,-5000)</f>
        <v>-17729.752520811802</v>
      </c>
      <c r="G71" t="s">
        <v>26</v>
      </c>
    </row>
    <row r="72" spans="1:7" x14ac:dyDescent="0.3">
      <c r="A72" t="s">
        <v>25</v>
      </c>
      <c r="B72" s="1">
        <f>SUM(B67:B68)</f>
        <v>-150000</v>
      </c>
      <c r="C72" s="1">
        <f>SUM(C69:C71)</f>
        <v>0</v>
      </c>
      <c r="D72" s="1">
        <f>SUM(B72:C72)</f>
        <v>-150000</v>
      </c>
      <c r="E72" s="1">
        <f>SUM(E70:E71)+C71</f>
        <v>-149362.14848751292</v>
      </c>
    </row>
    <row r="73" spans="1:7" x14ac:dyDescent="0.3">
      <c r="B73" s="1" t="s">
        <v>16</v>
      </c>
      <c r="C73" s="4">
        <v>0.05</v>
      </c>
    </row>
    <row r="74" spans="1:7" x14ac:dyDescent="0.3">
      <c r="A74" t="s">
        <v>20</v>
      </c>
      <c r="B74" s="8">
        <v>-150000</v>
      </c>
    </row>
    <row r="75" spans="1:7" x14ac:dyDescent="0.3">
      <c r="A75" t="s">
        <v>21</v>
      </c>
      <c r="B75" s="8">
        <f>PV(C73,10,,50000)</f>
        <v>-30695.662677037966</v>
      </c>
    </row>
    <row r="76" spans="1:7" x14ac:dyDescent="0.3">
      <c r="A76" t="s">
        <v>22</v>
      </c>
      <c r="B76" s="1" t="s">
        <v>52</v>
      </c>
      <c r="C76" s="8">
        <f>-5000/C73</f>
        <v>-100000</v>
      </c>
      <c r="D76" s="1">
        <f>C76+C77</f>
        <v>-149362.14848751292</v>
      </c>
    </row>
    <row r="77" spans="1:7" x14ac:dyDescent="0.3">
      <c r="A77" t="s">
        <v>23</v>
      </c>
      <c r="B77" s="1" t="s">
        <v>53</v>
      </c>
      <c r="C77" s="8">
        <f>-PV(C73,4,,-3000/C73)</f>
        <v>-49362.148487512917</v>
      </c>
      <c r="D77" s="1" t="s">
        <v>57</v>
      </c>
      <c r="E77" s="1">
        <f>-PV(D64,4,-5000)</f>
        <v>-17729.752520811802</v>
      </c>
    </row>
    <row r="78" spans="1:7" x14ac:dyDescent="0.3">
      <c r="A78" t="s">
        <v>24</v>
      </c>
      <c r="B78" s="1" t="s">
        <v>54</v>
      </c>
      <c r="C78" s="8">
        <f>-PMT(C73,13,,-15000)/C73</f>
        <v>-16936.729550318294</v>
      </c>
      <c r="D78" s="1" t="s">
        <v>58</v>
      </c>
      <c r="E78" s="1">
        <f>-PV(D64,4,,-8000/D64)</f>
        <v>-131632.39596670112</v>
      </c>
      <c r="F78" s="1">
        <f>E78+E77</f>
        <v>-149362.14848751292</v>
      </c>
    </row>
    <row r="79" spans="1:7" x14ac:dyDescent="0.3">
      <c r="A79" t="s">
        <v>25</v>
      </c>
      <c r="B79" s="1">
        <f>SUM(B74:B75)</f>
        <v>-180695.66267703797</v>
      </c>
      <c r="C79" s="1">
        <f>SUM(C76:C78)</f>
        <v>-166298.87803783122</v>
      </c>
      <c r="D79" s="8">
        <f>SUM(B79:C79)</f>
        <v>-346994.54071486916</v>
      </c>
      <c r="E79" s="1">
        <f>E77+E78</f>
        <v>-149362.14848751292</v>
      </c>
      <c r="F79" t="s">
        <v>59</v>
      </c>
    </row>
    <row r="81" spans="1:5" x14ac:dyDescent="0.3">
      <c r="A81" t="s">
        <v>55</v>
      </c>
      <c r="B81" s="8">
        <f>D79*C73</f>
        <v>-17349.727035743457</v>
      </c>
      <c r="C81" s="1" t="s">
        <v>56</v>
      </c>
    </row>
    <row r="82" spans="1:5" x14ac:dyDescent="0.3">
      <c r="C82" s="1" t="s">
        <v>26</v>
      </c>
      <c r="E82" s="6"/>
    </row>
    <row r="83" spans="1:5" x14ac:dyDescent="0.3">
      <c r="A83" t="s">
        <v>27</v>
      </c>
      <c r="E83" s="6"/>
    </row>
    <row r="84" spans="1:5" x14ac:dyDescent="0.3">
      <c r="B84" s="5" t="s">
        <v>18</v>
      </c>
      <c r="C84" s="3" t="s">
        <v>19</v>
      </c>
    </row>
    <row r="85" spans="1:5" x14ac:dyDescent="0.3">
      <c r="B85" s="7" t="s">
        <v>28</v>
      </c>
      <c r="C85" s="1" t="s">
        <v>16</v>
      </c>
      <c r="D85" s="4">
        <v>0.06</v>
      </c>
    </row>
    <row r="86" spans="1:5" x14ac:dyDescent="0.3">
      <c r="A86" t="s">
        <v>20</v>
      </c>
      <c r="B86" s="1">
        <v>-50000000</v>
      </c>
    </row>
    <row r="87" spans="1:5" x14ac:dyDescent="0.3">
      <c r="A87" t="s">
        <v>21</v>
      </c>
      <c r="B87" s="1">
        <v>-2000000</v>
      </c>
    </row>
    <row r="88" spans="1:5" x14ac:dyDescent="0.3">
      <c r="A88" t="s">
        <v>22</v>
      </c>
      <c r="B88" s="1" t="s">
        <v>30</v>
      </c>
      <c r="C88" s="1">
        <f>-35000/D85</f>
        <v>-583333.33333333337</v>
      </c>
    </row>
    <row r="89" spans="1:5" x14ac:dyDescent="0.3">
      <c r="A89" t="s">
        <v>23</v>
      </c>
      <c r="B89" s="1" t="s">
        <v>46</v>
      </c>
      <c r="C89" s="1">
        <f>-PMT(D85,10,,-100000)/D85</f>
        <v>-126446.59703397306</v>
      </c>
    </row>
    <row r="90" spans="1:5" x14ac:dyDescent="0.3">
      <c r="A90" t="s">
        <v>25</v>
      </c>
      <c r="B90" s="1">
        <f>B86+B87</f>
        <v>-52000000</v>
      </c>
      <c r="C90" s="1">
        <f>SUM(C88:C89)</f>
        <v>-709779.93036730646</v>
      </c>
      <c r="D90" s="1">
        <f>SUM(B90:C90)</f>
        <v>-52709779.930367306</v>
      </c>
    </row>
    <row r="91" spans="1:5" x14ac:dyDescent="0.3">
      <c r="B91" s="7" t="s">
        <v>29</v>
      </c>
    </row>
    <row r="92" spans="1:5" x14ac:dyDescent="0.3">
      <c r="A92" t="s">
        <v>20</v>
      </c>
      <c r="B92" s="1">
        <v>-25000000</v>
      </c>
    </row>
    <row r="93" spans="1:5" x14ac:dyDescent="0.3">
      <c r="A93" t="s">
        <v>21</v>
      </c>
      <c r="B93" s="1">
        <v>-15000000</v>
      </c>
    </row>
    <row r="94" spans="1:5" x14ac:dyDescent="0.3">
      <c r="A94" t="s">
        <v>22</v>
      </c>
      <c r="B94" s="1" t="s">
        <v>30</v>
      </c>
      <c r="C94" s="1">
        <f>-20000/D85</f>
        <v>-333333.33333333337</v>
      </c>
    </row>
    <row r="95" spans="1:5" x14ac:dyDescent="0.3">
      <c r="A95" t="s">
        <v>23</v>
      </c>
      <c r="B95" s="1" t="s">
        <v>45</v>
      </c>
      <c r="C95" s="1">
        <f>-PMT(D85,3,,-40000)/D85</f>
        <v>-209406.54186036778</v>
      </c>
    </row>
    <row r="96" spans="1:5" x14ac:dyDescent="0.3">
      <c r="A96" t="s">
        <v>24</v>
      </c>
      <c r="B96" s="1" t="s">
        <v>47</v>
      </c>
      <c r="C96" s="1">
        <f>-PMT(D85,10,,-190000)/D85</f>
        <v>-240248.5343645488</v>
      </c>
    </row>
    <row r="97" spans="1:4" x14ac:dyDescent="0.3">
      <c r="A97" t="s">
        <v>25</v>
      </c>
      <c r="B97" s="1">
        <f>SUM(B92:B93)</f>
        <v>-40000000</v>
      </c>
      <c r="C97" s="1">
        <f>SUM(C94:C96)</f>
        <v>-782988.40955824987</v>
      </c>
      <c r="D97" s="8">
        <f>SUM(B97:C97)</f>
        <v>-40782988.409558252</v>
      </c>
    </row>
    <row r="100" spans="1:4" x14ac:dyDescent="0.3">
      <c r="A100" t="s">
        <v>31</v>
      </c>
    </row>
    <row r="101" spans="1:4" x14ac:dyDescent="0.3">
      <c r="B101" s="1" t="s">
        <v>32</v>
      </c>
      <c r="C101" s="1" t="s">
        <v>16</v>
      </c>
      <c r="D101" s="4">
        <v>0.15</v>
      </c>
    </row>
    <row r="102" spans="1:4" x14ac:dyDescent="0.3">
      <c r="B102" s="5" t="s">
        <v>18</v>
      </c>
      <c r="C102" s="3" t="s">
        <v>19</v>
      </c>
    </row>
    <row r="103" spans="1:4" x14ac:dyDescent="0.3">
      <c r="A103" t="s">
        <v>25</v>
      </c>
      <c r="B103" s="1">
        <v>-8000000</v>
      </c>
      <c r="C103" s="8">
        <f>-25000/D101</f>
        <v>-166666.66666666669</v>
      </c>
      <c r="D103" s="1">
        <f>B103+C103</f>
        <v>-8166666.666666667</v>
      </c>
    </row>
    <row r="105" spans="1:4" x14ac:dyDescent="0.3">
      <c r="B105" s="1" t="s">
        <v>33</v>
      </c>
      <c r="C105" s="1" t="s">
        <v>26</v>
      </c>
    </row>
    <row r="106" spans="1:4" x14ac:dyDescent="0.3">
      <c r="B106" s="5" t="s">
        <v>18</v>
      </c>
      <c r="C106" s="3" t="s">
        <v>19</v>
      </c>
    </row>
    <row r="107" spans="1:4" x14ac:dyDescent="0.3">
      <c r="A107" t="s">
        <v>20</v>
      </c>
      <c r="B107" s="1" t="s">
        <v>48</v>
      </c>
      <c r="C107" s="8">
        <f>-PMT(D101,5,-275000*10)/D101</f>
        <v>-5469118.4617946865</v>
      </c>
    </row>
    <row r="108" spans="1:4" x14ac:dyDescent="0.3">
      <c r="A108" t="s">
        <v>21</v>
      </c>
      <c r="B108" s="1" t="s">
        <v>49</v>
      </c>
      <c r="C108" s="8">
        <f>-12000*10/D101</f>
        <v>-800000</v>
      </c>
    </row>
    <row r="109" spans="1:4" x14ac:dyDescent="0.3">
      <c r="A109" t="s">
        <v>25</v>
      </c>
      <c r="D109" s="8">
        <f>SUM(C107:C108)</f>
        <v>-6269118.4617946865</v>
      </c>
    </row>
    <row r="111" spans="1:4" x14ac:dyDescent="0.3">
      <c r="D111" s="1" t="s">
        <v>50</v>
      </c>
    </row>
    <row r="112" spans="1:4" x14ac:dyDescent="0.3">
      <c r="A112" t="s">
        <v>34</v>
      </c>
      <c r="B112" s="1" t="s">
        <v>35</v>
      </c>
      <c r="D112" s="9">
        <f>NPER(15%,3000,-12000)</f>
        <v>6.5560818367462614</v>
      </c>
    </row>
    <row r="113" spans="1:4" x14ac:dyDescent="0.3">
      <c r="A113" s="12">
        <f>NPER(15%,3,-18,3)</f>
        <v>15.312223965460905</v>
      </c>
    </row>
    <row r="114" spans="1:4" x14ac:dyDescent="0.3">
      <c r="A114" s="12">
        <f>NPER(0%,3,-18,3)</f>
        <v>5</v>
      </c>
      <c r="B114" s="1">
        <v>-18</v>
      </c>
      <c r="C114" s="1">
        <f>B114+B115</f>
        <v>-15</v>
      </c>
    </row>
    <row r="115" spans="1:4" x14ac:dyDescent="0.3">
      <c r="A115" s="9"/>
      <c r="B115" s="1">
        <v>3</v>
      </c>
      <c r="C115" s="1">
        <f>B115+C114</f>
        <v>-12</v>
      </c>
    </row>
    <row r="116" spans="1:4" x14ac:dyDescent="0.3">
      <c r="B116" s="1">
        <v>3</v>
      </c>
      <c r="C116" s="1">
        <f>B116+C115</f>
        <v>-9</v>
      </c>
    </row>
    <row r="117" spans="1:4" x14ac:dyDescent="0.3">
      <c r="B117" s="1">
        <v>3</v>
      </c>
      <c r="C117" s="1">
        <f>B117+C116</f>
        <v>-6</v>
      </c>
    </row>
    <row r="118" spans="1:4" x14ac:dyDescent="0.3">
      <c r="A118" t="s">
        <v>36</v>
      </c>
      <c r="B118" s="1">
        <v>3</v>
      </c>
      <c r="C118" s="1">
        <f>B118+C117+B118</f>
        <v>0</v>
      </c>
    </row>
    <row r="119" spans="1:4" x14ac:dyDescent="0.3">
      <c r="B119"/>
    </row>
    <row r="120" spans="1:4" x14ac:dyDescent="0.3">
      <c r="A120" t="s">
        <v>37</v>
      </c>
      <c r="B120" s="1">
        <f>5000*6%/4</f>
        <v>75</v>
      </c>
      <c r="C120" s="1" t="s">
        <v>38</v>
      </c>
    </row>
    <row r="121" spans="1:4" x14ac:dyDescent="0.3">
      <c r="B121" s="1">
        <f>B120*4*10/0.6</f>
        <v>5000</v>
      </c>
      <c r="C121" s="1" t="s">
        <v>39</v>
      </c>
    </row>
    <row r="122" spans="1:4" x14ac:dyDescent="0.3">
      <c r="A122" s="9"/>
    </row>
    <row r="124" spans="1:4" x14ac:dyDescent="0.3">
      <c r="A124" t="s">
        <v>40</v>
      </c>
    </row>
    <row r="125" spans="1:4" x14ac:dyDescent="0.3">
      <c r="C125" s="1" t="s">
        <v>41</v>
      </c>
      <c r="D125" s="1" t="s">
        <v>42</v>
      </c>
    </row>
    <row r="126" spans="1:4" x14ac:dyDescent="0.3">
      <c r="A126" t="s">
        <v>37</v>
      </c>
      <c r="B126" s="8">
        <f>5000*4.5%/2</f>
        <v>112.5</v>
      </c>
      <c r="C126" s="1" t="s">
        <v>43</v>
      </c>
      <c r="D126" s="1" t="s">
        <v>44</v>
      </c>
    </row>
    <row r="127" spans="1:4" x14ac:dyDescent="0.3">
      <c r="C127" s="11">
        <f>EFFECT(8%/2,2)</f>
        <v>4.0399999999999991E-2</v>
      </c>
      <c r="D127" s="10"/>
    </row>
    <row r="128" spans="1:4" x14ac:dyDescent="0.3">
      <c r="A128" t="s">
        <v>51</v>
      </c>
      <c r="B128" s="8">
        <f>-PV(C127,20,B126,5000)</f>
        <v>3787.9626772049178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2021-08-16T17:39:11Z</dcterms:created>
  <dcterms:modified xsi:type="dcterms:W3CDTF">2023-08-23T02:20:40Z</dcterms:modified>
</cp:coreProperties>
</file>