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cap11\"/>
    </mc:Choice>
  </mc:AlternateContent>
  <xr:revisionPtr revIDLastSave="0" documentId="13_ncr:1_{BE44CB56-73C2-4E66-A277-1424DD3A1422}" xr6:coauthVersionLast="47" xr6:coauthVersionMax="47" xr10:uidLastSave="{00000000-0000-0000-0000-000000000000}"/>
  <bookViews>
    <workbookView xWindow="-108" yWindow="-108" windowWidth="23256" windowHeight="12576" tabRatio="500" activeTab="4" xr2:uid="{00000000-000D-0000-FFFF-FFFF00000000}"/>
  </bookViews>
  <sheets>
    <sheet name="Ejemplo 11.2" sheetId="1" r:id="rId1"/>
    <sheet name="Ejemplo 11.4" sheetId="2" r:id="rId2"/>
    <sheet name="Ejemplo 11.5" sheetId="3" r:id="rId3"/>
    <sheet name="Ejemplo 11.6" sheetId="4" r:id="rId4"/>
    <sheet name="Ejemplo 11.7" sheetId="6" r:id="rId5"/>
    <sheet name="Ejercicio 11.32" sheetId="5" r:id="rId6"/>
  </sheets>
  <definedNames>
    <definedName name="solver_adj" localSheetId="1" hidden="1">'Ejemplo 11.4'!$D$76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'Ejemplo 11.4'!$F$83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3</definedName>
    <definedName name="solver_val" localSheetId="1" hidden="1">-19123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7" i="6" l="1"/>
  <c r="E26" i="6"/>
  <c r="E25" i="6"/>
  <c r="B58" i="4"/>
  <c r="C55" i="4"/>
  <c r="B53" i="4"/>
  <c r="D50" i="4"/>
  <c r="B63" i="4" s="1"/>
  <c r="C50" i="4"/>
  <c r="C53" i="4" s="1"/>
  <c r="B50" i="4"/>
  <c r="B40" i="4"/>
  <c r="B38" i="4"/>
  <c r="B36" i="4"/>
  <c r="B35" i="4"/>
  <c r="G27" i="3"/>
  <c r="H27" i="3" s="1"/>
  <c r="F27" i="3"/>
  <c r="E27" i="3"/>
  <c r="H12" i="3" s="1"/>
  <c r="E26" i="3"/>
  <c r="I9" i="3" s="1"/>
  <c r="D26" i="3"/>
  <c r="C25" i="3"/>
  <c r="G69" i="2"/>
  <c r="G68" i="2"/>
  <c r="D66" i="2"/>
  <c r="D65" i="2"/>
  <c r="F55" i="2"/>
  <c r="F56" i="2"/>
  <c r="F54" i="2"/>
  <c r="E55" i="2"/>
  <c r="E56" i="2"/>
  <c r="E54" i="2"/>
  <c r="D55" i="2"/>
  <c r="D56" i="2"/>
  <c r="D54" i="2"/>
  <c r="F42" i="2"/>
  <c r="F43" i="2"/>
  <c r="F44" i="2"/>
  <c r="F45" i="2"/>
  <c r="F41" i="2"/>
  <c r="E42" i="2"/>
  <c r="E43" i="2"/>
  <c r="E44" i="2"/>
  <c r="E45" i="2"/>
  <c r="E41" i="2"/>
  <c r="D42" i="2"/>
  <c r="D43" i="2"/>
  <c r="D44" i="2"/>
  <c r="D45" i="2"/>
  <c r="D41" i="2"/>
  <c r="D14" i="2"/>
  <c r="F31" i="1"/>
  <c r="F32" i="1"/>
  <c r="F33" i="1"/>
  <c r="F34" i="1"/>
  <c r="F30" i="1"/>
  <c r="E31" i="1"/>
  <c r="E32" i="1"/>
  <c r="E33" i="1"/>
  <c r="E34" i="1"/>
  <c r="E30" i="1"/>
  <c r="D31" i="1"/>
  <c r="D32" i="1"/>
  <c r="D33" i="1"/>
  <c r="D34" i="1"/>
  <c r="D30" i="1"/>
  <c r="F22" i="1"/>
  <c r="F23" i="1"/>
  <c r="F24" i="1"/>
  <c r="F25" i="1"/>
  <c r="F21" i="1"/>
  <c r="E22" i="1"/>
  <c r="E23" i="1"/>
  <c r="E24" i="1"/>
  <c r="E25" i="1"/>
  <c r="E21" i="1"/>
  <c r="D22" i="1"/>
  <c r="D23" i="1"/>
  <c r="D24" i="1"/>
  <c r="D25" i="1"/>
  <c r="D21" i="1"/>
  <c r="M16" i="6"/>
  <c r="M15" i="6"/>
  <c r="M14" i="6"/>
  <c r="L16" i="6"/>
  <c r="L15" i="6"/>
  <c r="L14" i="6"/>
  <c r="D14" i="6"/>
  <c r="D15" i="6"/>
  <c r="D16" i="6"/>
  <c r="D27" i="6"/>
  <c r="D26" i="6"/>
  <c r="D25" i="6"/>
  <c r="D31" i="4"/>
  <c r="C30" i="4"/>
  <c r="B30" i="4"/>
  <c r="F66" i="2"/>
  <c r="F65" i="2"/>
  <c r="E66" i="2"/>
  <c r="E65" i="2"/>
  <c r="G58" i="2"/>
  <c r="H58" i="2"/>
  <c r="C56" i="2"/>
  <c r="C55" i="2"/>
  <c r="C54" i="2"/>
  <c r="B56" i="2"/>
  <c r="B55" i="2"/>
  <c r="B54" i="2"/>
  <c r="B45" i="2"/>
  <c r="B44" i="2"/>
  <c r="B43" i="2"/>
  <c r="B42" i="2"/>
  <c r="B41" i="2"/>
  <c r="C45" i="2"/>
  <c r="C44" i="2"/>
  <c r="C43" i="2"/>
  <c r="C42" i="2"/>
  <c r="F14" i="6"/>
  <c r="G14" i="6"/>
  <c r="D27" i="4"/>
  <c r="C32" i="4"/>
  <c r="C27" i="3"/>
  <c r="B27" i="3"/>
  <c r="B25" i="3"/>
  <c r="B26" i="6"/>
  <c r="B27" i="6"/>
  <c r="B25" i="6"/>
  <c r="B24" i="6"/>
  <c r="D27" i="3"/>
  <c r="H14" i="3"/>
  <c r="H15" i="3"/>
  <c r="H18" i="3"/>
  <c r="F16" i="6"/>
  <c r="G16" i="6"/>
  <c r="H16" i="6"/>
  <c r="I16" i="6"/>
  <c r="D30" i="4"/>
  <c r="D36" i="2"/>
  <c r="B53" i="2"/>
  <c r="C23" i="5"/>
  <c r="D23" i="5"/>
  <c r="E23" i="5"/>
  <c r="F23" i="5"/>
  <c r="G23" i="5"/>
  <c r="C24" i="5"/>
  <c r="D24" i="5"/>
  <c r="E24" i="5"/>
  <c r="F24" i="5"/>
  <c r="G24" i="5"/>
  <c r="D22" i="5"/>
  <c r="E22" i="5"/>
  <c r="F22" i="5"/>
  <c r="G22" i="5"/>
  <c r="F15" i="6"/>
  <c r="G15" i="6"/>
  <c r="H15" i="6"/>
  <c r="I15" i="6"/>
  <c r="J15" i="6"/>
  <c r="K15" i="6"/>
  <c r="J16" i="6"/>
  <c r="K16" i="6"/>
  <c r="H14" i="6"/>
  <c r="I14" i="6"/>
  <c r="J14" i="6"/>
  <c r="K14" i="6"/>
  <c r="C81" i="2"/>
  <c r="C82" i="2"/>
  <c r="E82" i="2"/>
  <c r="C83" i="2"/>
  <c r="E83" i="2"/>
  <c r="E81" i="2"/>
  <c r="B80" i="2"/>
  <c r="B81" i="2"/>
  <c r="B82" i="2"/>
  <c r="D82" i="2"/>
  <c r="B83" i="2"/>
  <c r="D83" i="2"/>
  <c r="D81" i="2"/>
  <c r="F83" i="2"/>
  <c r="F82" i="2"/>
  <c r="F81" i="2"/>
  <c r="B64" i="2"/>
  <c r="B26" i="3"/>
  <c r="C26" i="3"/>
  <c r="F28" i="3"/>
  <c r="F29" i="3"/>
  <c r="B27" i="4"/>
  <c r="C27" i="4"/>
  <c r="D32" i="4"/>
  <c r="E18" i="5"/>
  <c r="D18" i="5"/>
  <c r="D19" i="5"/>
  <c r="E19" i="5"/>
  <c r="F19" i="5"/>
  <c r="F18" i="5"/>
  <c r="D53" i="4" l="1"/>
  <c r="D54" i="4"/>
  <c r="B59" i="4"/>
  <c r="B61" i="4" s="1"/>
  <c r="J10" i="3"/>
  <c r="J16" i="3"/>
  <c r="J12" i="3"/>
  <c r="K9" i="3"/>
  <c r="J17" i="3"/>
  <c r="J13" i="3"/>
  <c r="J9" i="3"/>
  <c r="J15" i="3"/>
  <c r="J11" i="3"/>
  <c r="J18" i="3"/>
  <c r="J14" i="3"/>
  <c r="H17" i="3"/>
  <c r="H19" i="3" s="1"/>
  <c r="H20" i="3" s="1"/>
  <c r="H13" i="3"/>
  <c r="H16" i="3"/>
  <c r="I13" i="3"/>
  <c r="I12" i="3"/>
  <c r="I15" i="3"/>
  <c r="I11" i="3"/>
  <c r="I17" i="3"/>
  <c r="I16" i="3"/>
  <c r="I18" i="3"/>
  <c r="I14" i="3"/>
  <c r="I10" i="3"/>
  <c r="D55" i="4" l="1"/>
</calcChain>
</file>

<file path=xl/sharedStrings.xml><?xml version="1.0" encoding="utf-8"?>
<sst xmlns="http://schemas.openxmlformats.org/spreadsheetml/2006/main" count="247" uniqueCount="185">
  <si>
    <t>de $12,000 este año, pero se esperera que caiga hasta un valor casi nulo en el futuro: $2,000 el próximo</t>
    <phoneticPr fontId="4" type="noConversion"/>
  </si>
  <si>
    <t>año en el mercado mundial y posteriormente 0.  Además debe tomarse en cuenta que el equipo obsoleto</t>
    <phoneticPr fontId="4" type="noConversion"/>
  </si>
  <si>
    <t>tiene un costo de servicio más elevado, por lo tanto, se estima que el COA se incrementará el siguiente año</t>
    <phoneticPr fontId="4" type="noConversion"/>
  </si>
  <si>
    <t>Valores comerciales futuros: decremento del 20% anual</t>
    <phoneticPr fontId="4" type="noConversion"/>
  </si>
  <si>
    <t>Período estimado de retención: no más de 5 años</t>
    <phoneticPr fontId="4" type="noConversion"/>
  </si>
  <si>
    <r>
      <t>Claudia descubrió que sólo existe un buen sistema retador con las siguientes estimaciones de costos:</t>
    </r>
    <r>
      <rPr>
        <sz val="10"/>
        <color indexed="10"/>
        <rFont val="Verdana"/>
        <family val="2"/>
      </rPr>
      <t xml:space="preserve"> costo inicial</t>
    </r>
    <phoneticPr fontId="4" type="noConversion"/>
  </si>
  <si>
    <t>de $750,000, 10 años de vida; S=0 y COA = $50,000 anuales.</t>
    <phoneticPr fontId="4" type="noConversion"/>
  </si>
  <si>
    <r>
      <t xml:space="preserve">de capital, aunque en algún otro proyecto distinto de éste.  El estimado de Claudia del </t>
    </r>
    <r>
      <rPr>
        <sz val="10"/>
        <color indexed="10"/>
        <rFont val="Verdana"/>
        <family val="2"/>
      </rPr>
      <t>costo inicial de este sistema</t>
    </r>
    <phoneticPr fontId="4" type="noConversion"/>
  </si>
  <si>
    <r>
      <t>para dentro de 3 años es de $900,000</t>
    </r>
    <r>
      <rPr>
        <sz val="10"/>
        <rFont val="Verdana"/>
        <family val="2"/>
      </rPr>
      <t xml:space="preserve">.   Además, </t>
    </r>
    <r>
      <rPr>
        <sz val="10"/>
        <color indexed="10"/>
        <rFont val="Verdana"/>
        <family val="2"/>
      </rPr>
      <t>los $50,000 anuales de CO</t>
    </r>
    <r>
      <rPr>
        <sz val="10"/>
        <rFont val="Verdana"/>
        <family val="2"/>
      </rPr>
      <t xml:space="preserve">A constituyen la mejor estimación del </t>
    </r>
    <phoneticPr fontId="4" type="noConversion"/>
  </si>
  <si>
    <t>de operación para los próximos 5 años, se muestran a continuación.  Cuál es la vida últil económica del defensor si</t>
    <phoneticPr fontId="4" type="noConversion"/>
  </si>
  <si>
    <t xml:space="preserve">la tasa de interés es de 10% anual? </t>
    <phoneticPr fontId="4" type="noConversion"/>
  </si>
  <si>
    <t>Recuperación del capital (4)</t>
    <phoneticPr fontId="4" type="noConversion"/>
  </si>
  <si>
    <t>Año j (1)</t>
    <phoneticPr fontId="4" type="noConversion"/>
  </si>
  <si>
    <t xml:space="preserve">Tasa de Interés </t>
    <phoneticPr fontId="4" type="noConversion"/>
  </si>
  <si>
    <t>Costo inicial</t>
    <phoneticPr fontId="4" type="noConversion"/>
  </si>
  <si>
    <t>VC</t>
    <phoneticPr fontId="4" type="noConversion"/>
  </si>
  <si>
    <t>Año</t>
    <phoneticPr fontId="4" type="noConversion"/>
  </si>
  <si>
    <t>COA</t>
    <phoneticPr fontId="4" type="noConversion"/>
  </si>
  <si>
    <t>RC</t>
    <phoneticPr fontId="4" type="noConversion"/>
  </si>
  <si>
    <t>VA del COA</t>
    <phoneticPr fontId="4" type="noConversion"/>
  </si>
  <si>
    <t>El jefe de la divisón señaló que cualquier estudio tenía que llevarse a cabo aplicando la tasa de interés de 10%.</t>
    <phoneticPr fontId="4" type="noConversion"/>
  </si>
  <si>
    <r>
      <t>es de $30,000 anuales</t>
    </r>
    <r>
      <rPr>
        <sz val="10"/>
        <rFont val="Verdana"/>
        <family val="2"/>
      </rPr>
      <t>.  Las únicas opciones para el sistema consisten en reemplazarlo o conservarlo los 3 años</t>
    </r>
    <phoneticPr fontId="4" type="noConversion"/>
  </si>
  <si>
    <t>VA total</t>
    <phoneticPr fontId="4" type="noConversion"/>
  </si>
  <si>
    <t>VC j (2)</t>
    <phoneticPr fontId="4" type="noConversion"/>
  </si>
  <si>
    <t>COA j (3)</t>
    <phoneticPr fontId="4" type="noConversion"/>
  </si>
  <si>
    <t>industria requerirá una adecuación de $16,000 por cada unidad, además del costo esperado de operación.</t>
    <phoneticPr fontId="4" type="noConversion"/>
  </si>
  <si>
    <t>con las estimaciones que aparecen a continuación, realice los cálculos para ambos procedimientos.</t>
    <phoneticPr fontId="4" type="noConversion"/>
  </si>
  <si>
    <t>a.)  Retador</t>
    <phoneticPr fontId="4" type="noConversion"/>
  </si>
  <si>
    <t>VUE</t>
    <phoneticPr fontId="4" type="noConversion"/>
  </si>
  <si>
    <t>Un activo del proceso de manufactura con 3 años de uso se considera que deberá reemplazarse antes de tiempo.</t>
    <phoneticPr fontId="4" type="noConversion"/>
  </si>
  <si>
    <t>línea de ensamblado.  Adquirió aproximadamente 200 unidades a $70,000 cada una y las ubicó en plantas</t>
    <phoneticPr fontId="4" type="noConversion"/>
  </si>
  <si>
    <t>de 10 diferentes países.  El equipo clasifica, prueba e inserta ordenadamente los componentes electrónicos</t>
    <phoneticPr fontId="4" type="noConversion"/>
  </si>
  <si>
    <t>en tableros de circuito impresos con propósitos específicos.  Este año el nuevo estándar internacional de la</t>
    <phoneticPr fontId="4" type="noConversion"/>
  </si>
  <si>
    <t>Debido a estos nuevos estándares, aunados al rápido cambio tecnológico, un sistema nuevo desafía la</t>
    <phoneticPr fontId="4" type="noConversion"/>
  </si>
  <si>
    <r>
      <t xml:space="preserve">son confiables: </t>
    </r>
    <r>
      <rPr>
        <sz val="10"/>
        <color indexed="10"/>
        <rFont val="Verdana"/>
        <family val="2"/>
      </rPr>
      <t>valor comercial actual:$70,000, vida restante de 3 años más, no hay valor de salvamento y el COA</t>
    </r>
    <phoneticPr fontId="4" type="noConversion"/>
  </si>
  <si>
    <t>Defensor de seguimiento RC (7):</t>
    <phoneticPr fontId="4" type="noConversion"/>
  </si>
  <si>
    <t>incursiones en el mercado de equipo de ensamblado de componentes electrónicos, especialmente con los</t>
    <phoneticPr fontId="4" type="noConversion"/>
  </si>
  <si>
    <t xml:space="preserve">nuevos estándares internacionales instaurados.  El valor comercial esperado para el defensor todavía es </t>
    <phoneticPr fontId="4" type="noConversion"/>
  </si>
  <si>
    <t>Claudia trabaja para Lockheed-Martin (LMCO) en la división de mantenimiento de aviones.  Se prepara para lo que</t>
    <phoneticPr fontId="4" type="noConversion"/>
  </si>
  <si>
    <t>ella y su superior, el jefe de la división, esperan que resulte un nuevo contrato de defensa a 10 años con la Fuerza</t>
    <phoneticPr fontId="4" type="noConversion"/>
  </si>
  <si>
    <t>Incremento</t>
    <phoneticPr fontId="4" type="noConversion"/>
  </si>
  <si>
    <t>Opción 1</t>
    <phoneticPr fontId="4" type="noConversion"/>
  </si>
  <si>
    <t>Opción 2</t>
    <phoneticPr fontId="4" type="noConversion"/>
  </si>
  <si>
    <t>Valor comercial VC, $</t>
    <phoneticPr fontId="4" type="noConversion"/>
  </si>
  <si>
    <t>Ejercicio 11.32</t>
    <phoneticPr fontId="4" type="noConversion"/>
  </si>
  <si>
    <t>Una máquina colocada en su lugar de trabajo tiene un valor anual equivalente de -$200,000</t>
    <phoneticPr fontId="4" type="noConversion"/>
  </si>
  <si>
    <t>$5,000 el primer año, con incrementos anuales de $2,000 de ahí en adelante</t>
    <phoneticPr fontId="4" type="noConversion"/>
  </si>
  <si>
    <t>Defensor: Valor comercial internacional actual: $15,000</t>
    <phoneticPr fontId="4" type="noConversion"/>
  </si>
  <si>
    <t>Valores comerciales futuros: decremento de 20% anual</t>
    <phoneticPr fontId="4" type="noConversion"/>
  </si>
  <si>
    <t>Período estimado de retención: no mayor a 3 años más</t>
    <phoneticPr fontId="4" type="noConversion"/>
  </si>
  <si>
    <t>VA del COA (5)</t>
    <phoneticPr fontId="4" type="noConversion"/>
  </si>
  <si>
    <t>VAk Total (Suma de 4+ 5)</t>
    <phoneticPr fontId="4" type="noConversion"/>
  </si>
  <si>
    <t>VUE</t>
    <phoneticPr fontId="4" type="noConversion"/>
  </si>
  <si>
    <t>Ejemplo 11.4</t>
    <phoneticPr fontId="4" type="noConversion"/>
  </si>
  <si>
    <t>Defensor actual (3 años):</t>
    <phoneticPr fontId="4" type="noConversion"/>
  </si>
  <si>
    <t>VA=</t>
    <phoneticPr fontId="4" type="noConversion"/>
  </si>
  <si>
    <t>Es mejor opción usar el defensor por 3 años mas!!!</t>
    <phoneticPr fontId="4" type="noConversion"/>
  </si>
  <si>
    <t>de $8,000 a $12,000, y en 2 años hasta $16,000.  Realice el análisis de seguimiento para el análisis de reemplazo.</t>
    <phoneticPr fontId="4" type="noConversion"/>
  </si>
  <si>
    <t>que deberá tomarse en consideración los aspectos económicos, por lo que cuestiona acerca de si el análisis</t>
    <phoneticPr fontId="4" type="noConversion"/>
  </si>
  <si>
    <t xml:space="preserve">de reemplazo deberá llevarse a cabo este año y anualmente en el futuro, si es necesario.  A una i=10% y </t>
    <phoneticPr fontId="4" type="noConversion"/>
  </si>
  <si>
    <t>a.) Determine los valores anuales y las vidas útiles económicas necesarias para realizar un análisis de</t>
    <phoneticPr fontId="4" type="noConversion"/>
  </si>
  <si>
    <t>reemplazo</t>
    <phoneticPr fontId="4" type="noConversion"/>
  </si>
  <si>
    <t>b.) Realice el análisis de reemplazo en este momento.</t>
    <phoneticPr fontId="4" type="noConversion"/>
  </si>
  <si>
    <t>Retador: Costo inicial</t>
    <phoneticPr fontId="4" type="noConversion"/>
  </si>
  <si>
    <t>$50,000</t>
    <phoneticPr fontId="4" type="noConversion"/>
  </si>
  <si>
    <t>conservación de esta maquinaria de 2 años de uso.  El jefe de ingenieros de Toshiba EE.UU. Se da cuenta</t>
    <phoneticPr fontId="4" type="noConversion"/>
  </si>
  <si>
    <t>Ejemplo 11.2</t>
    <phoneticPr fontId="4" type="noConversion"/>
  </si>
  <si>
    <t xml:space="preserve">Su valor comercial actual es de $13,000.  Sus valores comerciales futuros estimados, así como sus costos anuales </t>
    <phoneticPr fontId="4" type="noConversion"/>
  </si>
  <si>
    <t>retador, en virtud de que es el mejor en el mercado.  La compañía lo conservaría los 10 años completos adicionales</t>
    <phoneticPr fontId="4" type="noConversion"/>
  </si>
  <si>
    <t>para utilizarlo con una extensión del contrato o en otra apliación que permitiera recuperar los 3 años que quedan de</t>
    <phoneticPr fontId="4" type="noConversion"/>
  </si>
  <si>
    <t>capital invertido.  Claudia interpretó que la respuesta significaba que los últimos 3 años también serían de recuperación</t>
    <phoneticPr fontId="4" type="noConversion"/>
  </si>
  <si>
    <t xml:space="preserve">momento.  </t>
    <phoneticPr fontId="4" type="noConversion"/>
  </si>
  <si>
    <t>Ejemplo 11.7</t>
    <phoneticPr fontId="4" type="noConversion"/>
  </si>
  <si>
    <t xml:space="preserve">Amoco Canada cuenta con equipo de yacimiento petrolífero que puso en servicio hace 5 años, </t>
    <phoneticPr fontId="4" type="noConversion"/>
  </si>
  <si>
    <t xml:space="preserve">para el cual se solicita un análisis de reemplazo.  Como consecuencia del propósito específico </t>
    <phoneticPr fontId="4" type="noConversion"/>
  </si>
  <si>
    <t>Aérea de Estados Unidos para aviones de carga C-5A.  Una pieza esencial del equipo para operaciones de mantenimiento</t>
    <phoneticPr fontId="4" type="noConversion"/>
  </si>
  <si>
    <t>consiste en un sistema de diagnóstico de circuitos con aplicación para la aviación.  El sistema actual se compró</t>
    <phoneticPr fontId="4" type="noConversion"/>
  </si>
  <si>
    <t>Año (Retador)</t>
    <phoneticPr fontId="4" type="noConversion"/>
  </si>
  <si>
    <t>VC</t>
    <phoneticPr fontId="4" type="noConversion"/>
  </si>
  <si>
    <t>COA</t>
    <phoneticPr fontId="4" type="noConversion"/>
  </si>
  <si>
    <t>Tasa de interés</t>
    <phoneticPr fontId="4" type="noConversion"/>
  </si>
  <si>
    <t>Costo inicial</t>
    <phoneticPr fontId="4" type="noConversion"/>
  </si>
  <si>
    <t>Año (Defensor)</t>
    <phoneticPr fontId="4" type="noConversion"/>
  </si>
  <si>
    <t xml:space="preserve">Readecuación </t>
    <phoneticPr fontId="4" type="noConversion"/>
  </si>
  <si>
    <t>Estimados del COA: $4,000 el próximo año, con incrementos anuales de $4,000 de ahí en adelante,</t>
    <phoneticPr fontId="4" type="noConversion"/>
  </si>
  <si>
    <t>más $16,000 por la adecuación en el próximo año</t>
    <phoneticPr fontId="4" type="noConversion"/>
  </si>
  <si>
    <t>completos que quedan.</t>
    <phoneticPr fontId="4" type="noConversion"/>
  </si>
  <si>
    <t>Al darse cuenta de la importancia de las estimaciones exactas de los costos de la alternativa del defensor, Claudia</t>
    <phoneticPr fontId="4" type="noConversion"/>
  </si>
  <si>
    <t>R:)  Seleccionar el defensor pues tiene el mejor VA de costos ($17,307)!!</t>
    <phoneticPr fontId="4" type="noConversion"/>
  </si>
  <si>
    <t>c.) Después de un año, es tiempo de llevar a cabo el análisis de seguimiento.  El retador realiza grandes</t>
    <phoneticPr fontId="4" type="noConversion"/>
  </si>
  <si>
    <t>Observese, como cambian las condiciones de un año a otro!!</t>
    <phoneticPr fontId="4" type="noConversion"/>
  </si>
  <si>
    <t xml:space="preserve">Ahora econcontraremos el Valor de reemplazo (es el valor comercial mínimo del defensor necesario para que el retador sea atractivo en términos económicos. </t>
    <phoneticPr fontId="4" type="noConversion"/>
  </si>
  <si>
    <t>Valor Reemplzo Defensor</t>
    <phoneticPr fontId="4" type="noConversion"/>
  </si>
  <si>
    <t>Ejemplo 11.5</t>
    <phoneticPr fontId="4" type="noConversion"/>
  </si>
  <si>
    <t>El equipo tiene un valor comercial actual de $100,000; que se espera se reduzca en $25,000 cada</t>
    <phoneticPr fontId="4" type="noConversion"/>
  </si>
  <si>
    <t>año.  El COA es constante en este momento y se espera que permanezca así: $25,000 anuales.</t>
    <phoneticPr fontId="4" type="noConversion"/>
  </si>
  <si>
    <t>El retador de reemplazo consiste en un contrato a precio fijo, que ofrecerá los mismos servicios</t>
    <phoneticPr fontId="4" type="noConversion"/>
  </si>
  <si>
    <t>a $60,000 anuales por un mínimo de 2 años y un máximo de 5 años.  Aplique una TMAR de 12%</t>
    <phoneticPr fontId="4" type="noConversion"/>
  </si>
  <si>
    <t>anual para llevar a cabo un análisis de reemplazo durante un período de 6 años y determine en qué</t>
    <phoneticPr fontId="4" type="noConversion"/>
  </si>
  <si>
    <t>momento vender el equipo actual y comprar los servicios contractuales.</t>
    <phoneticPr fontId="4" type="noConversion"/>
  </si>
  <si>
    <t>Opción</t>
    <phoneticPr fontId="4" type="noConversion"/>
  </si>
  <si>
    <t>Defensor retenido</t>
    <phoneticPr fontId="4" type="noConversion"/>
  </si>
  <si>
    <t>Servicio del retador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</si>
  <si>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</si>
  <si>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</si>
  <si>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</si>
  <si>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VC</t>
    <phoneticPr fontId="4" type="noConversion"/>
  </si>
  <si>
    <t>COA</t>
    <phoneticPr fontId="4" type="noConversion"/>
  </si>
  <si>
    <t>G</t>
    <phoneticPr fontId="4" type="noConversion"/>
  </si>
  <si>
    <t>Defensor</t>
    <phoneticPr fontId="4" type="noConversion"/>
  </si>
  <si>
    <t>Retador</t>
    <phoneticPr fontId="4" type="noConversion"/>
  </si>
  <si>
    <t>VP</t>
    <phoneticPr fontId="4" type="noConversion"/>
  </si>
  <si>
    <t>Hace dos años, Toshiba Electronics realizó una inversión de $15 millones en una máquinaria nueva de</t>
    <phoneticPr fontId="4" type="noConversion"/>
  </si>
  <si>
    <t>un periodo de estudio de 12 años y b) Un periodo de estudio de 9 años.</t>
    <phoneticPr fontId="4" type="noConversion"/>
  </si>
  <si>
    <t>COA, $</t>
    <phoneticPr fontId="4" type="noConversion"/>
  </si>
  <si>
    <t>Costo Inicial $,  P</t>
    <phoneticPr fontId="4" type="noConversion"/>
  </si>
  <si>
    <t>Valor comercial VC, $</t>
    <phoneticPr fontId="4" type="noConversion"/>
  </si>
  <si>
    <t>Valor de salvamento S, $</t>
    <phoneticPr fontId="4" type="noConversion"/>
  </si>
  <si>
    <t>Vida, años</t>
    <phoneticPr fontId="4" type="noConversion"/>
  </si>
  <si>
    <t>El que se tiene actualmente</t>
    <phoneticPr fontId="4" type="noConversion"/>
  </si>
  <si>
    <t>Nueva compra</t>
    <phoneticPr fontId="4" type="noConversion"/>
  </si>
  <si>
    <t>De doble capacidad</t>
    <phoneticPr fontId="4" type="noConversion"/>
  </si>
  <si>
    <t>10% de P</t>
    <phoneticPr fontId="4" type="noConversion"/>
  </si>
  <si>
    <t>12% de P</t>
    <phoneticPr fontId="4" type="noConversion"/>
  </si>
  <si>
    <t>10% de P</t>
    <phoneticPr fontId="4" type="noConversion"/>
  </si>
  <si>
    <t xml:space="preserve">preguntó al jefe de la división qué sistema representaría una continuación lógica del actual dentro de 3 años, </t>
    <phoneticPr fontId="4" type="noConversion"/>
  </si>
  <si>
    <t>se puede adquirir otro camión de bomberos con la misma capacidad o un camión con el doble de capacidad puede</t>
    <phoneticPr fontId="4" type="noConversion"/>
  </si>
  <si>
    <t>sustituir al actual.  A continuación aparecen las estimaciones.  Compare las opciones al 12% anual aplicando a.)</t>
    <phoneticPr fontId="4" type="noConversion"/>
  </si>
  <si>
    <t xml:space="preserve">para cada año de su vida útil máxima restante de 2 años.  Se ha determinado que un </t>
    <phoneticPr fontId="4" type="noConversion"/>
  </si>
  <si>
    <t xml:space="preserve">reemplazo apropiado tiene valores anuales equivalentes de -$300,000, -$225,000 y </t>
    <phoneticPr fontId="4" type="noConversion"/>
  </si>
  <si>
    <t>, -$275,000 por año, si se conservara durante 1, 2 o 3 años, respectivamente.  Cuándo</t>
    <phoneticPr fontId="4" type="noConversion"/>
  </si>
  <si>
    <t>debe la compañía reemplazar la máquina, si usa un horizonte de planeación de 3 años?</t>
    <phoneticPr fontId="4" type="noConversion"/>
  </si>
  <si>
    <t>Use una tasa de interés de 18% anual.</t>
    <phoneticPr fontId="4" type="noConversion"/>
  </si>
  <si>
    <t>Realice una análisis de reemplazo para el período fijo del contrato de 10 años.</t>
    <phoneticPr fontId="4" type="noConversion"/>
  </si>
  <si>
    <t>Ejemplo 11.6</t>
    <phoneticPr fontId="4" type="noConversion"/>
  </si>
  <si>
    <t>Hace 3 años, el aeropuerto de O´Hare de Chicago compró una nuevo carro de bomberos.  Como  consecuencia</t>
    <phoneticPr fontId="4" type="noConversion"/>
  </si>
  <si>
    <t>del incremento en el número de vuelos, se requiere de una nueva capacidad en la lucha contra incendios.  Ahora</t>
    <phoneticPr fontId="4" type="noConversion"/>
  </si>
  <si>
    <t>c.)  Defensor</t>
  </si>
  <si>
    <t>R.)  Mejor comprar el camión doble. Ahorro de un poco más de $10,000 anuales</t>
    <phoneticPr fontId="4" type="noConversion"/>
  </si>
  <si>
    <t>hace 7 años con un contrato anterior.  No tiene costos de recuperación de capital restantes y los siguientes cálculos</t>
    <phoneticPr fontId="4" type="noConversion"/>
  </si>
  <si>
    <t>Defensor (1 año incremento 2 años)</t>
    <phoneticPr fontId="4" type="noConversion"/>
  </si>
  <si>
    <t>Retador (3 años)</t>
    <phoneticPr fontId="4" type="noConversion"/>
  </si>
  <si>
    <t>Defensor ( 2años  e incremento 1 año)</t>
    <phoneticPr fontId="4" type="noConversion"/>
  </si>
  <si>
    <t>VAD</t>
    <phoneticPr fontId="4" type="noConversion"/>
  </si>
  <si>
    <t>n (años)</t>
    <phoneticPr fontId="4" type="noConversion"/>
  </si>
  <si>
    <t>Retador</t>
    <phoneticPr fontId="4" type="noConversion"/>
  </si>
  <si>
    <t xml:space="preserve">Tasa </t>
    <phoneticPr fontId="4" type="noConversion"/>
  </si>
  <si>
    <t>VA TOTAL</t>
    <phoneticPr fontId="4" type="noConversion"/>
  </si>
  <si>
    <t>a.)  Defensor</t>
    <phoneticPr fontId="4" type="noConversion"/>
  </si>
  <si>
    <t>Usar SOLVER</t>
    <phoneticPr fontId="4" type="noConversion"/>
  </si>
  <si>
    <t>Celda Obejtivo: F83, valor a buscar:  - $19,123; celda a cambiar: D76</t>
    <phoneticPr fontId="4" type="noConversion"/>
  </si>
  <si>
    <t>Opcion 1</t>
    <phoneticPr fontId="4" type="noConversion"/>
  </si>
  <si>
    <t>Opcion 2</t>
    <phoneticPr fontId="4" type="noConversion"/>
  </si>
  <si>
    <t>Opción 1:  Usar el camión actual e incrementar con otro igual(misma capacidad)</t>
    <phoneticPr fontId="4" type="noConversion"/>
  </si>
  <si>
    <t>Opción 2:  Reemplazar con un camión de doble capacidad</t>
    <phoneticPr fontId="4" type="noConversion"/>
  </si>
  <si>
    <t>La mejor opción es C; tener el defensor 4 años y el retador 2!!!</t>
    <phoneticPr fontId="4" type="noConversion"/>
  </si>
  <si>
    <t>VR =</t>
    <phoneticPr fontId="4" type="noConversion"/>
  </si>
  <si>
    <t xml:space="preserve">Retador 10 años: </t>
    <phoneticPr fontId="4" type="noConversion"/>
  </si>
  <si>
    <t>del equipo, se decidió que el equipo actual sirva 2, 3 o 4 años antes de que se le reemplace.</t>
    <phoneticPr fontId="4" type="noConversion"/>
  </si>
  <si>
    <t>VA</t>
  </si>
  <si>
    <t>DEFENSOR</t>
  </si>
  <si>
    <t>DEN. SEGU</t>
  </si>
  <si>
    <t>DENFE. SEGUI</t>
  </si>
  <si>
    <t>VP</t>
  </si>
  <si>
    <t>Estimados del COA:</t>
  </si>
  <si>
    <t>R.)  Ahora es mejor el retador  pues tiene el mejor VA de costos ($19,123)!!!</t>
  </si>
  <si>
    <t>Defensor</t>
  </si>
  <si>
    <t>Defensor seguimiento</t>
  </si>
  <si>
    <t>V. Anual</t>
  </si>
  <si>
    <t>Viejito</t>
  </si>
  <si>
    <t>Nuevo</t>
  </si>
  <si>
    <t>3 años</t>
  </si>
  <si>
    <t>7 años</t>
  </si>
  <si>
    <t>Valor anual Total</t>
  </si>
  <si>
    <t xml:space="preserve">si LMCO consigue el contrato.  El jefe predijo que LMCO compraría el mismo sistema que ella había identificado como </t>
  </si>
  <si>
    <t>VUE</t>
  </si>
  <si>
    <t>celda del valor actual debe ser un número negativo</t>
  </si>
  <si>
    <t>--&gt; lo q debo generar cada año para recuperar</t>
  </si>
  <si>
    <t>opción 1</t>
  </si>
  <si>
    <t>opción 2</t>
  </si>
  <si>
    <t>B</t>
  </si>
  <si>
    <t>Lo mismo pero cambio el valor del tiempo</t>
  </si>
  <si>
    <t>2 AÑOS</t>
  </si>
  <si>
    <t>3 AÑOS</t>
  </si>
  <si>
    <t>4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</si>
</sst>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Q&quot;#,##0.00;[Red]\-&quot;Q&quot;#,##0.00"/>
    <numFmt numFmtId="164" formatCode="_-&quot;XDR&quot;* #,##0.00_-;\-&quot;XDR&quot;* #,##0.00_-;_-&quot;XDR&quot;* &quot;-&quot;??_-;_-@_-"/>
    <numFmt numFmtId="165" formatCode="_-[$$-409]* #,##0_ ;_-[$$-409]* \-#,##0\ ;_-[$$-409]* &quot;-&quot;_ ;_-@_ "/>
    <numFmt numFmtId="166" formatCode="#,##0_ ;\-#,##0\ "/>
    <numFmt numFmtId="167" formatCode="_-[$$-409]* #,##0.0_ ;_-[$$-409]* \-#,##0.0\ ;_-[$$-409]* &quot;-&quot;?_ ;_-@_ "/>
    <numFmt numFmtId="168" formatCode="_-[$$-409]* #,##0.00_ ;_-[$$-409]* \-#,##0.00\ ;_-[$$-409]* &quot;-&quot;??_ ;_-@_ "/>
    <numFmt numFmtId="169" formatCode="_([$$-409]* #,##0.00_);_([$$-409]* \(#,##0.00\);_([$$-409]* &quot;-&quot;??_);_(@_)"/>
    <numFmt numFmtId="170" formatCode="_-[$$-409]* #,##0_ ;_-[$$-409]* \-#,##0\ ;_-[$$-409]* &quot;-&quot;??_ ;_-@_ "/>
    <numFmt numFmtId="171" formatCode="_-[$$-540A]* #,##0.00_ ;_-[$$-540A]* \-#,##0.00\ ;_-[$$-540A]* &quot;-&quot;??_ ;_-@_ "/>
  </numFmts>
  <fonts count="8" x14ac:knownFonts="1">
    <font>
      <sz val="10"/>
      <name val="Verdana"/>
    </font>
    <font>
      <b/>
      <sz val="10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z val="10"/>
      <color indexed="10"/>
      <name val="Verdana"/>
      <family val="2"/>
    </font>
    <font>
      <b/>
      <sz val="10"/>
      <name val="Verdana"/>
      <family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52">
    <xf numFmtId="0" fontId="0" fillId="0" borderId="0" xfId="0"/>
    <xf numFmtId="165" fontId="0" fillId="0" borderId="0" xfId="0" applyNumberFormat="1"/>
    <xf numFmtId="9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165" fontId="3" fillId="2" borderId="0" xfId="0" applyNumberFormat="1" applyFont="1" applyFill="1"/>
    <xf numFmtId="2" fontId="0" fillId="0" borderId="0" xfId="0" applyNumberFormat="1"/>
    <xf numFmtId="165" fontId="2" fillId="2" borderId="0" xfId="0" applyNumberFormat="1" applyFont="1" applyFill="1"/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165" fontId="0" fillId="0" borderId="4" xfId="0" applyNumberFormat="1" applyBorder="1"/>
    <xf numFmtId="165" fontId="0" fillId="0" borderId="5" xfId="0" applyNumberFormat="1" applyBorder="1"/>
    <xf numFmtId="166" fontId="0" fillId="0" borderId="1" xfId="0" applyNumberFormat="1" applyBorder="1"/>
    <xf numFmtId="166" fontId="0" fillId="0" borderId="2" xfId="0" applyNumberFormat="1" applyBorder="1"/>
    <xf numFmtId="0" fontId="2" fillId="0" borderId="9" xfId="0" applyFont="1" applyBorder="1" applyAlignment="1">
      <alignment horizontal="center" wrapText="1"/>
    </xf>
    <xf numFmtId="165" fontId="0" fillId="0" borderId="6" xfId="0" applyNumberFormat="1" applyBorder="1"/>
    <xf numFmtId="166" fontId="0" fillId="0" borderId="3" xfId="0" applyNumberFormat="1" applyBorder="1"/>
    <xf numFmtId="0" fontId="2" fillId="0" borderId="10" xfId="0" applyFon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5" fontId="2" fillId="0" borderId="4" xfId="0" applyNumberFormat="1" applyFont="1" applyBorder="1"/>
    <xf numFmtId="168" fontId="0" fillId="0" borderId="0" xfId="0" applyNumberFormat="1"/>
    <xf numFmtId="168" fontId="2" fillId="2" borderId="0" xfId="0" applyNumberFormat="1" applyFont="1" applyFill="1" applyAlignment="1">
      <alignment horizontal="center"/>
    </xf>
    <xf numFmtId="0" fontId="5" fillId="0" borderId="0" xfId="0" applyFont="1"/>
    <xf numFmtId="168" fontId="0" fillId="2" borderId="0" xfId="0" applyNumberFormat="1" applyFill="1"/>
    <xf numFmtId="0" fontId="0" fillId="0" borderId="0" xfId="0" applyAlignment="1">
      <alignment horizontal="right"/>
    </xf>
    <xf numFmtId="168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8" fontId="1" fillId="0" borderId="0" xfId="0" applyNumberFormat="1" applyFont="1"/>
    <xf numFmtId="0" fontId="3" fillId="3" borderId="0" xfId="0" applyFont="1" applyFill="1" applyAlignment="1">
      <alignment horizontal="center"/>
    </xf>
    <xf numFmtId="165" fontId="0" fillId="3" borderId="0" xfId="0" applyNumberFormat="1" applyFill="1"/>
    <xf numFmtId="169" fontId="0" fillId="0" borderId="0" xfId="0" applyNumberFormat="1"/>
    <xf numFmtId="168" fontId="0" fillId="3" borderId="0" xfId="0" applyNumberFormat="1" applyFill="1"/>
    <xf numFmtId="170" fontId="0" fillId="0" borderId="0" xfId="0" applyNumberFormat="1"/>
    <xf numFmtId="0" fontId="6" fillId="0" borderId="0" xfId="0" applyFont="1" applyAlignment="1">
      <alignment horizontal="center"/>
    </xf>
    <xf numFmtId="0" fontId="7" fillId="0" borderId="0" xfId="0" applyFont="1"/>
    <xf numFmtId="171" fontId="0" fillId="0" borderId="0" xfId="0" applyNumberFormat="1"/>
    <xf numFmtId="171" fontId="0" fillId="4" borderId="0" xfId="0" applyNumberFormat="1" applyFill="1"/>
    <xf numFmtId="168" fontId="0" fillId="4" borderId="0" xfId="0" applyNumberFormat="1" applyFill="1"/>
    <xf numFmtId="0" fontId="0" fillId="3" borderId="0" xfId="0" applyFill="1"/>
    <xf numFmtId="0" fontId="0" fillId="5" borderId="0" xfId="0" applyFill="1"/>
    <xf numFmtId="165" fontId="0" fillId="3" borderId="10" xfId="0" applyNumberFormat="1" applyFill="1" applyBorder="1"/>
    <xf numFmtId="8" fontId="0" fillId="0" borderId="0" xfId="0" applyNumberFormat="1"/>
    <xf numFmtId="168" fontId="7" fillId="0" borderId="0" xfId="1" applyNumberFormat="1" applyFont="1" applyAlignment="1">
      <alignment wrapText="1"/>
    </xf>
    <xf numFmtId="0" fontId="2" fillId="0" borderId="10" xfId="0" applyFont="1" applyBorder="1" applyAlignment="1">
      <alignment horizontal="center"/>
    </xf>
    <xf numFmtId="0" fontId="0" fillId="0" borderId="0" xfId="0" quotePrefix="1"/>
  </cellXfs>
  <cellStyles count="2">
    <cellStyle name="Moneda" xfId="1" builtinId="4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'Ejemplo 11.2'!$D$29</c:f>
              <c:strCache>
                <c:ptCount val="1"/>
                <c:pt idx="0">
                  <c:v>RC</c:v>
                </c:pt>
              </c:strCache>
            </c:strRef>
          </c:tx>
          <c:xVal>
            <c:numRef>
              <c:f>'Ejemplo 11.2'!$A$30:$A$34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'Ejemplo 11.2'!$D$30:$D$34</c:f>
              <c:numCache>
                <c:formatCode>_-[$$-409]* #,##0_ ;_-[$$-409]* \-#,##0\ ;_-[$$-409]* "-"_ ;_-@_ </c:formatCode>
                <c:ptCount val="5"/>
                <c:pt idx="0">
                  <c:v>5300.0000000000009</c:v>
                </c:pt>
                <c:pt idx="1">
                  <c:v>3680.9523809523816</c:v>
                </c:pt>
                <c:pt idx="2">
                  <c:v>3414.8036253776445</c:v>
                </c:pt>
                <c:pt idx="3">
                  <c:v>3670.1788407670765</c:v>
                </c:pt>
                <c:pt idx="4">
                  <c:v>3429.3672503316902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2-45A7-B01D-F125471900D6}"/>
            </c:ext>
          </c:extLst>
        </c:ser>
        <c:ser>
          <c:idx val="1"/>
          <c:order val="1"/>
          <c:tx>
            <c:strRef>
              <c:f>'Ejemplo 11.2'!$E$29</c:f>
              <c:strCache>
                <c:ptCount val="1"/>
                <c:pt idx="0">
                  <c:v>VA del COA</c:v>
                </c:pt>
              </c:strCache>
            </c:strRef>
          </c:tx>
          <c:xVal>
            <c:numRef>
              <c:f>'Ejemplo 11.2'!$A$30:$A$34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'Ejemplo 11.2'!$E$30:$E$34</c:f>
              <c:numCache>
                <c:formatCode>_-[$$-409]* #,##0_ ;_-[$$-409]* \-#,##0\ ;_-[$$-409]* "-"_ ;_-@_ </c:formatCode>
                <c:ptCount val="5"/>
                <c:pt idx="0">
                  <c:v>2500</c:v>
                </c:pt>
                <c:pt idx="1">
                  <c:v>2595.2380952380954</c:v>
                </c:pt>
                <c:pt idx="2">
                  <c:v>2717.5226586102726</c:v>
                </c:pt>
                <c:pt idx="3">
                  <c:v>2886.1236802413268</c:v>
                </c:pt>
                <c:pt idx="4">
                  <c:v>3150.4725557320926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72-45A7-B01D-F125471900D6}"/>
            </c:ext>
          </c:extLst>
        </c:ser>
        <c:ser>
          <c:idx val="2"/>
          <c:order val="2"/>
          <c:tx>
            <c:strRef>
              <c:f>'Ejemplo 11.2'!$F$29</c:f>
              <c:strCache>
                <c:ptCount val="1"/>
                <c:pt idx="0">
                  <c:v>VA total</c:v>
                </c:pt>
              </c:strCache>
            </c:strRef>
          </c:tx>
          <c:xVal>
            <c:numRef>
              <c:f>'Ejemplo 11.2'!$A$30:$A$34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'Ejemplo 11.2'!$F$30:$F$34</c:f>
              <c:numCache>
                <c:formatCode>_-[$$-409]* #,##0_ ;_-[$$-409]* \-#,##0\ ;_-[$$-409]* "-"_ ;_-@_ </c:formatCode>
                <c:ptCount val="5"/>
                <c:pt idx="0">
                  <c:v>7800.0000000000009</c:v>
                </c:pt>
                <c:pt idx="1">
                  <c:v>6276.1904761904771</c:v>
                </c:pt>
                <c:pt idx="2">
                  <c:v>6132.3262839879171</c:v>
                </c:pt>
                <c:pt idx="3">
                  <c:v>6556.3025210084033</c:v>
                </c:pt>
                <c:pt idx="4">
                  <c:v>6579.8398060637828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72-45A7-B01D-F12547190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88056"/>
        <c:axId val="534191288"/>
      </c:scatterChart>
      <c:valAx>
        <c:axId val="53418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534191288"/>
        <c:crosses val="autoZero"/>
        <c:crossBetween val="midCat"/>
      </c:valAx>
      <c:valAx>
        <c:axId val="534191288"/>
        <c:scaling>
          <c:orientation val="minMax"/>
        </c:scaling>
        <c:delete val="0"/>
        <c:axPos val="l"/>
        <c:majorGridlines/>
        <c:numFmt formatCode="_-[$$-409]* #,##0_ ;_-[$$-409]* \-#,##0\ ;_-[$$-409]* &quot;-&quot;_ ;_-@_ " sourceLinked="1"/>
        <c:majorTickMark val="out"/>
        <c:minorTickMark val="none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53418805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s-GT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17</xdr:row>
      <xdr:rowOff>139700</xdr:rowOff>
    </xdr:from>
    <xdr:to>
      <xdr:col>11</xdr:col>
      <xdr:colOff>774700</xdr:colOff>
      <xdr:row>34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opLeftCell="A13" zoomScale="120" zoomScaleNormal="120" zoomScalePageLayoutView="90" workbookViewId="0">
      <selection activeCell="G29" sqref="G29"/>
    </sheetView>
  </sheetViews>
  <sheetFormatPr baseColWidth="10" defaultRowHeight="12.6" x14ac:dyDescent="0.2"/>
  <cols>
    <col min="1" max="1" width="14.36328125" customWidth="1"/>
    <col min="3" max="3" width="10.08984375" customWidth="1"/>
    <col min="4" max="4" width="12" bestFit="1" customWidth="1"/>
    <col min="5" max="5" width="10.36328125" customWidth="1"/>
    <col min="6" max="6" width="13" bestFit="1" customWidth="1"/>
  </cols>
  <sheetData>
    <row r="1" spans="1:6" x14ac:dyDescent="0.2">
      <c r="A1" t="s">
        <v>66</v>
      </c>
    </row>
    <row r="2" spans="1:6" x14ac:dyDescent="0.2">
      <c r="A2" t="s">
        <v>29</v>
      </c>
    </row>
    <row r="3" spans="1:6" x14ac:dyDescent="0.2">
      <c r="A3" t="s">
        <v>67</v>
      </c>
    </row>
    <row r="4" spans="1:6" x14ac:dyDescent="0.2">
      <c r="A4" t="s">
        <v>9</v>
      </c>
    </row>
    <row r="5" spans="1:6" x14ac:dyDescent="0.2">
      <c r="A5" t="s">
        <v>10</v>
      </c>
    </row>
    <row r="8" spans="1:6" ht="37.799999999999997" x14ac:dyDescent="0.2">
      <c r="A8" s="3" t="s">
        <v>12</v>
      </c>
      <c r="B8" s="3" t="s">
        <v>23</v>
      </c>
      <c r="C8" s="3" t="s">
        <v>24</v>
      </c>
      <c r="D8" s="4" t="s">
        <v>11</v>
      </c>
      <c r="E8" s="4" t="s">
        <v>50</v>
      </c>
      <c r="F8" s="4" t="s">
        <v>51</v>
      </c>
    </row>
    <row r="9" spans="1:6" x14ac:dyDescent="0.2">
      <c r="A9">
        <v>1</v>
      </c>
      <c r="B9" s="1">
        <v>9000</v>
      </c>
      <c r="C9" s="1">
        <v>-2500</v>
      </c>
      <c r="D9" s="1">
        <v>-5300</v>
      </c>
      <c r="E9" s="1">
        <v>-2500</v>
      </c>
      <c r="F9" s="1">
        <v>-7800</v>
      </c>
    </row>
    <row r="10" spans="1:6" x14ac:dyDescent="0.2">
      <c r="A10">
        <v>2</v>
      </c>
      <c r="B10" s="1">
        <v>8000</v>
      </c>
      <c r="C10" s="1">
        <v>-2700</v>
      </c>
      <c r="D10" s="1">
        <v>-3681</v>
      </c>
      <c r="E10" s="1">
        <v>-2595</v>
      </c>
      <c r="F10" s="1">
        <v>-6276</v>
      </c>
    </row>
    <row r="11" spans="1:6" x14ac:dyDescent="0.2">
      <c r="A11">
        <v>3</v>
      </c>
      <c r="B11" s="1">
        <v>6000</v>
      </c>
      <c r="C11" s="1">
        <v>-3000</v>
      </c>
      <c r="D11" s="1">
        <v>-3415</v>
      </c>
      <c r="E11" s="1">
        <v>-2717</v>
      </c>
      <c r="F11" s="1">
        <v>-6132</v>
      </c>
    </row>
    <row r="12" spans="1:6" x14ac:dyDescent="0.2">
      <c r="A12">
        <v>4</v>
      </c>
      <c r="B12" s="1">
        <v>2000</v>
      </c>
      <c r="C12" s="1">
        <v>-3500</v>
      </c>
      <c r="D12" s="1">
        <v>-3670</v>
      </c>
      <c r="E12" s="1">
        <v>-2886</v>
      </c>
      <c r="F12" s="1">
        <v>-6556</v>
      </c>
    </row>
    <row r="13" spans="1:6" x14ac:dyDescent="0.2">
      <c r="A13">
        <v>5</v>
      </c>
      <c r="B13" s="1">
        <v>0</v>
      </c>
      <c r="C13" s="1">
        <v>-4500</v>
      </c>
      <c r="D13" s="1">
        <v>-3429</v>
      </c>
      <c r="E13" s="1">
        <v>-3150</v>
      </c>
      <c r="F13" s="1">
        <v>-6579</v>
      </c>
    </row>
    <row r="17" spans="1:7" x14ac:dyDescent="0.2">
      <c r="A17" t="s">
        <v>13</v>
      </c>
      <c r="B17" s="2">
        <v>0.1</v>
      </c>
    </row>
    <row r="18" spans="1:7" x14ac:dyDescent="0.2">
      <c r="A18" t="s">
        <v>14</v>
      </c>
      <c r="B18" s="1">
        <v>13000</v>
      </c>
    </row>
    <row r="20" spans="1:7" ht="25.2" x14ac:dyDescent="0.2">
      <c r="A20" s="3" t="s">
        <v>16</v>
      </c>
      <c r="B20" s="35" t="s">
        <v>15</v>
      </c>
      <c r="C20" s="35" t="s">
        <v>17</v>
      </c>
      <c r="D20" s="4" t="s">
        <v>18</v>
      </c>
      <c r="E20" s="4" t="s">
        <v>19</v>
      </c>
      <c r="F20" s="4" t="s">
        <v>22</v>
      </c>
    </row>
    <row r="21" spans="1:7" x14ac:dyDescent="0.2">
      <c r="A21">
        <v>1</v>
      </c>
      <c r="B21" s="36">
        <v>9000</v>
      </c>
      <c r="C21" s="36">
        <v>-2500</v>
      </c>
      <c r="D21" s="1">
        <f>-PMT($B$17,A21,-$B$18,B21)</f>
        <v>-5300.0000000000009</v>
      </c>
      <c r="E21" s="1">
        <f>-PMT($B$17,A21,NPV($B$17,$C$21:C21))</f>
        <v>-2500</v>
      </c>
      <c r="F21" s="1">
        <f>D21+E21</f>
        <v>-7800.0000000000009</v>
      </c>
      <c r="G21" s="27"/>
    </row>
    <row r="22" spans="1:7" x14ac:dyDescent="0.2">
      <c r="A22">
        <v>2</v>
      </c>
      <c r="B22" s="36">
        <v>8000</v>
      </c>
      <c r="C22" s="36">
        <v>-2700</v>
      </c>
      <c r="D22" s="1">
        <f t="shared" ref="D22:D25" si="0">-PMT($B$17,A22,-$B$18,B22)</f>
        <v>-3680.9523809523816</v>
      </c>
      <c r="E22" s="1">
        <f>-PMT($B$17,A22,NPV($B$17,$C$21:C22))</f>
        <v>-2595.2380952380954</v>
      </c>
      <c r="F22" s="1">
        <f t="shared" ref="F22:F25" si="1">D22+E22</f>
        <v>-6276.1904761904771</v>
      </c>
      <c r="G22" s="27"/>
    </row>
    <row r="23" spans="1:7" x14ac:dyDescent="0.2">
      <c r="A23">
        <v>3</v>
      </c>
      <c r="B23" s="36">
        <v>6000</v>
      </c>
      <c r="C23" s="36">
        <v>-3000</v>
      </c>
      <c r="D23" s="1">
        <f t="shared" si="0"/>
        <v>-3414.8036253776445</v>
      </c>
      <c r="E23" s="1">
        <f>-PMT($B$17,A23,NPV($B$17,$C$21:C23))</f>
        <v>-2717.5226586102726</v>
      </c>
      <c r="F23" s="47">
        <f t="shared" si="1"/>
        <v>-6132.3262839879171</v>
      </c>
      <c r="G23" s="27" t="s">
        <v>28</v>
      </c>
    </row>
    <row r="24" spans="1:7" x14ac:dyDescent="0.2">
      <c r="A24">
        <v>4</v>
      </c>
      <c r="B24" s="36">
        <v>2000</v>
      </c>
      <c r="C24" s="36">
        <v>-3500</v>
      </c>
      <c r="D24" s="1">
        <f t="shared" si="0"/>
        <v>-3670.1788407670765</v>
      </c>
      <c r="E24" s="1">
        <f>-PMT($B$17,A24,NPV($B$17,$C$21:C24))</f>
        <v>-2886.1236802413268</v>
      </c>
      <c r="F24" s="1">
        <f t="shared" si="1"/>
        <v>-6556.3025210084033</v>
      </c>
      <c r="G24" s="27"/>
    </row>
    <row r="25" spans="1:7" x14ac:dyDescent="0.2">
      <c r="A25">
        <v>5</v>
      </c>
      <c r="B25" s="36">
        <v>0</v>
      </c>
      <c r="C25" s="36">
        <v>-4500</v>
      </c>
      <c r="D25" s="1">
        <f t="shared" si="0"/>
        <v>-3429.3672503316902</v>
      </c>
      <c r="E25" s="1">
        <f>-PMT($B$17,A25,NPV($B$17,$C$21:C25))</f>
        <v>-3150.4725557320926</v>
      </c>
      <c r="F25" s="1">
        <f t="shared" si="1"/>
        <v>-6579.8398060637828</v>
      </c>
      <c r="G25" s="27"/>
    </row>
    <row r="29" spans="1:7" ht="25.2" x14ac:dyDescent="0.2">
      <c r="A29" s="3" t="s">
        <v>16</v>
      </c>
      <c r="B29" s="3" t="s">
        <v>15</v>
      </c>
      <c r="C29" s="3" t="s">
        <v>17</v>
      </c>
      <c r="D29" s="4" t="s">
        <v>18</v>
      </c>
      <c r="E29" s="4" t="s">
        <v>19</v>
      </c>
      <c r="F29" s="4" t="s">
        <v>22</v>
      </c>
    </row>
    <row r="30" spans="1:7" x14ac:dyDescent="0.2">
      <c r="A30">
        <v>1</v>
      </c>
      <c r="B30" s="1">
        <v>9000</v>
      </c>
      <c r="C30" s="1">
        <v>-2500</v>
      </c>
      <c r="D30" s="1">
        <f>PMT($B$17,A21,-$B$18,B21)</f>
        <v>5300.0000000000009</v>
      </c>
      <c r="E30" s="1">
        <f>PMT($B$17,A21,NPV($B$17,$C$21:C21))</f>
        <v>2500</v>
      </c>
      <c r="F30" s="1">
        <f>(D21+E21)*-1</f>
        <v>7800.0000000000009</v>
      </c>
    </row>
    <row r="31" spans="1:7" x14ac:dyDescent="0.2">
      <c r="A31">
        <v>2</v>
      </c>
      <c r="B31" s="1">
        <v>8000</v>
      </c>
      <c r="C31" s="1">
        <v>-2700</v>
      </c>
      <c r="D31" s="1">
        <f t="shared" ref="D31:D34" si="2">PMT($B$17,A22,-$B$18,B22)</f>
        <v>3680.9523809523816</v>
      </c>
      <c r="E31" s="1">
        <f>PMT($B$17,A22,NPV($B$17,$C$21:C22))</f>
        <v>2595.2380952380954</v>
      </c>
      <c r="F31" s="1">
        <f t="shared" ref="F31:F34" si="3">(D22+E22)*-1</f>
        <v>6276.1904761904771</v>
      </c>
    </row>
    <row r="32" spans="1:7" x14ac:dyDescent="0.2">
      <c r="A32">
        <v>3</v>
      </c>
      <c r="B32" s="1">
        <v>6000</v>
      </c>
      <c r="C32" s="1">
        <v>-3000</v>
      </c>
      <c r="D32" s="1">
        <f t="shared" si="2"/>
        <v>3414.8036253776445</v>
      </c>
      <c r="E32" s="1">
        <f>PMT($B$17,A23,NPV($B$17,$C$21:C23))</f>
        <v>2717.5226586102726</v>
      </c>
      <c r="F32" s="1">
        <f t="shared" si="3"/>
        <v>6132.3262839879171</v>
      </c>
    </row>
    <row r="33" spans="1:6" x14ac:dyDescent="0.2">
      <c r="A33">
        <v>4</v>
      </c>
      <c r="B33" s="1">
        <v>2000</v>
      </c>
      <c r="C33" s="1">
        <v>-3500</v>
      </c>
      <c r="D33" s="1">
        <f t="shared" si="2"/>
        <v>3670.1788407670765</v>
      </c>
      <c r="E33" s="1">
        <f>PMT($B$17,A24,NPV($B$17,$C$21:C24))</f>
        <v>2886.1236802413268</v>
      </c>
      <c r="F33" s="1">
        <f t="shared" si="3"/>
        <v>6556.3025210084033</v>
      </c>
    </row>
    <row r="34" spans="1:6" x14ac:dyDescent="0.2">
      <c r="A34">
        <v>5</v>
      </c>
      <c r="B34" s="1">
        <v>0</v>
      </c>
      <c r="C34" s="1">
        <v>-4500</v>
      </c>
      <c r="D34" s="1">
        <f t="shared" si="2"/>
        <v>3429.3672503316902</v>
      </c>
      <c r="E34" s="1">
        <f>PMT($B$17,A25,NPV($B$17,$C$21:C25))</f>
        <v>3150.4725557320926</v>
      </c>
      <c r="F34" s="1">
        <f t="shared" si="3"/>
        <v>6579.8398060637828</v>
      </c>
    </row>
  </sheetData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topLeftCell="A65" zoomScale="120" zoomScaleNormal="120" zoomScalePageLayoutView="80" workbookViewId="0">
      <selection activeCell="F85" sqref="F85"/>
    </sheetView>
  </sheetViews>
  <sheetFormatPr baseColWidth="10" defaultRowHeight="12.6" x14ac:dyDescent="0.2"/>
  <cols>
    <col min="1" max="1" width="22.90625" customWidth="1"/>
    <col min="2" max="2" width="16.26953125" customWidth="1"/>
    <col min="3" max="3" width="15.36328125" customWidth="1"/>
    <col min="4" max="4" width="19.1796875" customWidth="1"/>
    <col min="5" max="5" width="14.36328125" customWidth="1"/>
    <col min="6" max="6" width="18" customWidth="1"/>
    <col min="7" max="7" width="12.1796875" bestFit="1" customWidth="1"/>
    <col min="8" max="8" width="68.36328125" bestFit="1" customWidth="1"/>
    <col min="10" max="10" width="14" customWidth="1"/>
  </cols>
  <sheetData>
    <row r="1" spans="1:4" x14ac:dyDescent="0.2">
      <c r="A1" t="s">
        <v>53</v>
      </c>
    </row>
    <row r="2" spans="1:4" x14ac:dyDescent="0.2">
      <c r="A2" t="s">
        <v>112</v>
      </c>
    </row>
    <row r="3" spans="1:4" x14ac:dyDescent="0.2">
      <c r="A3" t="s">
        <v>30</v>
      </c>
    </row>
    <row r="4" spans="1:4" x14ac:dyDescent="0.2">
      <c r="A4" t="s">
        <v>31</v>
      </c>
    </row>
    <row r="5" spans="1:4" x14ac:dyDescent="0.2">
      <c r="A5" t="s">
        <v>32</v>
      </c>
    </row>
    <row r="6" spans="1:4" x14ac:dyDescent="0.2">
      <c r="A6" t="s">
        <v>25</v>
      </c>
    </row>
    <row r="7" spans="1:4" x14ac:dyDescent="0.2">
      <c r="A7" t="s">
        <v>33</v>
      </c>
    </row>
    <row r="8" spans="1:4" x14ac:dyDescent="0.2">
      <c r="A8" t="s">
        <v>65</v>
      </c>
    </row>
    <row r="9" spans="1:4" x14ac:dyDescent="0.2">
      <c r="A9" t="s">
        <v>58</v>
      </c>
    </row>
    <row r="10" spans="1:4" x14ac:dyDescent="0.2">
      <c r="A10" t="s">
        <v>59</v>
      </c>
    </row>
    <row r="11" spans="1:4" x14ac:dyDescent="0.2">
      <c r="A11" t="s">
        <v>26</v>
      </c>
    </row>
    <row r="12" spans="1:4" x14ac:dyDescent="0.2">
      <c r="A12" t="s">
        <v>60</v>
      </c>
    </row>
    <row r="13" spans="1:4" x14ac:dyDescent="0.2">
      <c r="A13" t="s">
        <v>61</v>
      </c>
    </row>
    <row r="14" spans="1:4" x14ac:dyDescent="0.2">
      <c r="A14" t="s">
        <v>62</v>
      </c>
      <c r="D14" s="27">
        <f>200*70000</f>
        <v>14000000</v>
      </c>
    </row>
    <row r="16" spans="1:4" x14ac:dyDescent="0.2">
      <c r="A16" t="s">
        <v>63</v>
      </c>
      <c r="B16" t="s">
        <v>64</v>
      </c>
    </row>
    <row r="17" spans="1:2" x14ac:dyDescent="0.2">
      <c r="A17" t="s">
        <v>3</v>
      </c>
    </row>
    <row r="18" spans="1:2" x14ac:dyDescent="0.2">
      <c r="A18" t="s">
        <v>4</v>
      </c>
    </row>
    <row r="19" spans="1:2" x14ac:dyDescent="0.2">
      <c r="A19" s="41" t="s">
        <v>164</v>
      </c>
      <c r="B19" t="s">
        <v>46</v>
      </c>
    </row>
    <row r="21" spans="1:2" x14ac:dyDescent="0.2">
      <c r="A21" t="s">
        <v>47</v>
      </c>
    </row>
    <row r="22" spans="1:2" x14ac:dyDescent="0.2">
      <c r="A22" t="s">
        <v>48</v>
      </c>
    </row>
    <row r="23" spans="1:2" x14ac:dyDescent="0.2">
      <c r="A23" t="s">
        <v>49</v>
      </c>
    </row>
    <row r="24" spans="1:2" x14ac:dyDescent="0.2">
      <c r="A24" t="s">
        <v>84</v>
      </c>
    </row>
    <row r="25" spans="1:2" x14ac:dyDescent="0.2">
      <c r="A25" t="s">
        <v>85</v>
      </c>
    </row>
    <row r="27" spans="1:2" x14ac:dyDescent="0.2">
      <c r="A27" t="s">
        <v>89</v>
      </c>
    </row>
    <row r="28" spans="1:2" x14ac:dyDescent="0.2">
      <c r="A28" t="s">
        <v>36</v>
      </c>
    </row>
    <row r="29" spans="1:2" x14ac:dyDescent="0.2">
      <c r="A29" t="s">
        <v>37</v>
      </c>
    </row>
    <row r="30" spans="1:2" x14ac:dyDescent="0.2">
      <c r="A30" t="s">
        <v>0</v>
      </c>
    </row>
    <row r="31" spans="1:2" x14ac:dyDescent="0.2">
      <c r="A31" t="s">
        <v>1</v>
      </c>
    </row>
    <row r="32" spans="1:2" x14ac:dyDescent="0.2">
      <c r="A32" t="s">
        <v>2</v>
      </c>
    </row>
    <row r="33" spans="1:7" x14ac:dyDescent="0.2">
      <c r="A33" t="s">
        <v>57</v>
      </c>
    </row>
    <row r="35" spans="1:7" x14ac:dyDescent="0.2">
      <c r="C35" t="s">
        <v>80</v>
      </c>
      <c r="D35" s="2">
        <v>0.1</v>
      </c>
    </row>
    <row r="36" spans="1:7" x14ac:dyDescent="0.2">
      <c r="A36" t="s">
        <v>52</v>
      </c>
      <c r="C36" t="s">
        <v>81</v>
      </c>
      <c r="D36" s="1">
        <f>B40</f>
        <v>50000</v>
      </c>
    </row>
    <row r="37" spans="1:7" x14ac:dyDescent="0.2">
      <c r="A37" t="s">
        <v>27</v>
      </c>
    </row>
    <row r="38" spans="1:7" x14ac:dyDescent="0.2">
      <c r="B38" s="6">
        <v>0.8</v>
      </c>
      <c r="C38" s="1">
        <v>-2000</v>
      </c>
    </row>
    <row r="39" spans="1:7" x14ac:dyDescent="0.2">
      <c r="A39" s="3" t="s">
        <v>77</v>
      </c>
      <c r="B39" s="3" t="s">
        <v>78</v>
      </c>
      <c r="C39" s="3" t="s">
        <v>79</v>
      </c>
      <c r="D39" s="4" t="s">
        <v>18</v>
      </c>
      <c r="E39" s="4" t="s">
        <v>19</v>
      </c>
      <c r="F39" s="4" t="s">
        <v>22</v>
      </c>
    </row>
    <row r="40" spans="1:7" x14ac:dyDescent="0.2">
      <c r="A40">
        <v>0</v>
      </c>
      <c r="B40" s="1">
        <v>50000</v>
      </c>
      <c r="C40" s="1">
        <v>0</v>
      </c>
    </row>
    <row r="41" spans="1:7" x14ac:dyDescent="0.2">
      <c r="A41">
        <v>1</v>
      </c>
      <c r="B41" s="1">
        <f>B40*$B$38</f>
        <v>40000</v>
      </c>
      <c r="C41" s="1">
        <v>-5000</v>
      </c>
      <c r="D41" s="48">
        <f>-PMT($D$35,A41,-$D$36,B41)</f>
        <v>-15000</v>
      </c>
      <c r="E41" s="1">
        <f>-PMT($D$35,A41,NPV($D$35,$C$41:C41))</f>
        <v>-5000</v>
      </c>
      <c r="F41" s="1">
        <f>D41+E41</f>
        <v>-20000</v>
      </c>
    </row>
    <row r="42" spans="1:7" x14ac:dyDescent="0.2">
      <c r="A42">
        <v>2</v>
      </c>
      <c r="B42" s="1">
        <f>B41*$B$38</f>
        <v>32000</v>
      </c>
      <c r="C42" s="1">
        <f>C41+$C$38</f>
        <v>-7000</v>
      </c>
      <c r="D42" s="48">
        <f t="shared" ref="D42:D45" si="0">-PMT($D$35,A42,-$D$36,B42)</f>
        <v>-13571.428571428574</v>
      </c>
      <c r="E42" s="1">
        <f>-PMT($D$35,A42,NPV($D$35,$C$41:C42))</f>
        <v>-5952.3809523809541</v>
      </c>
      <c r="F42" s="1">
        <f t="shared" ref="F42:F45" si="1">D42+E42</f>
        <v>-19523.809523809527</v>
      </c>
    </row>
    <row r="43" spans="1:7" x14ac:dyDescent="0.2">
      <c r="A43">
        <v>3</v>
      </c>
      <c r="B43" s="1">
        <f>B42*$B$38</f>
        <v>25600</v>
      </c>
      <c r="C43" s="1">
        <f>C42+$C$38</f>
        <v>-9000</v>
      </c>
      <c r="D43" s="48">
        <f t="shared" si="0"/>
        <v>-12371.601208459217</v>
      </c>
      <c r="E43" s="1">
        <f>-PMT($D$35,A43,NPV($D$35,$C$41:C43))</f>
        <v>-6873.1117824773428</v>
      </c>
      <c r="F43" s="1">
        <f t="shared" si="1"/>
        <v>-19244.712990936561</v>
      </c>
    </row>
    <row r="44" spans="1:7" x14ac:dyDescent="0.2">
      <c r="A44" s="45">
        <v>4</v>
      </c>
      <c r="B44" s="1">
        <f>B43*$B$38</f>
        <v>20480</v>
      </c>
      <c r="C44" s="1">
        <f>C43+$C$38</f>
        <v>-11000</v>
      </c>
      <c r="D44" s="48">
        <f t="shared" si="0"/>
        <v>-11360.698125404007</v>
      </c>
      <c r="E44" s="1">
        <f>-PMT($D$35,A44,NPV($D$35,$C$41:C44))</f>
        <v>-7762.3357035121726</v>
      </c>
      <c r="F44" s="36">
        <f t="shared" si="1"/>
        <v>-19123.033828916181</v>
      </c>
      <c r="G44" s="41" t="s">
        <v>175</v>
      </c>
    </row>
    <row r="45" spans="1:7" x14ac:dyDescent="0.2">
      <c r="A45">
        <v>5</v>
      </c>
      <c r="B45" s="1">
        <f>B44*$B$38</f>
        <v>16384</v>
      </c>
      <c r="C45" s="1">
        <f>C44+$C$38</f>
        <v>-13000</v>
      </c>
      <c r="D45" s="48">
        <f t="shared" si="0"/>
        <v>-10506.216114396162</v>
      </c>
      <c r="E45" s="1">
        <f>-PMT($D$35,A45,NPV($D$35,$C$41:C45))</f>
        <v>-8620.2519205254612</v>
      </c>
      <c r="F45" s="1">
        <f t="shared" si="1"/>
        <v>-19126.468034921621</v>
      </c>
    </row>
    <row r="46" spans="1:7" ht="37.200000000000003" customHeight="1" x14ac:dyDescent="0.2">
      <c r="D46" s="49" t="s">
        <v>176</v>
      </c>
    </row>
    <row r="48" spans="1:7" x14ac:dyDescent="0.2">
      <c r="C48" t="s">
        <v>80</v>
      </c>
      <c r="D48" s="2">
        <v>0.1</v>
      </c>
    </row>
    <row r="49" spans="1:8" x14ac:dyDescent="0.2">
      <c r="A49" t="s">
        <v>52</v>
      </c>
      <c r="C49" t="s">
        <v>81</v>
      </c>
      <c r="D49" s="1">
        <v>15000</v>
      </c>
    </row>
    <row r="50" spans="1:8" x14ac:dyDescent="0.2">
      <c r="A50" t="s">
        <v>148</v>
      </c>
      <c r="C50" t="s">
        <v>83</v>
      </c>
      <c r="D50" s="1">
        <v>-16000</v>
      </c>
    </row>
    <row r="51" spans="1:8" x14ac:dyDescent="0.2">
      <c r="B51" s="6">
        <v>0.8</v>
      </c>
      <c r="C51" s="1">
        <v>-4000</v>
      </c>
    </row>
    <row r="52" spans="1:8" x14ac:dyDescent="0.2">
      <c r="A52" s="3" t="s">
        <v>82</v>
      </c>
      <c r="B52" s="3" t="s">
        <v>78</v>
      </c>
      <c r="C52" s="3" t="s">
        <v>79</v>
      </c>
      <c r="D52" s="4" t="s">
        <v>18</v>
      </c>
      <c r="E52" s="4" t="s">
        <v>19</v>
      </c>
      <c r="F52" s="4" t="s">
        <v>22</v>
      </c>
    </row>
    <row r="53" spans="1:8" x14ac:dyDescent="0.2">
      <c r="A53">
        <v>0</v>
      </c>
      <c r="B53" s="1">
        <f>D49</f>
        <v>15000</v>
      </c>
      <c r="C53" s="1">
        <v>0</v>
      </c>
    </row>
    <row r="54" spans="1:8" x14ac:dyDescent="0.2">
      <c r="A54">
        <v>1</v>
      </c>
      <c r="B54" s="1">
        <f>B53*$B$51</f>
        <v>12000</v>
      </c>
      <c r="C54" s="1">
        <f>D50+C51</f>
        <v>-20000</v>
      </c>
      <c r="D54" s="1">
        <f>-PMT($D$48,A54,-$D$49,B54)</f>
        <v>-4500.0000000000009</v>
      </c>
      <c r="E54" s="1">
        <f>-PMT($D$48,A54,NPV($D$48,$C$54:C54))</f>
        <v>-20000</v>
      </c>
      <c r="F54" s="1">
        <f>D54+E54</f>
        <v>-24500</v>
      </c>
    </row>
    <row r="55" spans="1:8" x14ac:dyDescent="0.2">
      <c r="A55">
        <v>2</v>
      </c>
      <c r="B55" s="1">
        <f>B54*$B$51</f>
        <v>9600</v>
      </c>
      <c r="C55" s="1">
        <f>$C$51*2</f>
        <v>-8000</v>
      </c>
      <c r="D55" s="1">
        <f t="shared" ref="D55:D56" si="2">-PMT($D$48,A55,-$D$49,B55)</f>
        <v>-4071.428571428572</v>
      </c>
      <c r="E55" s="1">
        <f>-PMT($D$48,A55,NPV($D$48,$C$54:C55))</f>
        <v>-14285.714285714288</v>
      </c>
      <c r="F55" s="1">
        <f t="shared" ref="F55:F56" si="3">D55+E55</f>
        <v>-18357.142857142859</v>
      </c>
    </row>
    <row r="56" spans="1:8" x14ac:dyDescent="0.2">
      <c r="A56" s="45">
        <v>3</v>
      </c>
      <c r="B56" s="1">
        <f>B55*$B$51</f>
        <v>7680</v>
      </c>
      <c r="C56" s="1">
        <f>C55+$C$51</f>
        <v>-12000</v>
      </c>
      <c r="D56" s="1">
        <f t="shared" si="2"/>
        <v>-3711.4803625377654</v>
      </c>
      <c r="E56" s="1">
        <f>-PMT($D$48,A56,NPV($D$48,$C$54:C56))</f>
        <v>-13595.166163141997</v>
      </c>
      <c r="F56" s="36">
        <f t="shared" si="3"/>
        <v>-17306.646525679764</v>
      </c>
      <c r="H56" t="s">
        <v>88</v>
      </c>
    </row>
    <row r="58" spans="1:8" x14ac:dyDescent="0.2">
      <c r="G58" s="1">
        <f>F44-F56</f>
        <v>-1816.3873032364172</v>
      </c>
      <c r="H58" s="27">
        <f>G58*200</f>
        <v>-363277.46064728347</v>
      </c>
    </row>
    <row r="59" spans="1:8" x14ac:dyDescent="0.2">
      <c r="C59" t="s">
        <v>80</v>
      </c>
      <c r="D59" s="2">
        <v>0.1</v>
      </c>
    </row>
    <row r="60" spans="1:8" x14ac:dyDescent="0.2">
      <c r="A60" t="s">
        <v>52</v>
      </c>
      <c r="C60" t="s">
        <v>81</v>
      </c>
      <c r="D60" s="1">
        <v>12000</v>
      </c>
    </row>
    <row r="61" spans="1:8" x14ac:dyDescent="0.2">
      <c r="A61" t="s">
        <v>137</v>
      </c>
      <c r="C61" t="s">
        <v>83</v>
      </c>
      <c r="D61" s="1">
        <v>0</v>
      </c>
    </row>
    <row r="62" spans="1:8" x14ac:dyDescent="0.2">
      <c r="B62" s="6">
        <v>0.8</v>
      </c>
      <c r="C62" s="1">
        <v>-4000</v>
      </c>
    </row>
    <row r="63" spans="1:8" x14ac:dyDescent="0.2">
      <c r="A63" s="3" t="s">
        <v>82</v>
      </c>
      <c r="B63" s="3" t="s">
        <v>78</v>
      </c>
      <c r="C63" s="3" t="s">
        <v>79</v>
      </c>
      <c r="D63" s="4" t="s">
        <v>18</v>
      </c>
      <c r="E63" s="4" t="s">
        <v>19</v>
      </c>
      <c r="F63" s="4" t="s">
        <v>22</v>
      </c>
    </row>
    <row r="64" spans="1:8" x14ac:dyDescent="0.2">
      <c r="A64">
        <v>0</v>
      </c>
      <c r="B64" s="1">
        <f>D60</f>
        <v>12000</v>
      </c>
      <c r="C64" s="1">
        <v>0</v>
      </c>
    </row>
    <row r="65" spans="1:10" x14ac:dyDescent="0.2">
      <c r="A65">
        <v>1</v>
      </c>
      <c r="B65" s="1">
        <v>2000</v>
      </c>
      <c r="C65" s="1">
        <v>-12000</v>
      </c>
      <c r="D65" s="1">
        <f>-PMT($D$59,A65,-$D$60,B65)</f>
        <v>-11200.000000000002</v>
      </c>
      <c r="E65" s="1">
        <f>-PMT($D$48,A65,NPV($D$48,$C$65:$C65))</f>
        <v>-12000</v>
      </c>
      <c r="F65" s="1">
        <f>D65+E65</f>
        <v>-23200</v>
      </c>
    </row>
    <row r="66" spans="1:10" x14ac:dyDescent="0.2">
      <c r="A66">
        <v>2</v>
      </c>
      <c r="B66" s="1">
        <v>0</v>
      </c>
      <c r="C66" s="1">
        <v>-16000</v>
      </c>
      <c r="D66" s="1">
        <f>-PMT($D$59,A66,-$D$60,B66)</f>
        <v>-6914.2857142857147</v>
      </c>
      <c r="E66" s="1">
        <f>-PMT($D$48,A66,NPV($D$48,$C$65:$C66))</f>
        <v>-13904.761904761906</v>
      </c>
      <c r="F66" s="7">
        <f>D66+E66</f>
        <v>-20819.047619047622</v>
      </c>
      <c r="H66" s="41" t="s">
        <v>165</v>
      </c>
    </row>
    <row r="67" spans="1:10" x14ac:dyDescent="0.2">
      <c r="H67" t="s">
        <v>90</v>
      </c>
    </row>
    <row r="68" spans="1:10" x14ac:dyDescent="0.2">
      <c r="G68" s="1">
        <f>F44-F66</f>
        <v>1696.0137901314411</v>
      </c>
    </row>
    <row r="69" spans="1:10" x14ac:dyDescent="0.2">
      <c r="G69" s="27">
        <f>G68*200</f>
        <v>339202.75802628824</v>
      </c>
    </row>
    <row r="72" spans="1:10" x14ac:dyDescent="0.2">
      <c r="A72" t="s">
        <v>91</v>
      </c>
    </row>
    <row r="75" spans="1:10" x14ac:dyDescent="0.2">
      <c r="C75" t="s">
        <v>80</v>
      </c>
      <c r="D75" s="2">
        <v>0.1</v>
      </c>
      <c r="F75" t="s">
        <v>149</v>
      </c>
      <c r="G75" t="s">
        <v>150</v>
      </c>
    </row>
    <row r="76" spans="1:10" x14ac:dyDescent="0.2">
      <c r="A76" t="s">
        <v>52</v>
      </c>
      <c r="C76" t="s">
        <v>81</v>
      </c>
      <c r="D76" s="1">
        <v>22340.818070818048</v>
      </c>
    </row>
    <row r="77" spans="1:10" x14ac:dyDescent="0.2">
      <c r="A77" s="8" t="s">
        <v>92</v>
      </c>
      <c r="C77" t="s">
        <v>83</v>
      </c>
      <c r="D77" s="1">
        <v>-16000</v>
      </c>
    </row>
    <row r="78" spans="1:10" x14ac:dyDescent="0.2">
      <c r="B78" s="6">
        <v>0.8</v>
      </c>
      <c r="C78" s="1">
        <v>-4000</v>
      </c>
    </row>
    <row r="79" spans="1:10" x14ac:dyDescent="0.2">
      <c r="A79" s="3" t="s">
        <v>82</v>
      </c>
      <c r="B79" s="3" t="s">
        <v>78</v>
      </c>
      <c r="C79" s="3" t="s">
        <v>79</v>
      </c>
      <c r="D79" s="4" t="s">
        <v>18</v>
      </c>
      <c r="E79" s="4" t="s">
        <v>19</v>
      </c>
      <c r="F79" s="4" t="s">
        <v>22</v>
      </c>
      <c r="I79" s="4" t="s">
        <v>156</v>
      </c>
      <c r="J79" s="34">
        <v>22341</v>
      </c>
    </row>
    <row r="80" spans="1:10" x14ac:dyDescent="0.2">
      <c r="A80">
        <v>0</v>
      </c>
      <c r="B80" s="1">
        <f>D76</f>
        <v>22340.818070818048</v>
      </c>
      <c r="C80" s="1">
        <v>0</v>
      </c>
    </row>
    <row r="81" spans="1:6" x14ac:dyDescent="0.2">
      <c r="A81">
        <v>1</v>
      </c>
      <c r="B81" s="1">
        <f>B80*$B$38</f>
        <v>17872.65445665444</v>
      </c>
      <c r="C81" s="1">
        <f>D77+C78</f>
        <v>-20000</v>
      </c>
      <c r="D81" s="1">
        <f>PMT($D$75,A81,$D$76,-B81)</f>
        <v>-6702.245421245414</v>
      </c>
      <c r="E81" s="1">
        <f>-PMT($D$75,A81,NPV($D$75,$C$81:$C81))</f>
        <v>-20000</v>
      </c>
      <c r="F81" s="1">
        <f>D81+E81</f>
        <v>-26702.245421245414</v>
      </c>
    </row>
    <row r="82" spans="1:6" x14ac:dyDescent="0.2">
      <c r="A82">
        <v>2</v>
      </c>
      <c r="B82" s="1">
        <f>B81*$B$38</f>
        <v>14298.123565323553</v>
      </c>
      <c r="C82" s="1">
        <f>$C$51*2</f>
        <v>-8000</v>
      </c>
      <c r="D82" s="1">
        <f t="shared" ref="D82:D83" si="4">PMT($D$75,A82,$D$76,-B82)</f>
        <v>-6063.9363335077551</v>
      </c>
      <c r="E82" s="1">
        <f>-PMT($D$75,A82,NPV($D$75,$C$81:$C82))</f>
        <v>-14285.714285714288</v>
      </c>
      <c r="F82" s="1">
        <f t="shared" ref="F82:F83" si="5">D82+E82</f>
        <v>-20349.650619222044</v>
      </c>
    </row>
    <row r="83" spans="1:6" x14ac:dyDescent="0.2">
      <c r="A83">
        <v>3</v>
      </c>
      <c r="B83" s="1">
        <f>B82*$B$38</f>
        <v>11438.498852258843</v>
      </c>
      <c r="C83" s="1">
        <f>C82+$C$51</f>
        <v>-12000</v>
      </c>
      <c r="D83" s="1">
        <f t="shared" si="4"/>
        <v>-5527.8338368580007</v>
      </c>
      <c r="E83" s="1">
        <f>-PMT($D$75,A83,NPV($D$75,$C$81:$C83))</f>
        <v>-13595.166163141997</v>
      </c>
      <c r="F83" s="5">
        <f t="shared" si="5"/>
        <v>-19123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topLeftCell="A4" zoomScale="110" zoomScaleNormal="110" workbookViewId="0">
      <selection activeCell="G28" sqref="G28"/>
    </sheetView>
  </sheetViews>
  <sheetFormatPr baseColWidth="10" defaultRowHeight="12.6" x14ac:dyDescent="0.2"/>
  <cols>
    <col min="1" max="1" width="25.08984375" customWidth="1"/>
    <col min="2" max="2" width="17" customWidth="1"/>
    <col min="3" max="3" width="16.26953125" bestFit="1" customWidth="1"/>
    <col min="4" max="4" width="14.453125" bestFit="1" customWidth="1"/>
    <col min="5" max="5" width="14.36328125" bestFit="1" customWidth="1"/>
    <col min="6" max="6" width="17" customWidth="1"/>
    <col min="7" max="8" width="14.453125" bestFit="1" customWidth="1"/>
    <col min="9" max="9" width="13.36328125" bestFit="1" customWidth="1"/>
    <col min="10" max="11" width="14.453125" bestFit="1" customWidth="1"/>
  </cols>
  <sheetData>
    <row r="1" spans="1:11" x14ac:dyDescent="0.2">
      <c r="A1" t="s">
        <v>93</v>
      </c>
    </row>
    <row r="3" spans="1:11" x14ac:dyDescent="0.2">
      <c r="A3" t="s">
        <v>38</v>
      </c>
    </row>
    <row r="4" spans="1:11" x14ac:dyDescent="0.2">
      <c r="A4" t="s">
        <v>39</v>
      </c>
    </row>
    <row r="5" spans="1:11" x14ac:dyDescent="0.2">
      <c r="A5" t="s">
        <v>75</v>
      </c>
    </row>
    <row r="6" spans="1:11" x14ac:dyDescent="0.2">
      <c r="A6" t="s">
        <v>76</v>
      </c>
    </row>
    <row r="7" spans="1:11" x14ac:dyDescent="0.2">
      <c r="A7" t="s">
        <v>139</v>
      </c>
      <c r="I7" s="41" t="s">
        <v>169</v>
      </c>
      <c r="J7" s="41" t="s">
        <v>170</v>
      </c>
    </row>
    <row r="8" spans="1:11" x14ac:dyDescent="0.2">
      <c r="A8" t="s">
        <v>34</v>
      </c>
      <c r="G8" s="45">
        <v>0</v>
      </c>
      <c r="H8" s="42">
        <v>-70000</v>
      </c>
      <c r="I8" s="41" t="s">
        <v>171</v>
      </c>
      <c r="J8" s="41" t="s">
        <v>172</v>
      </c>
      <c r="K8" s="41" t="s">
        <v>173</v>
      </c>
    </row>
    <row r="9" spans="1:11" x14ac:dyDescent="0.2">
      <c r="A9" s="29" t="s">
        <v>21</v>
      </c>
      <c r="G9" s="45">
        <v>1</v>
      </c>
      <c r="H9" s="42">
        <v>-30000</v>
      </c>
      <c r="I9" s="42">
        <f>$E$26</f>
        <v>-23533.88892038845</v>
      </c>
      <c r="J9" s="42">
        <f>$G$27</f>
        <v>-116954.44203228851</v>
      </c>
      <c r="K9" s="42">
        <f>I9+J9</f>
        <v>-140488.33095267697</v>
      </c>
    </row>
    <row r="10" spans="1:11" x14ac:dyDescent="0.2">
      <c r="A10" t="s">
        <v>86</v>
      </c>
      <c r="G10" s="45">
        <v>2</v>
      </c>
      <c r="H10" s="42">
        <v>-30000</v>
      </c>
      <c r="I10" s="42">
        <f t="shared" ref="I10:I18" si="0">$E$26</f>
        <v>-23533.88892038845</v>
      </c>
      <c r="J10" s="42">
        <f t="shared" ref="J10:J18" si="1">$G$27</f>
        <v>-116954.44203228851</v>
      </c>
    </row>
    <row r="11" spans="1:11" x14ac:dyDescent="0.2">
      <c r="A11" t="s">
        <v>5</v>
      </c>
      <c r="G11" s="45">
        <v>3</v>
      </c>
      <c r="H11" s="42">
        <v>-30000</v>
      </c>
      <c r="I11" s="42">
        <f t="shared" si="0"/>
        <v>-23533.88892038845</v>
      </c>
      <c r="J11" s="42">
        <f t="shared" si="1"/>
        <v>-116954.44203228851</v>
      </c>
    </row>
    <row r="12" spans="1:11" x14ac:dyDescent="0.2">
      <c r="A12" s="29" t="s">
        <v>6</v>
      </c>
      <c r="G12" s="46">
        <v>4</v>
      </c>
      <c r="H12" s="42">
        <f>$E$27-50000</f>
        <v>-196470.85539426046</v>
      </c>
      <c r="I12" s="42">
        <f t="shared" si="0"/>
        <v>-23533.88892038845</v>
      </c>
      <c r="J12" s="42">
        <f t="shared" si="1"/>
        <v>-116954.44203228851</v>
      </c>
    </row>
    <row r="13" spans="1:11" x14ac:dyDescent="0.2">
      <c r="A13" t="s">
        <v>87</v>
      </c>
      <c r="G13" s="46">
        <v>5</v>
      </c>
      <c r="H13" s="42">
        <f t="shared" ref="H13:H18" si="2">$E$27-50000</f>
        <v>-196470.85539426046</v>
      </c>
      <c r="I13" s="42">
        <f t="shared" si="0"/>
        <v>-23533.88892038845</v>
      </c>
      <c r="J13" s="42">
        <f t="shared" si="1"/>
        <v>-116954.44203228851</v>
      </c>
    </row>
    <row r="14" spans="1:11" x14ac:dyDescent="0.2">
      <c r="A14" t="s">
        <v>125</v>
      </c>
      <c r="G14" s="46">
        <v>6</v>
      </c>
      <c r="H14" s="42">
        <f t="shared" si="2"/>
        <v>-196470.85539426046</v>
      </c>
      <c r="I14" s="42">
        <f t="shared" si="0"/>
        <v>-23533.88892038845</v>
      </c>
      <c r="J14" s="42">
        <f t="shared" si="1"/>
        <v>-116954.44203228851</v>
      </c>
    </row>
    <row r="15" spans="1:11" x14ac:dyDescent="0.2">
      <c r="A15" s="41" t="s">
        <v>174</v>
      </c>
      <c r="G15" s="46">
        <v>7</v>
      </c>
      <c r="H15" s="42">
        <f t="shared" si="2"/>
        <v>-196470.85539426046</v>
      </c>
      <c r="I15" s="42">
        <f t="shared" si="0"/>
        <v>-23533.88892038845</v>
      </c>
      <c r="J15" s="42">
        <f t="shared" si="1"/>
        <v>-116954.44203228851</v>
      </c>
    </row>
    <row r="16" spans="1:11" x14ac:dyDescent="0.2">
      <c r="A16" t="s">
        <v>68</v>
      </c>
      <c r="G16" s="46">
        <v>8</v>
      </c>
      <c r="H16" s="42">
        <f t="shared" si="2"/>
        <v>-196470.85539426046</v>
      </c>
      <c r="I16" s="42">
        <f t="shared" si="0"/>
        <v>-23533.88892038845</v>
      </c>
      <c r="J16" s="42">
        <f t="shared" si="1"/>
        <v>-116954.44203228851</v>
      </c>
    </row>
    <row r="17" spans="1:10" x14ac:dyDescent="0.2">
      <c r="A17" t="s">
        <v>69</v>
      </c>
      <c r="G17" s="46">
        <v>9</v>
      </c>
      <c r="H17" s="42">
        <f t="shared" si="2"/>
        <v>-196470.85539426046</v>
      </c>
      <c r="I17" s="42">
        <f t="shared" si="0"/>
        <v>-23533.88892038845</v>
      </c>
      <c r="J17" s="42">
        <f t="shared" si="1"/>
        <v>-116954.44203228851</v>
      </c>
    </row>
    <row r="18" spans="1:10" x14ac:dyDescent="0.2">
      <c r="A18" t="s">
        <v>70</v>
      </c>
      <c r="G18" s="46">
        <v>10</v>
      </c>
      <c r="H18" s="42">
        <f t="shared" si="2"/>
        <v>-196470.85539426046</v>
      </c>
      <c r="I18" s="42">
        <f t="shared" si="0"/>
        <v>-23533.88892038845</v>
      </c>
      <c r="J18" s="42">
        <f t="shared" si="1"/>
        <v>-116954.44203228851</v>
      </c>
    </row>
    <row r="19" spans="1:10" x14ac:dyDescent="0.2">
      <c r="A19" t="s">
        <v>7</v>
      </c>
      <c r="G19" s="41" t="s">
        <v>163</v>
      </c>
      <c r="H19" s="42">
        <f>NPV(10%,H9:H18)+H8</f>
        <v>-863239.97710717062</v>
      </c>
    </row>
    <row r="20" spans="1:10" x14ac:dyDescent="0.2">
      <c r="A20" s="29" t="s">
        <v>8</v>
      </c>
      <c r="G20" s="41" t="s">
        <v>168</v>
      </c>
      <c r="H20" s="42">
        <f>PMT(10%,10,-H19)</f>
        <v>-140488.33095267677</v>
      </c>
    </row>
    <row r="21" spans="1:10" x14ac:dyDescent="0.2">
      <c r="A21" t="s">
        <v>71</v>
      </c>
    </row>
    <row r="22" spans="1:10" x14ac:dyDescent="0.2">
      <c r="A22" t="s">
        <v>20</v>
      </c>
    </row>
    <row r="23" spans="1:10" x14ac:dyDescent="0.2">
      <c r="A23" t="s">
        <v>133</v>
      </c>
    </row>
    <row r="24" spans="1:10" x14ac:dyDescent="0.2">
      <c r="F24" s="41" t="s">
        <v>166</v>
      </c>
      <c r="G24" s="41" t="s">
        <v>167</v>
      </c>
    </row>
    <row r="25" spans="1:10" ht="14.1" customHeight="1" x14ac:dyDescent="0.2">
      <c r="A25" t="s">
        <v>157</v>
      </c>
      <c r="B25" s="30">
        <f>-PMT(0.1,10,-750000)-50000</f>
        <v>-172059.04616188369</v>
      </c>
      <c r="C25" s="43">
        <f>-PMT(10%,10,-750000)-50000</f>
        <v>-172059.04616188369</v>
      </c>
      <c r="F25">
        <v>3</v>
      </c>
      <c r="G25">
        <v>7</v>
      </c>
    </row>
    <row r="26" spans="1:10" ht="15" customHeight="1" x14ac:dyDescent="0.2">
      <c r="A26" t="s">
        <v>54</v>
      </c>
      <c r="B26" s="27">
        <f>-PV(0.1,3,-30000)-70000</f>
        <v>-144605.55972952675</v>
      </c>
      <c r="C26" s="27">
        <f>PMT(0.1,10,-B26)</f>
        <v>-23533.88892038845</v>
      </c>
      <c r="D26" s="44">
        <f>-PV(10%,3,-30000)-70000</f>
        <v>-144605.55972952675</v>
      </c>
      <c r="E26" s="43">
        <f>-PMT(10%,10,D26)</f>
        <v>-23533.88892038845</v>
      </c>
    </row>
    <row r="27" spans="1:10" ht="15.9" customHeight="1" x14ac:dyDescent="0.2">
      <c r="A27" t="s">
        <v>35</v>
      </c>
      <c r="B27" s="27">
        <f>-PMT(0.1,10,-900000)</f>
        <v>-146470.85539426046</v>
      </c>
      <c r="C27" s="27">
        <f>FV(0.1,7,-B27+50000,)</f>
        <v>-1863952.6016416235</v>
      </c>
      <c r="D27" s="27">
        <f>-PMT(0.1,10,,C27)</f>
        <v>-116954.44203228851</v>
      </c>
      <c r="E27" s="43">
        <f>-PMT(10%,10,-900000)</f>
        <v>-146470.85539426046</v>
      </c>
      <c r="F27" s="43">
        <f>-FV(10%,7,E27-50000)</f>
        <v>-1863952.6016416235</v>
      </c>
      <c r="G27" s="43">
        <f>-PMT(10%,10,,F27)</f>
        <v>-116954.44203228851</v>
      </c>
      <c r="H27" s="44">
        <f>G27+E26</f>
        <v>-140488.33095267697</v>
      </c>
    </row>
    <row r="28" spans="1:10" x14ac:dyDescent="0.2">
      <c r="E28" t="s">
        <v>55</v>
      </c>
      <c r="F28" s="30">
        <f>C26+D27</f>
        <v>-140488.33095267697</v>
      </c>
    </row>
    <row r="29" spans="1:10" x14ac:dyDescent="0.2">
      <c r="F29" s="37">
        <f>B25-F28</f>
        <v>-31570.715209206712</v>
      </c>
    </row>
    <row r="30" spans="1:10" x14ac:dyDescent="0.2">
      <c r="B30" s="27"/>
    </row>
    <row r="31" spans="1:10" x14ac:dyDescent="0.2">
      <c r="B31" s="27"/>
    </row>
    <row r="32" spans="1:10" x14ac:dyDescent="0.2">
      <c r="E32" t="s">
        <v>56</v>
      </c>
    </row>
  </sheetData>
  <phoneticPr fontId="4" type="noConversion"/>
  <pageMargins left="0.75" right="0.75" top="1" bottom="1" header="0.5" footer="0.5"/>
  <pageSetup orientation="portrait" verticalDpi="0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3"/>
  <sheetViews>
    <sheetView zoomScale="120" zoomScaleNormal="120" workbookViewId="0">
      <selection activeCell="B44" sqref="B44"/>
    </sheetView>
  </sheetViews>
  <sheetFormatPr baseColWidth="10" defaultRowHeight="12.6" x14ac:dyDescent="0.2"/>
  <cols>
    <col min="1" max="1" width="21.08984375" customWidth="1"/>
    <col min="2" max="2" width="13.08984375" customWidth="1"/>
    <col min="3" max="3" width="13.26953125" customWidth="1"/>
    <col min="4" max="4" width="12.36328125" bestFit="1" customWidth="1"/>
    <col min="5" max="5" width="12.6328125" bestFit="1" customWidth="1"/>
    <col min="6" max="6" width="11.90625" bestFit="1" customWidth="1"/>
  </cols>
  <sheetData>
    <row r="1" spans="1:4" x14ac:dyDescent="0.2">
      <c r="A1" t="s">
        <v>134</v>
      </c>
    </row>
    <row r="3" spans="1:4" x14ac:dyDescent="0.2">
      <c r="A3" t="s">
        <v>135</v>
      </c>
    </row>
    <row r="4" spans="1:4" x14ac:dyDescent="0.2">
      <c r="A4" t="s">
        <v>136</v>
      </c>
    </row>
    <row r="5" spans="1:4" x14ac:dyDescent="0.2">
      <c r="A5" t="s">
        <v>126</v>
      </c>
    </row>
    <row r="6" spans="1:4" x14ac:dyDescent="0.2">
      <c r="A6" t="s">
        <v>127</v>
      </c>
    </row>
    <row r="7" spans="1:4" x14ac:dyDescent="0.2">
      <c r="A7" t="s">
        <v>113</v>
      </c>
    </row>
    <row r="10" spans="1:4" ht="37.799999999999997" x14ac:dyDescent="0.2">
      <c r="B10" s="9" t="s">
        <v>119</v>
      </c>
      <c r="C10" s="10" t="s">
        <v>120</v>
      </c>
      <c r="D10" s="9" t="s">
        <v>121</v>
      </c>
    </row>
    <row r="11" spans="1:4" x14ac:dyDescent="0.2">
      <c r="A11" t="s">
        <v>115</v>
      </c>
      <c r="B11" s="1">
        <v>-151000</v>
      </c>
      <c r="C11" s="1">
        <v>-175000</v>
      </c>
      <c r="D11" s="1">
        <v>-190000</v>
      </c>
    </row>
    <row r="12" spans="1:4" x14ac:dyDescent="0.2">
      <c r="A12" t="s">
        <v>114</v>
      </c>
      <c r="B12" s="1">
        <v>-1500</v>
      </c>
      <c r="C12" s="1">
        <v>-1500</v>
      </c>
      <c r="D12" s="1">
        <v>-2500</v>
      </c>
    </row>
    <row r="13" spans="1:4" x14ac:dyDescent="0.2">
      <c r="A13" t="s">
        <v>116</v>
      </c>
      <c r="B13" s="1">
        <v>70000</v>
      </c>
      <c r="C13" s="1">
        <v>0</v>
      </c>
      <c r="D13" s="1">
        <v>0</v>
      </c>
    </row>
    <row r="14" spans="1:4" x14ac:dyDescent="0.2">
      <c r="A14" t="s">
        <v>117</v>
      </c>
      <c r="B14" s="11" t="s">
        <v>122</v>
      </c>
      <c r="C14" s="11" t="s">
        <v>123</v>
      </c>
      <c r="D14" s="11" t="s">
        <v>124</v>
      </c>
    </row>
    <row r="15" spans="1:4" x14ac:dyDescent="0.2">
      <c r="A15" t="s">
        <v>118</v>
      </c>
      <c r="B15" s="12">
        <v>9</v>
      </c>
      <c r="C15" s="12">
        <v>12</v>
      </c>
      <c r="D15" s="12">
        <v>12</v>
      </c>
    </row>
    <row r="18" spans="1:6" x14ac:dyDescent="0.2">
      <c r="A18" t="s">
        <v>153</v>
      </c>
    </row>
    <row r="19" spans="1:6" x14ac:dyDescent="0.2">
      <c r="A19" t="s">
        <v>154</v>
      </c>
    </row>
    <row r="22" spans="1:6" x14ac:dyDescent="0.2">
      <c r="B22" s="50" t="s">
        <v>41</v>
      </c>
      <c r="C22" s="50"/>
      <c r="D22" s="22" t="s">
        <v>42</v>
      </c>
    </row>
    <row r="23" spans="1:6" ht="37.799999999999997" x14ac:dyDescent="0.2">
      <c r="B23" s="13" t="s">
        <v>119</v>
      </c>
      <c r="C23" s="14" t="s">
        <v>40</v>
      </c>
      <c r="D23" s="19" t="s">
        <v>121</v>
      </c>
    </row>
    <row r="24" spans="1:6" x14ac:dyDescent="0.2">
      <c r="A24" t="s">
        <v>115</v>
      </c>
      <c r="B24" s="15">
        <v>-151000</v>
      </c>
      <c r="C24" s="16">
        <v>-175000</v>
      </c>
      <c r="D24" s="20">
        <v>-190000</v>
      </c>
    </row>
    <row r="25" spans="1:6" x14ac:dyDescent="0.2">
      <c r="A25" t="s">
        <v>114</v>
      </c>
      <c r="B25" s="15">
        <v>-1500</v>
      </c>
      <c r="C25" s="16">
        <v>-1500</v>
      </c>
      <c r="D25" s="20">
        <v>-2500</v>
      </c>
    </row>
    <row r="26" spans="1:6" x14ac:dyDescent="0.2">
      <c r="A26" s="8" t="s">
        <v>43</v>
      </c>
      <c r="B26" s="26">
        <v>70000</v>
      </c>
      <c r="C26" s="16">
        <v>0</v>
      </c>
      <c r="D26" s="20">
        <v>0</v>
      </c>
    </row>
    <row r="27" spans="1:6" x14ac:dyDescent="0.2">
      <c r="A27" t="s">
        <v>117</v>
      </c>
      <c r="B27" s="23">
        <f>-0.1*B24</f>
        <v>15100</v>
      </c>
      <c r="C27" s="24">
        <f>-0.12*C24</f>
        <v>21000</v>
      </c>
      <c r="D27" s="25">
        <f>-0.1*D24</f>
        <v>19000</v>
      </c>
    </row>
    <row r="28" spans="1:6" x14ac:dyDescent="0.2">
      <c r="A28" t="s">
        <v>118</v>
      </c>
      <c r="B28" s="17">
        <v>9</v>
      </c>
      <c r="C28" s="18">
        <v>12</v>
      </c>
      <c r="D28" s="21">
        <v>12</v>
      </c>
    </row>
    <row r="29" spans="1:6" x14ac:dyDescent="0.2">
      <c r="B29" s="27"/>
      <c r="C29" s="27"/>
      <c r="D29" s="27"/>
    </row>
    <row r="30" spans="1:6" x14ac:dyDescent="0.2">
      <c r="A30" t="s">
        <v>151</v>
      </c>
      <c r="B30" s="27">
        <f>-PMT(0.12,B28,-B26,B27)+B25</f>
        <v>-13615.570993289668</v>
      </c>
      <c r="C30" s="27">
        <f>-PMT(0.12,C28,C24,C27)+C25</f>
        <v>-28881.268369475347</v>
      </c>
      <c r="D30" s="27">
        <f>SUM(B30+C30)</f>
        <v>-42496.839362765015</v>
      </c>
      <c r="E30" s="27"/>
      <c r="F30" s="27"/>
    </row>
    <row r="31" spans="1:6" x14ac:dyDescent="0.2">
      <c r="A31" t="s">
        <v>152</v>
      </c>
      <c r="B31" s="27"/>
      <c r="C31" s="27"/>
      <c r="D31" s="38">
        <f>-PMT(0.12,D28,D24,D27)+D25</f>
        <v>-32385.694098573276</v>
      </c>
      <c r="E31" t="s">
        <v>138</v>
      </c>
    </row>
    <row r="32" spans="1:6" x14ac:dyDescent="0.2">
      <c r="C32" s="27">
        <f>SUM(B31:C31)</f>
        <v>0</v>
      </c>
      <c r="D32" s="27">
        <f>D30-D31</f>
        <v>-10111.145264191739</v>
      </c>
    </row>
    <row r="33" spans="1:4" x14ac:dyDescent="0.2">
      <c r="D33" s="27"/>
    </row>
    <row r="34" spans="1:4" x14ac:dyDescent="0.2">
      <c r="D34" s="27"/>
    </row>
    <row r="35" spans="1:4" x14ac:dyDescent="0.2">
      <c r="B35" s="48">
        <f>-PMT(12%,B28,-B26,B27)+B25</f>
        <v>-13615.570993289668</v>
      </c>
      <c r="C35" s="51" t="s">
        <v>177</v>
      </c>
    </row>
    <row r="36" spans="1:4" x14ac:dyDescent="0.2">
      <c r="B36" s="48">
        <f>-PMT(12%,C28,C24,C27)+C25</f>
        <v>-28881.268369475347</v>
      </c>
    </row>
    <row r="38" spans="1:4" x14ac:dyDescent="0.2">
      <c r="B38" s="48">
        <f>B36+B35</f>
        <v>-42496.839362765015</v>
      </c>
      <c r="C38" t="s">
        <v>178</v>
      </c>
    </row>
    <row r="40" spans="1:4" x14ac:dyDescent="0.2">
      <c r="B40" s="48">
        <f>-PMT(12%,D28,D24,D27)+D25</f>
        <v>-32385.694098573276</v>
      </c>
      <c r="C40" t="s">
        <v>179</v>
      </c>
    </row>
    <row r="43" spans="1:4" x14ac:dyDescent="0.2">
      <c r="A43" t="s">
        <v>180</v>
      </c>
      <c r="B43" t="s">
        <v>181</v>
      </c>
    </row>
    <row r="45" spans="1:4" x14ac:dyDescent="0.2">
      <c r="B45" s="50" t="s">
        <v>41</v>
      </c>
      <c r="C45" s="50"/>
      <c r="D45" s="22" t="s">
        <v>42</v>
      </c>
    </row>
    <row r="46" spans="1:4" ht="37.799999999999997" x14ac:dyDescent="0.2">
      <c r="B46" s="13" t="s">
        <v>119</v>
      </c>
      <c r="C46" s="14" t="s">
        <v>40</v>
      </c>
      <c r="D46" s="19" t="s">
        <v>121</v>
      </c>
    </row>
    <row r="47" spans="1:4" x14ac:dyDescent="0.2">
      <c r="A47" t="s">
        <v>115</v>
      </c>
      <c r="B47" s="15">
        <v>-151000</v>
      </c>
      <c r="C47" s="16">
        <v>-175000</v>
      </c>
      <c r="D47" s="20">
        <v>-190000</v>
      </c>
    </row>
    <row r="48" spans="1:4" x14ac:dyDescent="0.2">
      <c r="A48" t="s">
        <v>114</v>
      </c>
      <c r="B48" s="15">
        <v>-1500</v>
      </c>
      <c r="C48" s="16">
        <v>-1500</v>
      </c>
      <c r="D48" s="20">
        <v>-2500</v>
      </c>
    </row>
    <row r="49" spans="1:5" x14ac:dyDescent="0.2">
      <c r="A49" s="8" t="s">
        <v>43</v>
      </c>
      <c r="B49" s="26">
        <v>70000</v>
      </c>
      <c r="C49" s="16">
        <v>0</v>
      </c>
      <c r="D49" s="20">
        <v>0</v>
      </c>
    </row>
    <row r="50" spans="1:5" x14ac:dyDescent="0.2">
      <c r="A50" t="s">
        <v>117</v>
      </c>
      <c r="B50" s="23">
        <f>-0.1*B47</f>
        <v>15100</v>
      </c>
      <c r="C50" s="24">
        <f>-0.12*C47</f>
        <v>21000</v>
      </c>
      <c r="D50" s="25">
        <f>-0.1*D47</f>
        <v>19000</v>
      </c>
    </row>
    <row r="51" spans="1:5" x14ac:dyDescent="0.2">
      <c r="A51" t="s">
        <v>118</v>
      </c>
      <c r="B51" s="17">
        <v>9</v>
      </c>
      <c r="C51" s="18">
        <v>9</v>
      </c>
      <c r="D51" s="21">
        <v>9</v>
      </c>
    </row>
    <row r="52" spans="1:5" x14ac:dyDescent="0.2">
      <c r="B52" s="27"/>
      <c r="C52" s="27"/>
      <c r="D52" s="27"/>
    </row>
    <row r="53" spans="1:5" x14ac:dyDescent="0.2">
      <c r="A53" t="s">
        <v>151</v>
      </c>
      <c r="B53" s="27">
        <f>-PMT(0.12,B51,-B49,B50)+B48</f>
        <v>-13615.570993289668</v>
      </c>
      <c r="C53" s="27">
        <f>-PMT(0.12,C51,C47,C50)+C48</f>
        <v>-32922.54887006573</v>
      </c>
      <c r="D53" s="27">
        <f>SUM(B53+C53)</f>
        <v>-46538.119863355401</v>
      </c>
      <c r="E53" s="27"/>
    </row>
    <row r="54" spans="1:5" x14ac:dyDescent="0.2">
      <c r="A54" t="s">
        <v>152</v>
      </c>
      <c r="B54" s="27"/>
      <c r="C54" s="27"/>
      <c r="D54" s="38">
        <f>-PMT(0.12,D51,D47,D50)+D48</f>
        <v>-36873.089979098964</v>
      </c>
      <c r="E54" t="s">
        <v>138</v>
      </c>
    </row>
    <row r="55" spans="1:5" x14ac:dyDescent="0.2">
      <c r="C55" s="27">
        <f>SUM(B54:C54)</f>
        <v>0</v>
      </c>
      <c r="D55" s="27">
        <f>D53-D54</f>
        <v>-9665.0298842564371</v>
      </c>
    </row>
    <row r="56" spans="1:5" x14ac:dyDescent="0.2">
      <c r="D56" s="27"/>
    </row>
    <row r="57" spans="1:5" x14ac:dyDescent="0.2">
      <c r="D57" s="27"/>
    </row>
    <row r="58" spans="1:5" x14ac:dyDescent="0.2">
      <c r="B58" s="48">
        <f>-PMT(12%,B51,-B49,B50)+B48</f>
        <v>-13615.570993289668</v>
      </c>
      <c r="C58" s="51" t="s">
        <v>177</v>
      </c>
    </row>
    <row r="59" spans="1:5" x14ac:dyDescent="0.2">
      <c r="B59" s="48">
        <f>-PMT(12%,C51,C47,C50)+C48</f>
        <v>-32922.54887006573</v>
      </c>
    </row>
    <row r="61" spans="1:5" x14ac:dyDescent="0.2">
      <c r="B61" s="48">
        <f>B59+B58</f>
        <v>-46538.119863355401</v>
      </c>
      <c r="C61" t="s">
        <v>178</v>
      </c>
    </row>
    <row r="63" spans="1:5" x14ac:dyDescent="0.2">
      <c r="B63" s="48">
        <f>-PMT(12%,D51,D47,D50)+D48</f>
        <v>-36873.089979098964</v>
      </c>
      <c r="C63" t="s">
        <v>179</v>
      </c>
    </row>
  </sheetData>
  <mergeCells count="2">
    <mergeCell ref="B22:C22"/>
    <mergeCell ref="B45:C45"/>
  </mergeCells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7"/>
  <sheetViews>
    <sheetView tabSelected="1" topLeftCell="D4" zoomScale="120" zoomScaleNormal="120" zoomScalePageLayoutView="80" workbookViewId="0">
      <selection activeCell="K25" sqref="K25"/>
    </sheetView>
  </sheetViews>
  <sheetFormatPr baseColWidth="10" defaultRowHeight="12.6" x14ac:dyDescent="0.2"/>
  <cols>
    <col min="2" max="2" width="16" customWidth="1"/>
    <col min="3" max="3" width="16.26953125" customWidth="1"/>
    <col min="4" max="4" width="13.26953125" bestFit="1" customWidth="1"/>
    <col min="5" max="5" width="12.6328125" bestFit="1" customWidth="1"/>
    <col min="6" max="11" width="13.26953125" bestFit="1" customWidth="1"/>
    <col min="12" max="12" width="14.36328125" bestFit="1" customWidth="1"/>
    <col min="13" max="13" width="13.7265625" bestFit="1" customWidth="1"/>
  </cols>
  <sheetData>
    <row r="1" spans="1:13" x14ac:dyDescent="0.2">
      <c r="A1" t="s">
        <v>72</v>
      </c>
    </row>
    <row r="3" spans="1:13" x14ac:dyDescent="0.2">
      <c r="A3" t="s">
        <v>73</v>
      </c>
    </row>
    <row r="4" spans="1:13" x14ac:dyDescent="0.2">
      <c r="A4" t="s">
        <v>74</v>
      </c>
    </row>
    <row r="5" spans="1:13" x14ac:dyDescent="0.2">
      <c r="A5" t="s">
        <v>158</v>
      </c>
    </row>
    <row r="6" spans="1:13" x14ac:dyDescent="0.2">
      <c r="A6" t="s">
        <v>94</v>
      </c>
    </row>
    <row r="7" spans="1:13" x14ac:dyDescent="0.2">
      <c r="A7" t="s">
        <v>95</v>
      </c>
    </row>
    <row r="8" spans="1:13" x14ac:dyDescent="0.2">
      <c r="A8" t="s">
        <v>96</v>
      </c>
    </row>
    <row r="9" spans="1:13" x14ac:dyDescent="0.2">
      <c r="A9" t="s">
        <v>97</v>
      </c>
    </row>
    <row r="10" spans="1:13" x14ac:dyDescent="0.2">
      <c r="A10" t="s">
        <v>98</v>
      </c>
    </row>
    <row r="11" spans="1:13" x14ac:dyDescent="0.2">
      <c r="A11" t="s">
        <v>99</v>
      </c>
    </row>
    <row r="13" spans="1:13" x14ac:dyDescent="0.2">
      <c r="A13" t="s">
        <v>100</v>
      </c>
      <c r="B13" t="s">
        <v>101</v>
      </c>
      <c r="C13" t="s">
        <v>102</v>
      </c>
      <c r="F13">
        <v>1</v>
      </c>
      <c r="G13">
        <v>2</v>
      </c>
      <c r="H13">
        <v>3</v>
      </c>
      <c r="I13">
        <v>4</v>
      </c>
      <c r="J13">
        <v>5</v>
      </c>
      <c r="K13">
        <v>6</v>
      </c>
      <c r="L13" t="s">
        <v>111</v>
      </c>
      <c r="M13" t="s">
        <v>159</v>
      </c>
    </row>
    <row r="14" spans="1:13" x14ac:dyDescent="0.2">
      <c r="A14" s="31" t="s">
        <v>103</v>
      </c>
      <c r="B14" s="11">
        <v>2</v>
      </c>
      <c r="C14" s="11">
        <v>4</v>
      </c>
      <c r="D14" s="27">
        <f>-PMT(D17,B14,-B19,2*B21)+B20</f>
        <v>-60584.905660377364</v>
      </c>
      <c r="E14" s="43"/>
      <c r="F14" s="27">
        <f>D14</f>
        <v>-60584.905660377364</v>
      </c>
      <c r="G14" s="27">
        <f>D14</f>
        <v>-60584.905660377364</v>
      </c>
      <c r="H14" s="27">
        <f>C20</f>
        <v>-60000</v>
      </c>
      <c r="I14" s="27">
        <f>H14</f>
        <v>-60000</v>
      </c>
      <c r="J14" s="27">
        <f>I14</f>
        <v>-60000</v>
      </c>
      <c r="K14" s="27">
        <f>J14</f>
        <v>-60000</v>
      </c>
      <c r="L14" s="27">
        <f>NPV($D$17,F14:K14)</f>
        <v>-247672.95981950278</v>
      </c>
      <c r="M14" s="27">
        <f>PMT(12%,$K$13,-L14)</f>
        <v>-60240.433586452906</v>
      </c>
    </row>
    <row r="15" spans="1:13" x14ac:dyDescent="0.2">
      <c r="A15" s="31" t="s">
        <v>104</v>
      </c>
      <c r="B15" s="11">
        <v>3</v>
      </c>
      <c r="C15" s="11">
        <v>3</v>
      </c>
      <c r="D15" s="27">
        <f>-PMT(D17,B15,-B19,B21)+B20</f>
        <v>-59226.17354196302</v>
      </c>
      <c r="E15" s="43"/>
      <c r="F15" s="27">
        <f>D15</f>
        <v>-59226.17354196302</v>
      </c>
      <c r="G15" s="27">
        <f>F15</f>
        <v>-59226.17354196302</v>
      </c>
      <c r="H15" s="27">
        <f>G15</f>
        <v>-59226.17354196302</v>
      </c>
      <c r="I15" s="27">
        <f>C20</f>
        <v>-60000</v>
      </c>
      <c r="J15" s="27">
        <f>I15</f>
        <v>-60000</v>
      </c>
      <c r="K15" s="27">
        <f>J15</f>
        <v>-60000</v>
      </c>
      <c r="L15" s="27">
        <f>NPV($D$17,F15:K15)</f>
        <v>-244825.83882824908</v>
      </c>
      <c r="M15" s="27">
        <f>PMT(12%,$K$13,-L15)</f>
        <v>-59547.940537913382</v>
      </c>
    </row>
    <row r="16" spans="1:13" x14ac:dyDescent="0.2">
      <c r="A16" s="31" t="s">
        <v>105</v>
      </c>
      <c r="B16" s="11">
        <v>4</v>
      </c>
      <c r="C16" s="11">
        <v>2</v>
      </c>
      <c r="D16" s="27">
        <f>-PMT(D17,B16,-B19,0)+B20</f>
        <v>-57923.443630568981</v>
      </c>
      <c r="E16" s="43"/>
      <c r="F16" s="27">
        <f>D16</f>
        <v>-57923.443630568981</v>
      </c>
      <c r="G16" s="27">
        <f>F16</f>
        <v>-57923.443630568981</v>
      </c>
      <c r="H16" s="27">
        <f>G16</f>
        <v>-57923.443630568981</v>
      </c>
      <c r="I16" s="27">
        <f>H16</f>
        <v>-57923.443630568981</v>
      </c>
      <c r="J16" s="27">
        <f>C20</f>
        <v>-60000</v>
      </c>
      <c r="K16" s="27">
        <f>J16</f>
        <v>-60000</v>
      </c>
      <c r="L16" s="30">
        <f>NPV($D$17,F16:K16)</f>
        <v>-240377.21227941528</v>
      </c>
      <c r="M16" s="38">
        <f>PMT(12%,$K$13,-L16)</f>
        <v>-58465.920149570404</v>
      </c>
    </row>
    <row r="17" spans="1:8" x14ac:dyDescent="0.2">
      <c r="D17" s="2">
        <v>0.12</v>
      </c>
    </row>
    <row r="18" spans="1:8" x14ac:dyDescent="0.2">
      <c r="A18" s="31"/>
      <c r="B18" s="33" t="s">
        <v>109</v>
      </c>
      <c r="C18" s="33" t="s">
        <v>110</v>
      </c>
    </row>
    <row r="19" spans="1:8" x14ac:dyDescent="0.2">
      <c r="A19" s="31" t="s">
        <v>106</v>
      </c>
      <c r="B19" s="32">
        <v>100000</v>
      </c>
      <c r="H19" t="s">
        <v>155</v>
      </c>
    </row>
    <row r="20" spans="1:8" x14ac:dyDescent="0.2">
      <c r="A20" s="31" t="s">
        <v>107</v>
      </c>
      <c r="B20" s="32">
        <v>-25000</v>
      </c>
      <c r="C20" s="32">
        <v>-60000</v>
      </c>
    </row>
    <row r="21" spans="1:8" x14ac:dyDescent="0.2">
      <c r="A21" s="31" t="s">
        <v>108</v>
      </c>
      <c r="B21" s="32">
        <v>25000</v>
      </c>
    </row>
    <row r="23" spans="1:8" x14ac:dyDescent="0.2">
      <c r="A23">
        <v>0</v>
      </c>
      <c r="B23" s="32">
        <v>-100000</v>
      </c>
      <c r="C23" s="32">
        <v>25000</v>
      </c>
    </row>
    <row r="24" spans="1:8" x14ac:dyDescent="0.2">
      <c r="A24">
        <v>1</v>
      </c>
      <c r="B24" s="32">
        <f>-(B23+$C$23)</f>
        <v>75000</v>
      </c>
    </row>
    <row r="25" spans="1:8" x14ac:dyDescent="0.2">
      <c r="A25">
        <v>2</v>
      </c>
      <c r="B25" s="32">
        <f>B24-$C$23</f>
        <v>50000</v>
      </c>
      <c r="D25" s="27">
        <f>-PMT(12%,A25,B23,B25)+B20</f>
        <v>-60584.905660377364</v>
      </c>
      <c r="E25" s="27">
        <f>-PMT(12%,A25,B23,B25)-C23</f>
        <v>-60584.905660377364</v>
      </c>
      <c r="F25" s="41" t="s">
        <v>182</v>
      </c>
    </row>
    <row r="26" spans="1:8" x14ac:dyDescent="0.2">
      <c r="A26">
        <v>3</v>
      </c>
      <c r="B26" s="32">
        <f t="shared" ref="B26:B27" si="0">B25-$C$23</f>
        <v>25000</v>
      </c>
      <c r="D26" s="27">
        <f>-PMT(12%,A26,B23,B26)+B20</f>
        <v>-59226.17354196302</v>
      </c>
      <c r="E26" s="27">
        <f>-PMT(12%,A26,B23,B26)-C23</f>
        <v>-59226.17354196302</v>
      </c>
      <c r="F26" s="41" t="s">
        <v>183</v>
      </c>
    </row>
    <row r="27" spans="1:8" x14ac:dyDescent="0.2">
      <c r="A27">
        <v>4</v>
      </c>
      <c r="B27" s="32">
        <f t="shared" si="0"/>
        <v>0</v>
      </c>
      <c r="D27" s="27">
        <f>-PMT(12%,A27,B23,B27)+B20</f>
        <v>-57923.443630568981</v>
      </c>
      <c r="E27" s="27">
        <f>-PMT(12%,A27,B23,B27)-C23</f>
        <v>-57923.443630568981</v>
      </c>
      <c r="F27" s="41" t="s">
        <v>184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"/>
  <sheetViews>
    <sheetView topLeftCell="A6" zoomScale="120" zoomScaleNormal="120" workbookViewId="0">
      <selection activeCell="B24" sqref="B24"/>
    </sheetView>
  </sheetViews>
  <sheetFormatPr baseColWidth="10" defaultRowHeight="12.6" x14ac:dyDescent="0.2"/>
  <cols>
    <col min="1" max="2" width="10.90625" bestFit="1" customWidth="1"/>
    <col min="3" max="6" width="14.7265625" bestFit="1" customWidth="1"/>
    <col min="7" max="7" width="14.90625" bestFit="1" customWidth="1"/>
  </cols>
  <sheetData>
    <row r="1" spans="1:5" x14ac:dyDescent="0.2">
      <c r="A1" t="s">
        <v>44</v>
      </c>
    </row>
    <row r="2" spans="1:5" x14ac:dyDescent="0.2">
      <c r="A2" t="s">
        <v>45</v>
      </c>
    </row>
    <row r="3" spans="1:5" x14ac:dyDescent="0.2">
      <c r="A3" t="s">
        <v>128</v>
      </c>
    </row>
    <row r="4" spans="1:5" x14ac:dyDescent="0.2">
      <c r="A4" t="s">
        <v>129</v>
      </c>
    </row>
    <row r="5" spans="1:5" x14ac:dyDescent="0.2">
      <c r="A5" t="s">
        <v>130</v>
      </c>
    </row>
    <row r="6" spans="1:5" x14ac:dyDescent="0.2">
      <c r="A6" t="s">
        <v>131</v>
      </c>
    </row>
    <row r="7" spans="1:5" x14ac:dyDescent="0.2">
      <c r="A7" t="s">
        <v>132</v>
      </c>
    </row>
    <row r="9" spans="1:5" x14ac:dyDescent="0.2">
      <c r="A9" t="s">
        <v>143</v>
      </c>
      <c r="B9" s="1">
        <v>-200000</v>
      </c>
      <c r="D9" t="s">
        <v>146</v>
      </c>
      <c r="E9" s="2">
        <v>0.18</v>
      </c>
    </row>
    <row r="10" spans="1:5" x14ac:dyDescent="0.2">
      <c r="A10" t="s">
        <v>144</v>
      </c>
      <c r="B10">
        <v>2</v>
      </c>
    </row>
    <row r="12" spans="1:5" x14ac:dyDescent="0.2">
      <c r="A12" t="s">
        <v>145</v>
      </c>
    </row>
    <row r="13" spans="1:5" x14ac:dyDescent="0.2">
      <c r="A13">
        <v>1</v>
      </c>
      <c r="B13" s="1">
        <v>-300000</v>
      </c>
    </row>
    <row r="14" spans="1:5" x14ac:dyDescent="0.2">
      <c r="A14">
        <v>2</v>
      </c>
      <c r="B14" s="1">
        <v>-225000</v>
      </c>
    </row>
    <row r="15" spans="1:5" x14ac:dyDescent="0.2">
      <c r="A15">
        <v>3</v>
      </c>
      <c r="B15" s="1">
        <v>-275000</v>
      </c>
    </row>
    <row r="17" spans="1:7" x14ac:dyDescent="0.2">
      <c r="F17" t="s">
        <v>147</v>
      </c>
    </row>
    <row r="18" spans="1:7" x14ac:dyDescent="0.2">
      <c r="A18" t="s">
        <v>142</v>
      </c>
      <c r="D18" s="27">
        <f>PV(E9,B10,-B9)</f>
        <v>-313128.4113760413</v>
      </c>
      <c r="E18" s="27">
        <f>PV(E9,A15,,-B13)</f>
        <v>-182589.26180378717</v>
      </c>
      <c r="F18" s="27">
        <f>PMT(E9,3,-SUM(D18:E18))</f>
        <v>-227992.38607098869</v>
      </c>
    </row>
    <row r="19" spans="1:7" x14ac:dyDescent="0.2">
      <c r="A19" t="s">
        <v>140</v>
      </c>
      <c r="D19" s="27">
        <f>PV(E9,1,,-B9)</f>
        <v>-169491.52542372883</v>
      </c>
      <c r="E19" s="27">
        <f>PV(E9,1,,PV(E9,2,B14))</f>
        <v>-298533.44304919196</v>
      </c>
      <c r="F19" s="28">
        <f>PMT(E9,3,-SUM(D19:E19))</f>
        <v>-215255.85040868883</v>
      </c>
    </row>
    <row r="20" spans="1:7" x14ac:dyDescent="0.2">
      <c r="A20" t="s">
        <v>141</v>
      </c>
      <c r="D20" s="27"/>
      <c r="E20" s="27"/>
      <c r="F20" s="27">
        <v>-275000</v>
      </c>
    </row>
    <row r="21" spans="1:7" x14ac:dyDescent="0.2">
      <c r="A21" t="s">
        <v>160</v>
      </c>
      <c r="B21" t="s">
        <v>161</v>
      </c>
      <c r="C21" t="s">
        <v>160</v>
      </c>
      <c r="E21" t="s">
        <v>162</v>
      </c>
      <c r="F21" s="40" t="s">
        <v>163</v>
      </c>
      <c r="G21" s="40" t="s">
        <v>159</v>
      </c>
    </row>
    <row r="22" spans="1:7" x14ac:dyDescent="0.2">
      <c r="A22">
        <v>2</v>
      </c>
      <c r="B22">
        <v>1</v>
      </c>
      <c r="C22" s="39">
        <v>-200000</v>
      </c>
      <c r="D22" s="39">
        <f>C22</f>
        <v>-200000</v>
      </c>
      <c r="E22" s="39">
        <f>B13</f>
        <v>-300000</v>
      </c>
      <c r="F22" s="27">
        <f>NPV(18%,C22:E22)</f>
        <v>-495717.67317982862</v>
      </c>
      <c r="G22" s="27">
        <f>PMT(18%,3,-F22)</f>
        <v>-227992.38607098872</v>
      </c>
    </row>
    <row r="23" spans="1:7" x14ac:dyDescent="0.2">
      <c r="A23">
        <v>1</v>
      </c>
      <c r="B23">
        <v>2</v>
      </c>
      <c r="C23" s="39">
        <f>C22</f>
        <v>-200000</v>
      </c>
      <c r="D23" s="39">
        <f>B14</f>
        <v>-225000</v>
      </c>
      <c r="E23" s="39">
        <f>D23</f>
        <v>-225000</v>
      </c>
      <c r="F23" s="38">
        <f t="shared" ref="F23:F24" si="0">NPV(18%,C23:E23)</f>
        <v>-468024.96847292094</v>
      </c>
      <c r="G23" s="38">
        <f t="shared" ref="G23:G24" si="1">PMT(18%,3,-F23)</f>
        <v>-215255.85040868892</v>
      </c>
    </row>
    <row r="24" spans="1:7" x14ac:dyDescent="0.2">
      <c r="A24">
        <v>0</v>
      </c>
      <c r="B24">
        <v>3</v>
      </c>
      <c r="C24" s="39">
        <f>B15</f>
        <v>-275000</v>
      </c>
      <c r="D24" s="39">
        <f>C24</f>
        <v>-275000</v>
      </c>
      <c r="E24" s="39">
        <f>D24</f>
        <v>-275000</v>
      </c>
      <c r="F24" s="27">
        <f t="shared" si="0"/>
        <v>-597925.05562886177</v>
      </c>
      <c r="G24" s="27">
        <f t="shared" si="1"/>
        <v>-275000</v>
      </c>
    </row>
  </sheetData>
  <phoneticPr fontId="4" type="noConversion"/>
  <pageMargins left="0.75" right="0.75" top="1" bottom="1" header="0.5" footer="0.5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Ejemplo 11.2</vt:lpstr>
      <vt:lpstr>Ejemplo 11.4</vt:lpstr>
      <vt:lpstr>Ejemplo 11.5</vt:lpstr>
      <vt:lpstr>Ejemplo 11.6</vt:lpstr>
      <vt:lpstr>Ejemplo 11.7</vt:lpstr>
      <vt:lpstr>Ejercicio 11.32</vt:lpstr>
    </vt:vector>
  </TitlesOfParts>
  <Company>Joyel,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Pezzarossi</dc:creator>
  <cp:lastModifiedBy>Cristhofer Patzán</cp:lastModifiedBy>
  <dcterms:created xsi:type="dcterms:W3CDTF">2011-11-07T15:21:56Z</dcterms:created>
  <dcterms:modified xsi:type="dcterms:W3CDTF">2023-10-20T01:45:18Z</dcterms:modified>
</cp:coreProperties>
</file>