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so Hardvard\"/>
    </mc:Choice>
  </mc:AlternateContent>
  <xr:revisionPtr revIDLastSave="0" documentId="13_ncr:1_{B04D25B7-FC25-4A5A-B66F-FD9688AC97B6}" xr6:coauthVersionLast="47" xr6:coauthVersionMax="47" xr10:uidLastSave="{00000000-0000-0000-0000-000000000000}"/>
  <bookViews>
    <workbookView xWindow="-108" yWindow="-108" windowWidth="23256" windowHeight="12576" tabRatio="855" firstSheet="1" activeTab="7" xr2:uid="{00000000-000D-0000-FFFF-FFFF00000000}"/>
  </bookViews>
  <sheets>
    <sheet name="_CIQHiddenCacheSheet" sheetId="32" state="veryHidden" r:id="rId1"/>
    <sheet name="Exhibit 1" sheetId="34" r:id="rId2"/>
    <sheet name="Exhibit 2" sheetId="22" r:id="rId3"/>
    <sheet name="Exhibit 3" sheetId="23" r:id="rId4"/>
    <sheet name="Exhibit 5" sheetId="25" r:id="rId5"/>
    <sheet name="1.) Exhibit 4" sheetId="24" r:id="rId6"/>
    <sheet name="2.) Landmark Valuation" sheetId="36" r:id="rId7"/>
    <sheet name="3-5) Valuation (expected scen)" sheetId="35" r:id="rId8"/>
    <sheet name="6.) Valuation (pess scen.)" sheetId="37" r:id="rId9"/>
  </sheets>
  <externalReferences>
    <externalReference r:id="rId10"/>
  </externalReferences>
  <definedNames>
    <definedName name="CIQWBGuid" hidden="1">"afe9a56e-3065-4ad9-a438-fc9f48600bfd"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"09/30/2013 20:44:06"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adj" localSheetId="1" hidden="1">'Exhibit 1'!#REF!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'Exhibit 1'!#REF!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475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5" l="1"/>
  <c r="E31" i="35"/>
  <c r="F31" i="35"/>
  <c r="G31" i="35"/>
  <c r="H31" i="35"/>
  <c r="I31" i="35"/>
  <c r="J31" i="35"/>
  <c r="K31" i="35"/>
  <c r="D28" i="35"/>
  <c r="E28" i="35"/>
  <c r="F28" i="35"/>
  <c r="G28" i="35"/>
  <c r="H28" i="35"/>
  <c r="I28" i="35"/>
  <c r="J28" i="35"/>
  <c r="K28" i="35"/>
  <c r="D27" i="35"/>
  <c r="E27" i="35"/>
  <c r="F27" i="35"/>
  <c r="G27" i="35"/>
  <c r="H27" i="35"/>
  <c r="I27" i="35"/>
  <c r="J27" i="35"/>
  <c r="K27" i="35"/>
  <c r="D26" i="35"/>
  <c r="E26" i="35"/>
  <c r="F26" i="35"/>
  <c r="G26" i="35"/>
  <c r="H26" i="35"/>
  <c r="I26" i="35"/>
  <c r="J26" i="35"/>
  <c r="K26" i="35"/>
  <c r="D25" i="35"/>
  <c r="E25" i="35"/>
  <c r="F25" i="35"/>
  <c r="G25" i="35"/>
  <c r="H25" i="35"/>
  <c r="I25" i="35"/>
  <c r="J25" i="35"/>
  <c r="K25" i="35"/>
  <c r="E24" i="35"/>
  <c r="F24" i="35" s="1"/>
  <c r="G24" i="35" s="1"/>
  <c r="H24" i="35" s="1"/>
  <c r="I24" i="35" s="1"/>
  <c r="J24" i="35" s="1"/>
  <c r="K24" i="35" s="1"/>
  <c r="E14" i="35"/>
  <c r="F14" i="35"/>
  <c r="G14" i="35"/>
  <c r="H14" i="35"/>
  <c r="I14" i="35"/>
  <c r="J14" i="35"/>
  <c r="K14" i="35"/>
  <c r="D13" i="35"/>
  <c r="E13" i="35"/>
  <c r="F13" i="35"/>
  <c r="G13" i="35"/>
  <c r="H13" i="35"/>
  <c r="I13" i="35"/>
  <c r="J13" i="35"/>
  <c r="K13" i="35"/>
  <c r="D11" i="35"/>
  <c r="E11" i="35"/>
  <c r="F11" i="35"/>
  <c r="G11" i="35"/>
  <c r="H11" i="35"/>
  <c r="I11" i="35"/>
  <c r="J11" i="35"/>
  <c r="K11" i="35"/>
  <c r="D10" i="35"/>
  <c r="E10" i="35"/>
  <c r="F10" i="35"/>
  <c r="G10" i="35"/>
  <c r="H10" i="35"/>
  <c r="I10" i="35"/>
  <c r="J10" i="35"/>
  <c r="K10" i="35"/>
  <c r="D9" i="35"/>
  <c r="E9" i="35"/>
  <c r="F9" i="35"/>
  <c r="G9" i="35"/>
  <c r="H9" i="35"/>
  <c r="I9" i="35"/>
  <c r="J9" i="35"/>
  <c r="K9" i="35"/>
  <c r="E8" i="35"/>
  <c r="F8" i="35" s="1"/>
  <c r="G8" i="35" s="1"/>
  <c r="H8" i="35" s="1"/>
  <c r="I8" i="35" s="1"/>
  <c r="J8" i="35" s="1"/>
  <c r="K8" i="35" s="1"/>
  <c r="D16" i="36"/>
  <c r="E16" i="36"/>
  <c r="F16" i="36"/>
  <c r="G16" i="36"/>
  <c r="H16" i="36"/>
  <c r="D15" i="36"/>
  <c r="E15" i="36"/>
  <c r="F15" i="36"/>
  <c r="G15" i="36"/>
  <c r="H15" i="36"/>
  <c r="E14" i="36"/>
  <c r="F14" i="36"/>
  <c r="G14" i="36"/>
  <c r="H14" i="36"/>
  <c r="I13" i="36"/>
  <c r="G20" i="34"/>
  <c r="D13" i="36"/>
  <c r="E13" i="36"/>
  <c r="F13" i="36"/>
  <c r="G13" i="36"/>
  <c r="H13" i="36"/>
  <c r="D11" i="36"/>
  <c r="E11" i="36"/>
  <c r="F11" i="36"/>
  <c r="G11" i="36"/>
  <c r="H11" i="36"/>
  <c r="D10" i="36"/>
  <c r="E10" i="36"/>
  <c r="F10" i="36"/>
  <c r="G10" i="36"/>
  <c r="H10" i="36"/>
  <c r="D9" i="36"/>
  <c r="E9" i="36"/>
  <c r="F9" i="36"/>
  <c r="G9" i="36"/>
  <c r="H9" i="36"/>
  <c r="E8" i="36"/>
  <c r="F8" i="36" s="1"/>
  <c r="G8" i="36" s="1"/>
  <c r="H8" i="36" s="1"/>
  <c r="B39" i="24"/>
  <c r="F39" i="37"/>
  <c r="E39" i="37"/>
  <c r="D39" i="37"/>
  <c r="C39" i="37"/>
  <c r="G34" i="37"/>
  <c r="H34" i="37" s="1"/>
  <c r="I34" i="37" s="1"/>
  <c r="J34" i="37" s="1"/>
  <c r="K34" i="37" s="1"/>
  <c r="F34" i="37"/>
  <c r="E34" i="37"/>
  <c r="D34" i="37"/>
  <c r="C34" i="37"/>
  <c r="G33" i="37"/>
  <c r="F33" i="37"/>
  <c r="E33" i="37"/>
  <c r="D33" i="37"/>
  <c r="C33" i="37"/>
  <c r="C28" i="37"/>
  <c r="C35" i="37" s="1"/>
  <c r="C16" i="37"/>
  <c r="G14" i="37"/>
  <c r="H14" i="37" s="1"/>
  <c r="I14" i="37" s="1"/>
  <c r="J14" i="37" s="1"/>
  <c r="K14" i="37" s="1"/>
  <c r="F14" i="37"/>
  <c r="E14" i="37"/>
  <c r="D14" i="37"/>
  <c r="C14" i="37"/>
  <c r="C10" i="37"/>
  <c r="C15" i="37" s="1"/>
  <c r="G39" i="37"/>
  <c r="H39" i="37" s="1"/>
  <c r="H33" i="37"/>
  <c r="I33" i="37" s="1"/>
  <c r="J33" i="37" s="1"/>
  <c r="K33" i="37" s="1"/>
  <c r="D3" i="37"/>
  <c r="E3" i="37" s="1"/>
  <c r="F3" i="37" s="1"/>
  <c r="G3" i="37" s="1"/>
  <c r="H3" i="37" s="1"/>
  <c r="I3" i="37" s="1"/>
  <c r="J3" i="37" s="1"/>
  <c r="K3" i="37" s="1"/>
  <c r="C29" i="37" l="1"/>
  <c r="C30" i="37" s="1"/>
  <c r="C17" i="37"/>
  <c r="C31" i="37"/>
  <c r="C32" i="37" s="1"/>
  <c r="C36" i="37" s="1"/>
  <c r="G40" i="37"/>
  <c r="C41" i="37" s="1"/>
  <c r="D10" i="37"/>
  <c r="C11" i="37"/>
  <c r="D28" i="37"/>
  <c r="C12" i="37" l="1"/>
  <c r="C13" i="37" s="1"/>
  <c r="C18" i="37" s="1"/>
  <c r="D16" i="37"/>
  <c r="D18" i="37" l="1"/>
  <c r="D36" i="37"/>
  <c r="E18" i="37" l="1"/>
  <c r="E36" i="37"/>
  <c r="F18" i="37" l="1"/>
  <c r="F36" i="37"/>
  <c r="G18" i="37" l="1"/>
  <c r="G36" i="37"/>
  <c r="H36" i="37" l="1"/>
  <c r="G37" i="37" s="1"/>
  <c r="C38" i="37" s="1"/>
  <c r="C42" i="37" s="1"/>
  <c r="H18" i="37"/>
  <c r="G19" i="37" s="1"/>
  <c r="C20" i="37" s="1"/>
  <c r="C43" i="37" l="1"/>
  <c r="D8" i="36" l="1"/>
  <c r="C14" i="36"/>
  <c r="G12" i="36"/>
  <c r="H12" i="36" s="1"/>
  <c r="F12" i="36"/>
  <c r="E12" i="36"/>
  <c r="D12" i="36"/>
  <c r="C12" i="36"/>
  <c r="C8" i="36"/>
  <c r="C15" i="36" s="1"/>
  <c r="C9" i="36" l="1"/>
  <c r="C13" i="36"/>
  <c r="C14" i="35"/>
  <c r="G35" i="35"/>
  <c r="H35" i="35" s="1"/>
  <c r="F35" i="35"/>
  <c r="E35" i="35"/>
  <c r="D35" i="35"/>
  <c r="C35" i="35"/>
  <c r="G30" i="35"/>
  <c r="H30" i="35" s="1"/>
  <c r="I30" i="35" s="1"/>
  <c r="J30" i="35" s="1"/>
  <c r="K30" i="35" s="1"/>
  <c r="F30" i="35"/>
  <c r="E30" i="35"/>
  <c r="D30" i="35"/>
  <c r="C30" i="35"/>
  <c r="G29" i="35"/>
  <c r="H29" i="35" s="1"/>
  <c r="I29" i="35" s="1"/>
  <c r="J29" i="35" s="1"/>
  <c r="K29" i="35" s="1"/>
  <c r="F29" i="35"/>
  <c r="E29" i="35"/>
  <c r="D29" i="35"/>
  <c r="C29" i="35"/>
  <c r="C8" i="35"/>
  <c r="C13" i="35" s="1"/>
  <c r="C24" i="35"/>
  <c r="C25" i="35" s="1"/>
  <c r="K12" i="35"/>
  <c r="G12" i="35"/>
  <c r="H12" i="35" s="1"/>
  <c r="I12" i="35" s="1"/>
  <c r="J12" i="35" s="1"/>
  <c r="F12" i="35"/>
  <c r="E12" i="35"/>
  <c r="D12" i="35"/>
  <c r="C12" i="35"/>
  <c r="G5" i="35"/>
  <c r="H5" i="35" s="1"/>
  <c r="D3" i="35"/>
  <c r="E3" i="35" s="1"/>
  <c r="F3" i="35" s="1"/>
  <c r="G3" i="35" s="1"/>
  <c r="H3" i="35" s="1"/>
  <c r="I3" i="35" s="1"/>
  <c r="J3" i="35" s="1"/>
  <c r="K3" i="35" s="1"/>
  <c r="C10" i="36" l="1"/>
  <c r="C11" i="36" s="1"/>
  <c r="C16" i="36" s="1"/>
  <c r="D14" i="36"/>
  <c r="C26" i="35"/>
  <c r="C27" i="35" s="1"/>
  <c r="C28" i="35" s="1"/>
  <c r="G36" i="35"/>
  <c r="C37" i="35" s="1"/>
  <c r="C15" i="35"/>
  <c r="C31" i="35"/>
  <c r="D8" i="35"/>
  <c r="C9" i="35"/>
  <c r="D24" i="35"/>
  <c r="C32" i="35" l="1"/>
  <c r="C10" i="35"/>
  <c r="C11" i="35" s="1"/>
  <c r="C16" i="35" s="1"/>
  <c r="D15" i="35"/>
  <c r="D14" i="35"/>
  <c r="E15" i="35" l="1"/>
  <c r="D32" i="35"/>
  <c r="D16" i="35"/>
  <c r="E16" i="35" l="1"/>
  <c r="E32" i="35"/>
  <c r="F15" i="35"/>
  <c r="G15" i="35" l="1"/>
  <c r="F16" i="35"/>
  <c r="F32" i="35"/>
  <c r="G17" i="36" l="1"/>
  <c r="C18" i="36" s="1"/>
  <c r="H15" i="35"/>
  <c r="G16" i="35"/>
  <c r="G32" i="35"/>
  <c r="H16" i="35" l="1"/>
  <c r="G17" i="35" s="1"/>
  <c r="C18" i="35" s="1"/>
  <c r="I15" i="35"/>
  <c r="H32" i="35"/>
  <c r="G33" i="35" s="1"/>
  <c r="C34" i="35" s="1"/>
  <c r="C38" i="35" s="1"/>
  <c r="C39" i="35" l="1"/>
  <c r="J15" i="35"/>
  <c r="K15" i="35" l="1"/>
  <c r="B46" i="24" l="1"/>
  <c r="B42" i="24"/>
  <c r="E35" i="24"/>
  <c r="C26" i="24"/>
  <c r="B17" i="23" l="1"/>
  <c r="B6" i="23"/>
  <c r="C6" i="23" s="1"/>
  <c r="D6" i="23" s="1"/>
  <c r="E6" i="23" l="1"/>
  <c r="F6" i="23" s="1"/>
  <c r="B3" i="23"/>
  <c r="B8" i="23" s="1"/>
  <c r="B13" i="23"/>
  <c r="C5" i="24" l="1"/>
  <c r="D5" i="24"/>
  <c r="B5" i="24"/>
  <c r="C3" i="23" l="1"/>
  <c r="C8" i="23" s="1"/>
  <c r="B19" i="23" l="1"/>
  <c r="C13" i="23"/>
  <c r="D3" i="23"/>
  <c r="D8" i="23" s="1"/>
  <c r="C4" i="23"/>
  <c r="C7" i="23"/>
  <c r="B4" i="23"/>
  <c r="C19" i="23" l="1"/>
  <c r="C18" i="23"/>
  <c r="D13" i="23"/>
  <c r="D18" i="23" s="1"/>
  <c r="E3" i="23"/>
  <c r="E8" i="23" s="1"/>
  <c r="D4" i="23"/>
  <c r="D7" i="23"/>
  <c r="E13" i="23" l="1"/>
  <c r="E18" i="23" s="1"/>
  <c r="D19" i="23"/>
  <c r="F3" i="23"/>
  <c r="F8" i="23" s="1"/>
  <c r="E4" i="23"/>
  <c r="E7" i="23"/>
  <c r="E19" i="23" l="1"/>
  <c r="F13" i="23"/>
  <c r="F4" i="23"/>
  <c r="F7" i="23"/>
  <c r="F18" i="23" l="1"/>
  <c r="F19" i="23"/>
  <c r="B5" i="23" l="1"/>
  <c r="C9" i="24" l="1"/>
  <c r="D9" i="24"/>
  <c r="B9" i="24"/>
  <c r="B17" i="24" l="1"/>
  <c r="B34" i="24"/>
  <c r="D17" i="24"/>
  <c r="D34" i="24"/>
  <c r="C17" i="24"/>
  <c r="C34" i="24"/>
  <c r="B14" i="23"/>
  <c r="C5" i="23"/>
  <c r="C9" i="23" s="1"/>
  <c r="E34" i="24" l="1"/>
  <c r="E17" i="24"/>
  <c r="C14" i="23"/>
  <c r="D5" i="23"/>
  <c r="D9" i="23" s="1"/>
  <c r="B16" i="23"/>
  <c r="C16" i="23" l="1"/>
  <c r="C20" i="23" s="1"/>
  <c r="E5" i="23"/>
  <c r="E9" i="23" s="1"/>
  <c r="D14" i="23"/>
  <c r="D16" i="23" l="1"/>
  <c r="D20" i="23" s="1"/>
  <c r="E14" i="23"/>
  <c r="F5" i="23"/>
  <c r="F9" i="23" s="1"/>
  <c r="E16" i="23" l="1"/>
  <c r="E20" i="23" s="1"/>
  <c r="F14" i="23"/>
  <c r="F16" i="23" l="1"/>
  <c r="F20" i="23" l="1"/>
  <c r="B18" i="23" l="1"/>
  <c r="B20" i="23" l="1"/>
  <c r="B7" i="23" l="1"/>
  <c r="B9" i="23" s="1"/>
</calcChain>
</file>

<file path=xl/sharedStrings.xml><?xml version="1.0" encoding="utf-8"?>
<sst xmlns="http://schemas.openxmlformats.org/spreadsheetml/2006/main" count="327" uniqueCount="122">
  <si>
    <t>Current assets</t>
  </si>
  <si>
    <t>Total assets</t>
  </si>
  <si>
    <t>Total liabilities and equity</t>
  </si>
  <si>
    <t>Net sales</t>
  </si>
  <si>
    <t>Interest expense</t>
  </si>
  <si>
    <t>Long-term debt</t>
  </si>
  <si>
    <t>Current Liabilities</t>
  </si>
  <si>
    <t>Net income</t>
  </si>
  <si>
    <t>Shareholders 'equity</t>
  </si>
  <si>
    <t>Accounts receivable</t>
  </si>
  <si>
    <t>Accounts payable</t>
  </si>
  <si>
    <t>Total liabilities</t>
  </si>
  <si>
    <t>COGS</t>
  </si>
  <si>
    <t>Net PP&amp;E</t>
  </si>
  <si>
    <t>Depreciation and amortization</t>
  </si>
  <si>
    <t>Income taxes</t>
  </si>
  <si>
    <t>Gross profit</t>
  </si>
  <si>
    <t>Operating profit</t>
  </si>
  <si>
    <t>Assets</t>
  </si>
  <si>
    <t>Investments and other assets</t>
  </si>
  <si>
    <t>Share price</t>
  </si>
  <si>
    <t>Operating expenses</t>
  </si>
  <si>
    <t>Cash</t>
  </si>
  <si>
    <t>Other current assets</t>
  </si>
  <si>
    <t>Income statement</t>
  </si>
  <si>
    <t>Balance sheet</t>
  </si>
  <si>
    <t>Change in net working capital</t>
  </si>
  <si>
    <t>Capital expenditure</t>
  </si>
  <si>
    <t>Total FCF</t>
  </si>
  <si>
    <t>Sales</t>
  </si>
  <si>
    <t>EPS</t>
  </si>
  <si>
    <t>Dividends</t>
  </si>
  <si>
    <t>Debt</t>
  </si>
  <si>
    <t>Market capitalization</t>
  </si>
  <si>
    <t>Equity beta</t>
  </si>
  <si>
    <t>3-month Treasury bill rate</t>
  </si>
  <si>
    <t>1-year Treasury bond rate</t>
  </si>
  <si>
    <t>10-year Treasury bond rate</t>
  </si>
  <si>
    <t>Treasury:</t>
  </si>
  <si>
    <t>A</t>
  </si>
  <si>
    <t>Market risk premium</t>
  </si>
  <si>
    <t>Aaa</t>
  </si>
  <si>
    <t>Aa</t>
  </si>
  <si>
    <t>Baa</t>
  </si>
  <si>
    <t xml:space="preserve"> </t>
  </si>
  <si>
    <t>Other non-current liabilities</t>
  </si>
  <si>
    <t>AwABTAVMT0NBTAFI/////wFQIQAAABxDSVEuTkFTREFRR1M6U1AuSVFfTUFSS0VUQ0FQAQAAAN3VAQACAAAACjQ5My4zODU0ODgBBgAAAAUAAAABMQEAAAAKMTY3NjQ5NzIwNAMAAAADMTYwAgAAAAYxMDAwNTQEAAAAATAHAAAACDYvOS8yMDE0FGrgrsBS0QiG9vGuwFLRCCJDSVEuTllTRTpBUk1LLklRX1RPVEFMX1JFVi5GWSAyMDEzAQAAAEpSDwACAAAACTEzOTQ1LjY1NwEIAAAABQAAAAExAQAAAAoxNjgwNTI2MTc0AwAAAAMxNjACAAAAAjI4BAAAAAEwBwAAAAk2LzEwLzIwMTQIAAAACTkvMjcvMjAxMwkAAAABMBRq4K7AUtEIp0TyrsBS0QgdQ0lRLk5ZU0U6RU1FLklRX0xBU1RTQUxFUFJJQ0UBAAAAbm0AAAIAAAAFNDcuMDQAFGrgrsBS0QiG9vGuwFLRCCVDSVEuTllTRTpBUk1LLklRX1RPVEFMX0FTU0VUUy5GWSAyMDEzAQAAAEpSDwACAAAACTEwMjY3LjEwNgEIAAAABQAAAAExAQAAAAoxNjgwNTI2MTc0AwAAAAMxNjACAAAABDEwMDcEAAAAATAHAAAACTYvMTAvMjAxNAgAAAAJOS8yNy8yMDEzCQAAAAEwFGrgrsBS0QiG9vGuwFLRCCNDSVEuTkFTREFRR1M6U1AuSVFfRVBTX05PUk0uRlkgMjAxMwEAAADd1QEAAgAAAAgwLjkwODQ1NAEIAAAABQAAAAExAQAAAAoxNjYzMDk1MTk2AwAAAAMxNjACAAAABDQzNzkEAAAAATAHAAAACTYvMTAvMjAxNAgAAAAKMTIvMzEvMjAxMwkAAAABMBRq4K7AUtEIp0T</t>
  </si>
  <si>
    <t>yrsBS0QgiQ0lRLk5ZU0U6QVJNSy5JUV9FUVVJVFlfQVAuRlkgMjAxMwEAAABKUg8AAgAAAAUyLjE5NAELAAAABQAAAAIxMwEAAAAHNTA1NzQxNgMAAAAFNDE3ODQEAAAABTQxNTQyAgAAAAczMDA5NzI2BgAAAAc1MDExMDUzBwAAAAEwCAAAAAMxNjAJAAAABTQxNTQyCgAAAAEwCwAAAAI0NhRq4K7AUtEIlx3yrsBS0QgdQ0lRLk5BU0RBUUdTOlNQLklRX05JLkZZIDIwMTMBAAAA3dUBAAIAAAAGMTIuMDg5AQgAAAAFAAAAATEBAAAACjE2NjMwOTUxOTYDAAAAAzE2MAIAAAACMTUEAAAAATAHAAAACTYvMTAvMjAxNAgAAAAKMTIvMzEvMjAxMwkAAAABMBRq4K7AUtEIp0TyrsBS0QgaQ0lRLk5ZU0U6QVJNSy5JUV9NQVJLRVRDQVABAAAASlIPAAIAAAALNjE5NS42NjYzNzEBBgAAAAUAAAABMQEAAAAKMTY4MTQ5NzkxMwMAAAADMTYwAgAAAAYxMDAwNTQEAAAAATAHAAAACDYvOS8yMDE0FGrgrsBS0QiXHfKuwFLRCBtDSVEuTllTRTpBUk1LLklRX05JLkZZIDIwMTMBAAAASlIPAAIAAAAGNjkuMzU2AQgAAAAFAAAAATEBAAAACjE2ODA1MjYxNzQDAAAAAzE2MAIAAAACMTUEAAAAATAHAAAACTYvMTAvMjAxNAgAAAAJOS8yNy8yMDEzCQAAAAEwFGrgrsBS0Qh2z/GuwFLRCCVDSVEuTkFTREFRR1M6U1AuSVFfVE9UQUxfREVCVC5GWSAyMDEzAQAAAN3VAQACAAAABzI4OC42NjYBCAAAAAUAAAABMQEAAAAKMTY2MzA5NT</t>
  </si>
  <si>
    <t>E5NgMAAAADMTYwAgAAAAQ0MTczBAAAAAEwBwAAAAk2LzEwLzIwMTQIAAAACjEyLzMxLzIwMTMJAAAAATAUauCuwFLRCKdE8q7AUtEIGUNJUS5OWVNFOkVNRS5JUV9NQVJLRVRDQVABAAAAbm0AAAIAAAAKMzIxMi4wNDI2OAEGAAAABQAAAAExAQAAAAoxNjc0MTc5MjUxAwAAAAMxNjACAAAABjEwMDA1NAQAAAABMAcAAAAINi85LzIwMTQUauCuwFLRCLhr8q7AUtEIFUNJUS5OWVNFOkVNRS4uRlkgMjAxMwUAAAABAAAACAAAABYoSW52YWxpZCBGb3JtdWxhIE5hbWUpda6QusBS0QhpuJ66wFLRCA5DSVEuTllTRTpBUk1LLgUAAAABAAAACAAAABYoSW52YWxpZCBGb3JtdWxhIE5hbWUpda6QusBS0QhpuJ66wFLRCBtDSVEuTllTRTpFTUUuSVFfQ1VTVE9NX0JFVEEBAAAAbm0AAAIAAAARMC45NDczOTIzMTkyMzM2NzEAFGrgrsBS0QinRPKuwFLRCCdDSVEuTkFTREFRR1M6U1AuSVFfVE9UQUxfQVNTRVRTLkZZIDIwMTMBAAAA3dUBAAIAAAAHODYyLjM3NQEIAAAABQAAAAExAQAAAAoxNjYzMDk1MTk2AwAAAAMxNjACAAAABDEwMDcEAAAAATAHAAAACTYvMTAvMjAxNAgAAAAKMTIvMzEvMjAxMwkAAAABMBRq4K7AUtEIhvbxrsBS0QggQ0lRLk5BU0RBUUdTOlNQLklRX0xBU1RTQUxFUFJJQ0UBAAAA3dUBAAIAAAAGMjIuMzI2ABRq4K7AUtEIlx3yrsBS0QgYQ0lRLk5BU0RBUUdTOlNQLi5GWSAyMDEzBQAAAAEAAAAIA</t>
  </si>
  <si>
    <t>AAAFihJbnZhbGlkIEZvcm11bGEgTmFtZSl1rpC6wFLRCHrfnrrAUtEIIENJUS5OWVNFOkVNRS5JUV9FUFNfTk9STS5GWSAyMDEzAQAAAG5tAAACAAAACDEuOTEzMTU4AQgAAAAFAAAAATEBAAAACjE2NjAyMzE0MzgDAAAAAzE2MAIAAAAENDM3OQQAAAABMAcAAAAJNi8xMC8yMDE0CAAAAAoxMi8zMS8yMDEzCQAAAAEwFGrgrsBS0Qh2z/GuwFLRCCFDSVEuTllTRTpFTUUuSVFfRVFVSVRZX0FQLkZZIDIwMTMBAAAAbm0AAAIAAAAFMC42NzYBCwAAAAUAAAACMTMBAAAABzQ5MTI1MTADAAAABTQxNjkzBAAAAAU0MTYzNwIAAAAHMzAwOTcyNgYAAAAGNDI0MTYwBwAAAAEwCAAAAAMxNjAJAAAABTQxNjM3CgAAAAEwCwAAAAI0NhRq4K7AUtEIlx3yrsBS0QgkQ0lRLk5BU0RBUUdTOlNQLklRX1RPVEFMX1JFVi5GWSAyMDEzAQAAAN3VAQACAAAABzgzNi45MjEBCAAAAAUAAAABMQEAAAAKMTY2MzA5NTE5NgMAAAADMTYwAgAAAAIyOAQAAAABMAcAAAAJNi8xMC8yMDE0CAAAAAoxMi8zMS8yMDEzCQAAAAEwFGrgrsBS0QiG9vGuwFLRCBpDSVEuTllTRTpFTUUuSVFfTkkuRlkgMjAxMwEAAABubQAAAgAAAAcxMjMuNzkyAQgAAAAFAAAAATEBAAAACjE2NjAyMzE0MzgDAAAAAzE2MAIAAAACMTUEAAAAATAHAAAACTYvMTAvMjAxNAgAAAAKMTIvMzEvMjAxMwkAAAABMBRq4K7AUtEIlx3yrsBS0QgeQ0lRLk5ZU0U6QVJNSy5J</t>
  </si>
  <si>
    <t>UV9MQVNUU0FMRVBSSUNFAQAAAEpSDwACAAAABTI2LjU2ABRq4K7AUtEIuGvyrsBS0QgeQ0lRLk5BU0RBUUdTOlNQLklRX0NVU1RPTV9CRVRBAQAAAN3VAQACAAAAEDEuMTA3NTkwNTE2NTM2NDkAFGrgrsBS0Qi4a/KuwFLRCCNDSVEuTllTRTpBUk1LLklRX1RPVEFMX0RFQlQuRlkgMjAxMwEAAABKUg8AAgAAAAg1ODg2Ljk0MgEIAAAABQAAAAExAQAAAAoxNjgwNTI2MTc0AwAAAAMxNjACAAAABDQxNzMEAAAAATAHAAAACTYvMTAvMjAxNAgAAAAJOS8yNy8yMDEzCQAAAAEwFGrgrsBS0QinRPKuwFLRCBZDSVEuTllTRTpBUk1LLi5GWSAyMDEzBQAAAAEAAAAIAAAAFihJbnZhbGlkIEZvcm11bGEgTmFtZSl1rpC6wFLRCHrfnrrAUtEIIUNJUS5OWVNFOkFSTUsuSVFfRVBTX05PUk0uRlkgMjAxMwEAAABKUg8AAgAAAAgwLjM5NzQ3NgEIAAAABQAAAAExAQAAAAoxNjgwNTI2MTc0AwAAAAMxNjACAAAABDQzNzkEAAAAATAHAAAACTYvMTAvMjAxNAgAAAAJOS8yNy8yMDEzCQAAAAEwFGrgrsBS0QiG9vGuwFLRCCFDSVEuTllTRTpFTUUuSVFfVE9UQUxfUkVWLkZZIDIwMTMBAAAAbm0AAAIAAAAINjQxNy4xNTgBCAAAAAUAAAABMQEAAAAKMTY2MDIzMTQzOAMAAAADMTYwAgAAAAIyOAQAAAABMAcAAAAJNi8xMC8yMDE0CAAAAAoxMi8zMS8yMDEzCQAAAAEwFGrgrsBS0Qi4a/KuwFLRCBxDSVEuTllTRTpBUk1LLklRX0N</t>
  </si>
  <si>
    <t>VU1RPTV9CRVRBAQAAAEpSDwACAAAAEDEuOTkxOTc2NDI3Mzc4NjMAFGrgrsBS0QiXHfKuwFLRCCJDSVEuTllTRTpFTUUuSVFfVE9UQUxfREVCVC5GWSAyMDEzAQAAAG5tAAACAAAABzM1NC42NjMBCAAAAAUAAAABMQEAAAAKMTY2MDIzMTQzOAMAAAADMTYwAgAAAAQ0MTczBAAAAAEwBwAAAAk2LzEwLzIwMTQIAAAACjEyLzMxLzIwMTMJAAAAATAUauCuwFLRCIb28a7AUtEIEENJUS5OQVNEQVFHUzpTUC4FAAAAAQAAAAgAAAAWKEludmFsaWQgRm9ybXVsYSBOYW1lKXWukLrAUtEIiwafusBS0QgkQ0lRLk5ZU0U6RU1FLklRX1RPVEFMX0FTU0VUUy5GWSAyMDEzAQAAAG5tAAACAAAACDM0NjUuOTE1AQgAAAAFAAAAATEBAAAACjE2NjAyMzE0MzgDAAAAAzE2MAIAAAAEMTAwNwQAAAABMAcAAAAJNi8xMC8yMDE0CAAAAAoxMi8zMS8yMDEzCQAAAAEwFGrgrsBS0QinRPKuwFLRCCRDSVEuTkFTREFRR1M6U1AuSVFfRVFVSVRZX0FQLkZZIDIwMTMBAAAA3dUBAAIAAAAFMC4wMjIBCwAAAAUAAAACMTMBAAAABzQ5MzYzNTYDAAAABTQxNzA5BAAAAAU0MTYzNwIAAAAHMzAwOTcyNgYAAAAHMjE1MDMyMQcAAAABMAgAAAADMTYwCQAAAAU0MTYzNwoAAAABMAsAAAACNDYUauCuwFLRCHbP8a7AUtEIDUNJUS5OWVNFOkVNRS4FAAAAAQAAAAgAAAAWKEludmFsaWQgRm9ybXVsYSBOYW1lKXWukLrAUtEIet+eusBS0Qg=</t>
  </si>
  <si>
    <t>Bank borrowing</t>
  </si>
  <si>
    <t>Number of shares outstanding</t>
  </si>
  <si>
    <t>Comparable Company 1</t>
  </si>
  <si>
    <t>Comparable Company 2</t>
  </si>
  <si>
    <t>Comparable Company 3</t>
  </si>
  <si>
    <t>Dividend</t>
  </si>
  <si>
    <t>Corporate bond yield:</t>
  </si>
  <si>
    <t>Shareholders' equity</t>
  </si>
  <si>
    <t>2014 [E]</t>
  </si>
  <si>
    <t>Accrued expenses and deferred taxes</t>
  </si>
  <si>
    <r>
      <t>Interest expense</t>
    </r>
    <r>
      <rPr>
        <vertAlign val="superscript"/>
        <sz val="9"/>
        <rFont val="Times New Roman"/>
        <family val="1"/>
      </rPr>
      <t>a</t>
    </r>
  </si>
  <si>
    <r>
      <t>Long-term debt, current portion</t>
    </r>
    <r>
      <rPr>
        <vertAlign val="superscript"/>
        <sz val="9"/>
        <rFont val="Times New Roman"/>
        <family val="1"/>
      </rPr>
      <t>b</t>
    </r>
  </si>
  <si>
    <r>
      <rPr>
        <vertAlign val="superscript"/>
        <sz val="9"/>
        <rFont val="Times New Roman"/>
        <family val="1"/>
      </rPr>
      <t>a</t>
    </r>
    <r>
      <rPr>
        <sz val="9"/>
        <rFont val="Times New Roman"/>
        <family val="1"/>
      </rPr>
      <t xml:space="preserve"> Interest rate on long-term debt outstanding is at 4.5% per year.</t>
    </r>
  </si>
  <si>
    <r>
      <rPr>
        <vertAlign val="superscript"/>
        <sz val="9"/>
        <rFont val="Times New Roman"/>
        <family val="1"/>
      </rPr>
      <t>b</t>
    </r>
    <r>
      <rPr>
        <sz val="9"/>
        <rFont val="Times New Roman"/>
        <family val="1"/>
      </rPr>
      <t xml:space="preserve"> Principal amount of long-term debt is amortized at $0.4m per year.</t>
    </r>
  </si>
  <si>
    <t>Exhibit 5 Selected Capital Markets Information as of September 1, 2014</t>
  </si>
  <si>
    <t>Exhibit 4 Financial Data of Publically Traded Competitors, 2014 (U.S. $ millions)</t>
  </si>
  <si>
    <t>Exhibit 3a Five-year Forecast of Landmark's Income and Cash Flow, 2015-2019 (U.S. $ millions)*</t>
  </si>
  <si>
    <t>Exhibit 3b Five-year Forecast of Broadway's Income and Cash Flow, 2015-2019 (U.S. $ millions)*</t>
  </si>
  <si>
    <t>*Numbers in the exhibits are based on the assumption Broadway does not acquire Landmark.</t>
  </si>
  <si>
    <t>Exhibit 1 Landmark's Simplified Financial Statements, 2010-2014 (U.S. $ millions)</t>
  </si>
  <si>
    <t>Exhibit 2 Broadway's Simplified Financial Statements, 2010-2014 (U.S. $ millions)</t>
  </si>
  <si>
    <t>Hypotheticall all equity firm (based on the three comparable firms:</t>
  </si>
  <si>
    <t>1.)</t>
  </si>
  <si>
    <t>2.)</t>
  </si>
  <si>
    <t>Using CAPM, we get de cost of unlevered equity of the industry:</t>
  </si>
  <si>
    <t>The cost of capital (WACC) of Landmark and Broadway should be close but below this cost of unlevered equity.</t>
  </si>
  <si>
    <t>3.)</t>
  </si>
  <si>
    <t>In order to determine the cost of capital of Landmark and Broadway or the combined firm we need o know their target</t>
  </si>
  <si>
    <t xml:space="preserve">leverage ratio, which can be reflected in their historical levels or estimated using industry leverage.  </t>
  </si>
  <si>
    <t>Leverage ratios (D/E) of each company:</t>
  </si>
  <si>
    <t>〖β_Levered=β〗_Unlevered×[1+(1-Tc)×(D/E)]</t>
  </si>
  <si>
    <t>Using CAPM we get the cost of levered equity:</t>
  </si>
  <si>
    <t>WACC:</t>
  </si>
  <si>
    <t>β_Levered =</t>
  </si>
  <si>
    <t>Cost of levered equity:</t>
  </si>
  <si>
    <t>β_Unlevered de cada compañía:</t>
  </si>
  <si>
    <t>β_Unlevered=β_Levered×1/(1+(1-Tc)×(D/E))</t>
  </si>
  <si>
    <t>β_Unlevered industry</t>
  </si>
  <si>
    <t xml:space="preserve">R_unLevered=R_f+β_unLevered×(R_M - R_f) = </t>
  </si>
  <si>
    <t>Est: Industry Leverage (D/E)</t>
  </si>
  <si>
    <t>WACC</t>
  </si>
  <si>
    <t>Revenue growth</t>
  </si>
  <si>
    <t>Operating margin</t>
  </si>
  <si>
    <t>Net WC</t>
  </si>
  <si>
    <t>Capex</t>
  </si>
  <si>
    <t>Revenue</t>
  </si>
  <si>
    <t>Operating profits</t>
  </si>
  <si>
    <t>Taxes</t>
  </si>
  <si>
    <t>NOPAT</t>
  </si>
  <si>
    <t>Chg in net WC</t>
  </si>
  <si>
    <t>FCF</t>
  </si>
  <si>
    <t>Terminal value</t>
  </si>
  <si>
    <t>PV (Landmark)</t>
  </si>
  <si>
    <t>Valuation of Synergy to Broadway</t>
  </si>
  <si>
    <t>Gross margin</t>
  </si>
  <si>
    <t>Gross profits</t>
  </si>
  <si>
    <t>FCF (with acquisition)</t>
  </si>
  <si>
    <t>Terminal value (with acquisition)</t>
  </si>
  <si>
    <t>PV (Broadway with acquisition)</t>
  </si>
  <si>
    <t>FCF (without acquisition)</t>
  </si>
  <si>
    <t>Terminal value (without acquisition)</t>
  </si>
  <si>
    <t>PV (Broadway without acquisition)</t>
  </si>
  <si>
    <t>PV (improvements to Broadway)</t>
  </si>
  <si>
    <t>Total PV of Landmark to Broadway</t>
  </si>
  <si>
    <t>Chg in net WC (Current assets-current liabilities)</t>
  </si>
  <si>
    <t xml:space="preserve"> Valuation of Acquisition (expected scenario)</t>
  </si>
  <si>
    <t>Standalone Valuation of Landmark</t>
  </si>
  <si>
    <t>Valuation of Landmark</t>
  </si>
  <si>
    <t>Ratios</t>
  </si>
  <si>
    <t xml:space="preserve"> Valuation of Acquisition (pessimistic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</si>
</sst>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#,##0.0000"/>
    <numFmt numFmtId="165" formatCode="0.0%_);\(0.0%\);&quot;–&quot;_)"/>
    <numFmt numFmtId="166" formatCode="_(* #,##0.0_);_(* \(#,##0.0\)_)\ ;_(* 0_)"/>
    <numFmt numFmtId="167" formatCode="#,##0.0;\-#,##0.0"/>
    <numFmt numFmtId="168" formatCode="&quot;$&quot;#,##0.00"/>
    <numFmt numFmtId="169" formatCode="#,##0.0"/>
    <numFmt numFmtId="170" formatCode="_-* #,##0.0_-;\-* #,##0.0_-;_-* &quot;-&quot;??_-;_-@_-"/>
    <numFmt numFmtId="171" formatCode="0.0"/>
    <numFmt numFmtId="172" formatCode="&quot;$&quot;#,##0.0"/>
    <numFmt numFmtId="173" formatCode="#,##0.000;\-#,##0.000"/>
    <numFmt numFmtId="174" formatCode="#,##0.000"/>
    <numFmt numFmtId="175" formatCode="0.0\x_);\(0.0\x\);&quot;–&quot;_)"/>
    <numFmt numFmtId="176" formatCode="0.0%"/>
    <numFmt numFmtId="177" formatCode="0.000"/>
    <numFmt numFmtId="178" formatCode="0.00_);\(0.00\)"/>
    <numFmt numFmtId="179" formatCode="0.0_);\(0.0\)"/>
    <numFmt numFmtId="180" formatCode="_(&quot;$&quot;* #,##0.00_);_(&quot;$&quot;* \(#,##0.00\);_(&quot;$&quot;* &quot;-&quot;??_);_(@_)"/>
    <numFmt numFmtId="181" formatCode="0.00000"/>
  </numFmts>
  <fonts count="3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color theme="1"/>
      <name val="Times New Roman"/>
      <family val="1"/>
    </font>
    <font>
      <b/>
      <i/>
      <sz val="9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8"/>
      <color indexed="8"/>
      <name val="Arial"/>
      <family val="2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u/>
      <sz val="9"/>
      <color indexed="8"/>
      <name val="Times New Roman"/>
      <family val="1"/>
    </font>
    <font>
      <sz val="9"/>
      <color theme="0" tint="-0.34998626667073579"/>
      <name val="Times New Roman"/>
      <family val="1"/>
    </font>
    <font>
      <b/>
      <i/>
      <sz val="9"/>
      <color theme="1"/>
      <name val="Times New Roman"/>
      <family val="1"/>
    </font>
    <font>
      <vertAlign val="superscript"/>
      <sz val="9"/>
      <name val="Times New Roman"/>
      <family val="1"/>
    </font>
    <font>
      <i/>
      <sz val="9"/>
      <name val="Times New Roman"/>
      <family val="1"/>
    </font>
    <font>
      <i/>
      <u/>
      <sz val="9"/>
      <name val="Times New Roman"/>
      <family val="1"/>
    </font>
    <font>
      <b/>
      <u/>
      <sz val="9"/>
      <color theme="1"/>
      <name val="Times New Roman"/>
      <family val="1"/>
    </font>
    <font>
      <i/>
      <u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/>
    <xf numFmtId="0" fontId="4" fillId="0" borderId="0" applyAlignment="0"/>
    <xf numFmtId="0" fontId="5" fillId="0" borderId="0" applyAlignment="0"/>
    <xf numFmtId="0" fontId="6" fillId="2" borderId="0" applyAlignment="0"/>
    <xf numFmtId="0" fontId="7" fillId="3" borderId="0" applyAlignment="0"/>
    <xf numFmtId="0" fontId="8" fillId="4" borderId="0" applyAlignment="0"/>
    <xf numFmtId="0" fontId="9" fillId="5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3" fillId="0" borderId="0" applyAlignment="0">
      <alignment wrapText="1"/>
    </xf>
    <xf numFmtId="0" fontId="15" fillId="0" borderId="0" applyAlignment="0"/>
    <xf numFmtId="0" fontId="16" fillId="0" borderId="0" applyAlignment="0"/>
    <xf numFmtId="0" fontId="17" fillId="0" borderId="0" applyAlignment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3" fontId="18" fillId="0" borderId="0" xfId="0" applyNumberFormat="1" applyFont="1"/>
    <xf numFmtId="164" fontId="2" fillId="0" borderId="0" xfId="0" applyNumberFormat="1" applyFont="1"/>
    <xf numFmtId="0" fontId="18" fillId="0" borderId="0" xfId="0" applyFont="1"/>
    <xf numFmtId="0" fontId="19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horizontal="center"/>
    </xf>
    <xf numFmtId="4" fontId="18" fillId="0" borderId="0" xfId="0" applyNumberFormat="1" applyFont="1"/>
    <xf numFmtId="0" fontId="18" fillId="0" borderId="3" xfId="0" applyFont="1" applyBorder="1"/>
    <xf numFmtId="0" fontId="19" fillId="0" borderId="0" xfId="0" applyFont="1" applyAlignment="1">
      <alignment horizontal="center"/>
    </xf>
    <xf numFmtId="0" fontId="21" fillId="0" borderId="0" xfId="0" applyFont="1"/>
    <xf numFmtId="0" fontId="2" fillId="0" borderId="3" xfId="0" applyFont="1" applyBorder="1"/>
    <xf numFmtId="166" fontId="10" fillId="0" borderId="0" xfId="0" applyNumberFormat="1" applyFont="1" applyAlignment="1">
      <alignment horizontal="right" vertical="top" wrapText="1"/>
    </xf>
    <xf numFmtId="167" fontId="18" fillId="0" borderId="0" xfId="0" applyNumberFormat="1" applyFont="1"/>
    <xf numFmtId="168" fontId="18" fillId="0" borderId="0" xfId="0" applyNumberFormat="1" applyFont="1"/>
    <xf numFmtId="167" fontId="18" fillId="0" borderId="1" xfId="0" applyNumberFormat="1" applyFont="1" applyBorder="1"/>
    <xf numFmtId="169" fontId="18" fillId="0" borderId="0" xfId="0" applyNumberFormat="1" applyFont="1"/>
    <xf numFmtId="169" fontId="18" fillId="0" borderId="1" xfId="0" applyNumberFormat="1" applyFont="1" applyBorder="1"/>
    <xf numFmtId="0" fontId="18" fillId="0" borderId="2" xfId="0" applyFont="1" applyBorder="1"/>
    <xf numFmtId="169" fontId="18" fillId="0" borderId="2" xfId="0" applyNumberFormat="1" applyFont="1" applyBorder="1"/>
    <xf numFmtId="169" fontId="18" fillId="0" borderId="3" xfId="0" applyNumberFormat="1" applyFont="1" applyBorder="1"/>
    <xf numFmtId="166" fontId="25" fillId="0" borderId="0" xfId="0" applyNumberFormat="1" applyFont="1" applyAlignment="1">
      <alignment horizontal="right" vertical="top" wrapText="1"/>
    </xf>
    <xf numFmtId="43" fontId="2" fillId="0" borderId="0" xfId="0" applyNumberFormat="1" applyFont="1"/>
    <xf numFmtId="166" fontId="26" fillId="0" borderId="0" xfId="0" applyNumberFormat="1" applyFont="1" applyAlignment="1">
      <alignment horizontal="right" vertical="top" wrapText="1"/>
    </xf>
    <xf numFmtId="166" fontId="18" fillId="0" borderId="0" xfId="0" applyNumberFormat="1" applyFont="1"/>
    <xf numFmtId="166" fontId="27" fillId="0" borderId="0" xfId="0" applyNumberFormat="1" applyFont="1" applyAlignment="1">
      <alignment horizontal="right" vertical="top" wrapText="1"/>
    </xf>
    <xf numFmtId="166" fontId="13" fillId="0" borderId="0" xfId="0" applyNumberFormat="1" applyFont="1" applyAlignment="1">
      <alignment horizontal="right" vertical="top" wrapText="1"/>
    </xf>
    <xf numFmtId="166" fontId="23" fillId="0" borderId="0" xfId="0" applyNumberFormat="1" applyFont="1"/>
    <xf numFmtId="166" fontId="24" fillId="0" borderId="0" xfId="0" applyNumberFormat="1" applyFont="1" applyAlignment="1">
      <alignment horizontal="right" vertical="top" wrapText="1"/>
    </xf>
    <xf numFmtId="173" fontId="18" fillId="0" borderId="0" xfId="0" applyNumberFormat="1" applyFont="1"/>
    <xf numFmtId="0" fontId="29" fillId="0" borderId="3" xfId="0" applyFont="1" applyBorder="1" applyAlignment="1">
      <alignment horizontal="center"/>
    </xf>
    <xf numFmtId="171" fontId="2" fillId="0" borderId="0" xfId="0" applyNumberFormat="1" applyFont="1"/>
    <xf numFmtId="167" fontId="2" fillId="0" borderId="3" xfId="0" applyNumberFormat="1" applyFont="1" applyBorder="1"/>
    <xf numFmtId="174" fontId="18" fillId="0" borderId="0" xfId="0" applyNumberFormat="1" applyFont="1"/>
    <xf numFmtId="10" fontId="2" fillId="0" borderId="0" xfId="0" applyNumberFormat="1" applyFont="1"/>
    <xf numFmtId="165" fontId="20" fillId="0" borderId="0" xfId="0" applyNumberFormat="1" applyFont="1"/>
    <xf numFmtId="165" fontId="31" fillId="0" borderId="0" xfId="0" applyNumberFormat="1" applyFont="1"/>
    <xf numFmtId="0" fontId="29" fillId="0" borderId="2" xfId="0" applyFont="1" applyBorder="1"/>
    <xf numFmtId="0" fontId="2" fillId="0" borderId="2" xfId="0" applyFont="1" applyBorder="1"/>
    <xf numFmtId="0" fontId="29" fillId="0" borderId="0" xfId="0" applyFont="1"/>
    <xf numFmtId="0" fontId="29" fillId="0" borderId="1" xfId="0" applyFont="1" applyBorder="1"/>
    <xf numFmtId="1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72" fontId="2" fillId="0" borderId="0" xfId="0" applyNumberFormat="1" applyFont="1"/>
    <xf numFmtId="43" fontId="28" fillId="0" borderId="0" xfId="17" applyFont="1" applyFill="1"/>
    <xf numFmtId="168" fontId="2" fillId="0" borderId="0" xfId="17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8" fillId="0" borderId="0" xfId="0" applyFont="1"/>
    <xf numFmtId="168" fontId="2" fillId="0" borderId="0" xfId="0" applyNumberFormat="1" applyFont="1" applyAlignment="1">
      <alignment horizontal="center"/>
    </xf>
    <xf numFmtId="168" fontId="28" fillId="0" borderId="0" xfId="0" applyNumberFormat="1" applyFont="1"/>
    <xf numFmtId="169" fontId="2" fillId="0" borderId="0" xfId="17" applyNumberFormat="1" applyFont="1" applyFill="1" applyAlignment="1">
      <alignment horizontal="center"/>
    </xf>
    <xf numFmtId="170" fontId="28" fillId="0" borderId="0" xfId="17" applyNumberFormat="1" applyFont="1" applyFill="1" applyBorder="1"/>
    <xf numFmtId="2" fontId="2" fillId="0" borderId="1" xfId="0" applyNumberFormat="1" applyFont="1" applyBorder="1" applyAlignment="1">
      <alignment horizontal="center"/>
    </xf>
    <xf numFmtId="2" fontId="28" fillId="0" borderId="0" xfId="0" applyNumberFormat="1" applyFont="1"/>
    <xf numFmtId="170" fontId="2" fillId="0" borderId="0" xfId="17" applyNumberFormat="1" applyFont="1" applyFill="1" applyAlignment="1">
      <alignment horizontal="center"/>
    </xf>
    <xf numFmtId="175" fontId="2" fillId="0" borderId="0" xfId="17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70" fontId="2" fillId="0" borderId="0" xfId="17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" fillId="0" borderId="4" xfId="0" applyNumberFormat="1" applyFont="1" applyBorder="1"/>
    <xf numFmtId="10" fontId="2" fillId="0" borderId="0" xfId="0" applyNumberFormat="1" applyFont="1" applyAlignment="1">
      <alignment horizontal="center"/>
    </xf>
    <xf numFmtId="2" fontId="2" fillId="0" borderId="4" xfId="0" applyNumberFormat="1" applyFont="1" applyBorder="1"/>
    <xf numFmtId="171" fontId="2" fillId="0" borderId="0" xfId="0" applyNumberFormat="1" applyFont="1" applyAlignment="1">
      <alignment horizontal="center"/>
    </xf>
    <xf numFmtId="9" fontId="2" fillId="0" borderId="0" xfId="18" applyFont="1" applyFill="1"/>
    <xf numFmtId="0" fontId="1" fillId="0" borderId="0" xfId="0" applyFont="1"/>
    <xf numFmtId="10" fontId="1" fillId="0" borderId="0" xfId="18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2" fontId="2" fillId="0" borderId="0" xfId="0" applyNumberFormat="1" applyFont="1"/>
    <xf numFmtId="10" fontId="18" fillId="0" borderId="0" xfId="0" applyNumberFormat="1" applyFont="1"/>
    <xf numFmtId="0" fontId="18" fillId="0" borderId="0" xfId="0" applyFont="1" applyAlignment="1">
      <alignment vertical="top"/>
    </xf>
    <xf numFmtId="176" fontId="18" fillId="0" borderId="0" xfId="0" applyNumberFormat="1" applyFont="1"/>
    <xf numFmtId="176" fontId="18" fillId="0" borderId="1" xfId="0" applyNumberFormat="1" applyFont="1" applyBorder="1"/>
    <xf numFmtId="171" fontId="18" fillId="0" borderId="0" xfId="0" applyNumberFormat="1" applyFont="1"/>
    <xf numFmtId="171" fontId="18" fillId="0" borderId="1" xfId="0" applyNumberFormat="1" applyFont="1" applyBorder="1"/>
    <xf numFmtId="172" fontId="19" fillId="0" borderId="0" xfId="0" applyNumberFormat="1" applyFont="1"/>
    <xf numFmtId="177" fontId="18" fillId="0" borderId="0" xfId="0" applyNumberFormat="1" applyFont="1"/>
    <xf numFmtId="0" fontId="19" fillId="0" borderId="0" xfId="0" applyFont="1"/>
    <xf numFmtId="0" fontId="32" fillId="0" borderId="0" xfId="0" applyFont="1"/>
    <xf numFmtId="178" fontId="18" fillId="0" borderId="0" xfId="0" applyNumberFormat="1" applyFont="1"/>
    <xf numFmtId="172" fontId="18" fillId="0" borderId="0" xfId="0" applyNumberFormat="1" applyFont="1"/>
    <xf numFmtId="172" fontId="19" fillId="0" borderId="1" xfId="0" applyNumberFormat="1" applyFont="1" applyBorder="1"/>
    <xf numFmtId="0" fontId="18" fillId="6" borderId="0" xfId="0" applyFont="1" applyFill="1"/>
    <xf numFmtId="167" fontId="18" fillId="6" borderId="0" xfId="0" applyNumberFormat="1" applyFont="1" applyFill="1"/>
    <xf numFmtId="0" fontId="2" fillId="0" borderId="0" xfId="0" applyFont="1" applyAlignment="1">
      <alignment vertical="center"/>
    </xf>
    <xf numFmtId="176" fontId="2" fillId="0" borderId="0" xfId="0" applyNumberFormat="1" applyFont="1"/>
    <xf numFmtId="179" fontId="2" fillId="0" borderId="0" xfId="0" applyNumberFormat="1" applyFont="1"/>
    <xf numFmtId="0" fontId="18" fillId="0" borderId="0" xfId="0" applyFont="1" applyAlignment="1">
      <alignment vertical="center"/>
    </xf>
    <xf numFmtId="178" fontId="2" fillId="0" borderId="0" xfId="0" applyNumberFormat="1" applyFont="1"/>
    <xf numFmtId="172" fontId="1" fillId="0" borderId="0" xfId="0" applyNumberFormat="1" applyFont="1"/>
    <xf numFmtId="180" fontId="2" fillId="0" borderId="0" xfId="0" applyNumberFormat="1" applyFont="1"/>
    <xf numFmtId="0" fontId="1" fillId="0" borderId="1" xfId="0" applyFont="1" applyBorder="1" applyAlignment="1">
      <alignment vertical="center"/>
    </xf>
    <xf numFmtId="172" fontId="1" fillId="0" borderId="1" xfId="0" applyNumberFormat="1" applyFont="1" applyBorder="1"/>
    <xf numFmtId="178" fontId="2" fillId="0" borderId="1" xfId="0" applyNumberFormat="1" applyFont="1" applyBorder="1"/>
    <xf numFmtId="0" fontId="33" fillId="0" borderId="0" xfId="0" applyFont="1" applyAlignment="1">
      <alignment vertical="top"/>
    </xf>
    <xf numFmtId="0" fontId="2" fillId="0" borderId="0" xfId="0" applyFont="1" applyAlignment="1">
      <alignment vertical="top"/>
    </xf>
    <xf numFmtId="9" fontId="2" fillId="0" borderId="0" xfId="0" applyNumberFormat="1" applyFont="1"/>
    <xf numFmtId="178" fontId="1" fillId="0" borderId="0" xfId="0" applyNumberFormat="1" applyFont="1"/>
    <xf numFmtId="0" fontId="28" fillId="0" borderId="1" xfId="0" applyFont="1" applyBorder="1"/>
    <xf numFmtId="0" fontId="34" fillId="0" borderId="0" xfId="0" applyFont="1"/>
    <xf numFmtId="176" fontId="20" fillId="0" borderId="0" xfId="0" applyNumberFormat="1" applyFont="1"/>
    <xf numFmtId="176" fontId="2" fillId="0" borderId="1" xfId="0" applyNumberFormat="1" applyFont="1" applyBorder="1"/>
    <xf numFmtId="171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6" fontId="25" fillId="6" borderId="0" xfId="0" applyNumberFormat="1" applyFont="1" applyFill="1" applyAlignment="1">
      <alignment horizontal="right" vertical="top" wrapText="1"/>
    </xf>
    <xf numFmtId="171" fontId="2" fillId="6" borderId="0" xfId="0" applyNumberFormat="1" applyFont="1" applyFill="1"/>
    <xf numFmtId="169" fontId="2" fillId="0" borderId="0" xfId="0" applyNumberFormat="1" applyFont="1"/>
    <xf numFmtId="181" fontId="0" fillId="0" borderId="0" xfId="0" applyNumberFormat="1"/>
  </cellXfs>
  <cellStyles count="22">
    <cellStyle name="ChartingText" xfId="15" xr:uid="{00000000-0005-0000-0000-000000000000}"/>
    <cellStyle name="CHPAboveAverage" xfId="16" xr:uid="{00000000-0005-0000-0000-000001000000}"/>
    <cellStyle name="CHPBelowAverage" xfId="16" xr:uid="{00000000-0005-0000-0000-000002000000}"/>
    <cellStyle name="CHPBottom" xfId="16" xr:uid="{00000000-0005-0000-0000-000003000000}"/>
    <cellStyle name="CHPTop" xfId="16" xr:uid="{00000000-0005-0000-0000-000004000000}"/>
    <cellStyle name="ColumnHeaderNormal" xfId="7" xr:uid="{00000000-0005-0000-0000-000005000000}"/>
    <cellStyle name="Invisible" xfId="14" xr:uid="{00000000-0005-0000-0000-000007000000}"/>
    <cellStyle name="Millares" xfId="17" builtinId="3"/>
    <cellStyle name="NewColumnHeaderNormal" xfId="5" xr:uid="{00000000-0005-0000-0000-000008000000}"/>
    <cellStyle name="NewSectionHeaderNormal" xfId="4" xr:uid="{00000000-0005-0000-0000-000009000000}"/>
    <cellStyle name="NewTitleNormal" xfId="3" xr:uid="{00000000-0005-0000-0000-00000A000000}"/>
    <cellStyle name="Normal" xfId="0" builtinId="0"/>
    <cellStyle name="Normal 2" xfId="1" xr:uid="{00000000-0005-0000-0000-00000C000000}"/>
    <cellStyle name="Porcentaje" xfId="18" builtinId="5"/>
    <cellStyle name="SectionHeaderNormal" xfId="6" xr:uid="{00000000-0005-0000-0000-00000D000000}"/>
    <cellStyle name="SubScript" xfId="10" xr:uid="{00000000-0005-0000-0000-00000E000000}"/>
    <cellStyle name="SuperScript" xfId="9" xr:uid="{00000000-0005-0000-0000-00000F000000}"/>
    <cellStyle name="TextBold" xfId="11" xr:uid="{00000000-0005-0000-0000-000010000000}"/>
    <cellStyle name="TextItalic" xfId="12" xr:uid="{00000000-0005-0000-0000-000011000000}"/>
    <cellStyle name="TextNormal" xfId="8" xr:uid="{00000000-0005-0000-0000-000012000000}"/>
    <cellStyle name="TitleNormal" xfId="2" xr:uid="{00000000-0005-0000-0000-000013000000}"/>
    <cellStyle name="Total 2" xfId="13" xr:uid="{00000000-0005-0000-0000-000014000000}"/>
  </cellStyles>
  <dxfs count="0"/>
  <tableStyles count="0" defaultTableStyle="TableStyleMedium9" defaultPivotStyle="PivotStyleLight16"/>
  <colors>
    <mruColors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1039091</xdr:colOff>
      <xdr:row>12</xdr:row>
      <xdr:rowOff>43295</xdr:rowOff>
    </xdr:from>
    <xdr:ext cx="3171826" cy="4523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4EECD4-273B-494E-8E8B-87B0472A3BEC}"/>
                </a:ext>
              </a:extLst>
            </xdr:cNvPr>
            <xdr:cNvSpPr txBox="1"/>
          </xdr:nvSpPr>
          <xdr:spPr>
            <a:xfrm>
              <a:off x="3281796" y="1913659"/>
              <a:ext cx="3171826" cy="452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𝑈𝑛𝑙𝑒𝑣𝑒𝑟𝑒𝑑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𝐿𝑒𝑣𝑒𝑟𝑒𝑑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+(1−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𝑇𝑐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)×(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𝐷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4EECD4-273B-494E-8E8B-87B0472A3BEC}"/>
                </a:ext>
              </a:extLst>
            </xdr:cNvPr>
            <xdr:cNvSpPr txBox="1"/>
          </xdr:nvSpPr>
          <xdr:spPr>
            <a:xfrm>
              <a:off x="3281796" y="1913659"/>
              <a:ext cx="3171826" cy="4523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1100" b="0" i="0">
                  <a:latin typeface="Cambria Math" panose="02040503050406030204" pitchFamily="18" charset="0"/>
                </a:rPr>
                <a:t>𝑈𝑛𝑙𝑒𝑣𝑒𝑟𝑒𝑑=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𝛽_𝐿𝑒𝑣𝑒𝑟𝑒𝑑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+(1−𝑇𝑐)×(𝐷/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𝐸)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1004454</xdr:colOff>
      <xdr:row>35</xdr:row>
      <xdr:rowOff>34638</xdr:rowOff>
    </xdr:from>
    <xdr:ext cx="3270250" cy="320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1A8AC639-6663-4FF1-AC5E-DCAB910AFE82}"/>
                </a:ext>
              </a:extLst>
            </xdr:cNvPr>
            <xdr:cNvSpPr txBox="1"/>
          </xdr:nvSpPr>
          <xdr:spPr>
            <a:xfrm>
              <a:off x="1004454" y="5489865"/>
              <a:ext cx="3270250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𝐿𝑒𝑣𝑒𝑟𝑒𝑑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𝑈𝑛𝑙𝑒𝑣𝑒𝑟𝑒𝑑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[1+</m:t>
                    </m:r>
                    <m:d>
                      <m:d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𝑇𝑐</m:t>
                        </m:r>
                      </m:e>
                    </m:d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×</m:t>
                    </m:r>
                    <m:d>
                      <m:d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anose="02040503050406030204" pitchFamily="18" charset="0"/>
                                <a:cs typeface="+mn-cs"/>
                              </a:rPr>
                              <m:t>𝐷</m:t>
                            </m:r>
                          </m:num>
                          <m:den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</m:den>
                        </m:f>
                      </m:e>
                    </m:d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1A8AC639-6663-4FF1-AC5E-DCAB910AFE82}"/>
                </a:ext>
              </a:extLst>
            </xdr:cNvPr>
            <xdr:cNvSpPr txBox="1"/>
          </xdr:nvSpPr>
          <xdr:spPr>
            <a:xfrm>
              <a:off x="1004454" y="5489865"/>
              <a:ext cx="3270250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〖𝛽_𝐿𝑒𝑣𝑒𝑟𝑒𝑑=𝛽〗_𝑈𝑛𝑙𝑒𝑣𝑒𝑟𝑒𝑑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[1+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1−𝑇𝑐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×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𝐷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𝐸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resas%20Agr&#237;colas/Documents/UVG/915530-XLS-ENGTN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IQHiddenCacheSheet"/>
      <sheetName val="Exhibit 1"/>
      <sheetName val="Exhibit 2"/>
      <sheetName val="Exhibit 3"/>
      <sheetName val="Exhibit 4"/>
      <sheetName val="Exhibit 5"/>
      <sheetName val="Exhibit TN-1"/>
      <sheetName val="Exhibit TN-2"/>
      <sheetName val="Exhibit TN-3"/>
      <sheetName val="Exhibit TN-4"/>
      <sheetName val="Exhibit TN-5"/>
      <sheetName val="Exhibit TN-6"/>
      <sheetName val="Exhibit TN-7"/>
      <sheetName val="Exhibit TN-8"/>
    </sheetNames>
    <sheetDataSet>
      <sheetData sheetId="0"/>
      <sheetData sheetId="1"/>
      <sheetData sheetId="2"/>
      <sheetData sheetId="3">
        <row r="20">
          <cell r="F20">
            <v>3.6954478910668787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workbookViewId="0"/>
  </sheetViews>
  <sheetFormatPr baseColWidth="10" defaultColWidth="8.88671875" defaultRowHeight="14.4" x14ac:dyDescent="0.3"/>
  <sheetData>
    <row r="1" spans="1:7" x14ac:dyDescent="0.3">
      <c r="A1">
        <v>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zoomScale="130" zoomScaleNormal="130" workbookViewId="0">
      <selection activeCell="G20" sqref="G20"/>
    </sheetView>
  </sheetViews>
  <sheetFormatPr baseColWidth="10" defaultColWidth="9.109375" defaultRowHeight="12" x14ac:dyDescent="0.25"/>
  <cols>
    <col min="1" max="1" width="26.6640625" style="1" customWidth="1"/>
    <col min="2" max="2" width="8" style="1" customWidth="1"/>
    <col min="3" max="3" width="8.109375" style="1" customWidth="1"/>
    <col min="4" max="6" width="7.88671875" style="1" customWidth="1"/>
    <col min="7" max="16384" width="9.109375" style="1"/>
  </cols>
  <sheetData>
    <row r="1" spans="1:19" x14ac:dyDescent="0.25">
      <c r="A1" s="3" t="s">
        <v>71</v>
      </c>
      <c r="B1" s="2"/>
      <c r="C1" s="2"/>
      <c r="D1" s="2"/>
      <c r="E1" s="2"/>
      <c r="F1" s="2"/>
    </row>
    <row r="2" spans="1:19" x14ac:dyDescent="0.25">
      <c r="A2" s="7"/>
      <c r="B2" s="9">
        <v>2010</v>
      </c>
      <c r="C2" s="9">
        <v>2011</v>
      </c>
      <c r="D2" s="9">
        <v>2012</v>
      </c>
      <c r="E2" s="9">
        <v>2013</v>
      </c>
      <c r="F2" s="9" t="s">
        <v>60</v>
      </c>
    </row>
    <row r="3" spans="1:19" x14ac:dyDescent="0.25">
      <c r="A3" s="13" t="s">
        <v>24</v>
      </c>
      <c r="B3" s="12"/>
      <c r="C3" s="12"/>
      <c r="D3" s="12"/>
      <c r="E3" s="12"/>
      <c r="F3" s="12"/>
    </row>
    <row r="4" spans="1:19" x14ac:dyDescent="0.25">
      <c r="A4" s="6" t="s">
        <v>3</v>
      </c>
      <c r="B4" s="24">
        <v>289.89999999999998</v>
      </c>
      <c r="C4" s="24">
        <v>304.10000000000002</v>
      </c>
      <c r="D4" s="24">
        <v>316.39999999999998</v>
      </c>
      <c r="E4" s="24">
        <v>329</v>
      </c>
      <c r="F4" s="109">
        <v>345.5</v>
      </c>
      <c r="I4" s="25"/>
      <c r="J4" s="25"/>
      <c r="K4" s="25"/>
      <c r="L4" s="25"/>
      <c r="M4" s="25"/>
      <c r="O4" s="24"/>
      <c r="P4" s="24"/>
      <c r="Q4" s="24"/>
      <c r="R4" s="24"/>
      <c r="S4" s="24"/>
    </row>
    <row r="5" spans="1:19" x14ac:dyDescent="0.25">
      <c r="A5" s="8" t="s">
        <v>12</v>
      </c>
      <c r="B5" s="18">
        <v>259.39999999999998</v>
      </c>
      <c r="C5" s="18">
        <v>273.10000000000002</v>
      </c>
      <c r="D5" s="18">
        <v>284.10000000000002</v>
      </c>
      <c r="E5" s="18">
        <v>295.3</v>
      </c>
      <c r="F5" s="18">
        <v>310.39999999999998</v>
      </c>
      <c r="I5" s="25"/>
      <c r="J5" s="25"/>
      <c r="K5" s="25"/>
      <c r="L5" s="25"/>
      <c r="M5" s="25"/>
      <c r="O5" s="24"/>
      <c r="P5" s="24"/>
      <c r="Q5" s="24"/>
      <c r="R5" s="24"/>
      <c r="S5" s="24"/>
    </row>
    <row r="6" spans="1:19" x14ac:dyDescent="0.25">
      <c r="A6" s="6" t="s">
        <v>16</v>
      </c>
      <c r="B6" s="16">
        <v>30.5</v>
      </c>
      <c r="C6" s="16">
        <v>31</v>
      </c>
      <c r="D6" s="16">
        <v>32.299999999999955</v>
      </c>
      <c r="E6" s="16">
        <v>33.699999999999989</v>
      </c>
      <c r="F6" s="16">
        <v>35.100000000000023</v>
      </c>
      <c r="I6" s="25"/>
      <c r="J6" s="25"/>
      <c r="K6" s="25"/>
      <c r="L6" s="25"/>
      <c r="M6" s="25"/>
    </row>
    <row r="7" spans="1:19" x14ac:dyDescent="0.25">
      <c r="A7" s="6" t="s">
        <v>21</v>
      </c>
      <c r="B7" s="16">
        <v>20.9</v>
      </c>
      <c r="C7" s="16">
        <v>21.6</v>
      </c>
      <c r="D7" s="16">
        <v>26.7</v>
      </c>
      <c r="E7" s="16">
        <v>28.6</v>
      </c>
      <c r="F7" s="16">
        <v>30.3</v>
      </c>
      <c r="I7" s="25"/>
      <c r="J7" s="25"/>
      <c r="K7" s="25"/>
      <c r="L7" s="25"/>
      <c r="M7" s="25"/>
      <c r="O7" s="24"/>
      <c r="P7" s="24"/>
      <c r="Q7" s="24"/>
      <c r="R7" s="24"/>
      <c r="S7" s="24"/>
    </row>
    <row r="8" spans="1:19" ht="12.75" customHeight="1" x14ac:dyDescent="0.25">
      <c r="A8" s="8" t="s">
        <v>14</v>
      </c>
      <c r="B8" s="18">
        <v>1.6</v>
      </c>
      <c r="C8" s="18">
        <v>1.6</v>
      </c>
      <c r="D8" s="18">
        <v>1.7</v>
      </c>
      <c r="E8" s="18">
        <v>1.7</v>
      </c>
      <c r="F8" s="18">
        <v>1.8</v>
      </c>
      <c r="I8" s="25"/>
      <c r="J8" s="25"/>
      <c r="K8" s="25"/>
      <c r="L8" s="25"/>
      <c r="M8" s="25"/>
      <c r="O8" s="24"/>
      <c r="P8" s="24"/>
      <c r="Q8" s="24"/>
      <c r="R8" s="24"/>
      <c r="S8" s="24"/>
    </row>
    <row r="9" spans="1:19" x14ac:dyDescent="0.25">
      <c r="A9" s="6" t="s">
        <v>17</v>
      </c>
      <c r="B9" s="16">
        <v>8.0000000000000018</v>
      </c>
      <c r="C9" s="16">
        <v>7.7999999999999989</v>
      </c>
      <c r="D9" s="16">
        <v>3.8999999999999551</v>
      </c>
      <c r="E9" s="16">
        <v>3.399999999999987</v>
      </c>
      <c r="F9" s="16">
        <v>3.0000000000000222</v>
      </c>
      <c r="I9" s="25"/>
      <c r="J9" s="25"/>
      <c r="K9" s="25"/>
      <c r="L9" s="25"/>
      <c r="M9" s="25"/>
    </row>
    <row r="10" spans="1:19" x14ac:dyDescent="0.25">
      <c r="A10" s="6" t="s">
        <v>4</v>
      </c>
      <c r="B10" s="16">
        <v>0</v>
      </c>
      <c r="C10" s="16">
        <v>0</v>
      </c>
      <c r="D10" s="16">
        <v>0.3</v>
      </c>
      <c r="E10" s="16">
        <v>0.2</v>
      </c>
      <c r="F10" s="16">
        <v>0</v>
      </c>
      <c r="I10" s="25"/>
      <c r="J10" s="25"/>
      <c r="K10" s="25"/>
      <c r="L10" s="25"/>
      <c r="M10" s="25"/>
      <c r="O10" s="24"/>
      <c r="P10" s="24"/>
      <c r="Q10" s="24"/>
      <c r="R10" s="24"/>
      <c r="S10" s="24"/>
    </row>
    <row r="11" spans="1:19" x14ac:dyDescent="0.25">
      <c r="A11" s="8" t="s">
        <v>15</v>
      </c>
      <c r="B11" s="18">
        <v>2.8000000000000003</v>
      </c>
      <c r="C11" s="18">
        <v>2.7299999999999995</v>
      </c>
      <c r="D11" s="18">
        <v>1.2599999999999842</v>
      </c>
      <c r="E11" s="18">
        <v>1.1199999999999952</v>
      </c>
      <c r="F11" s="18">
        <v>1.0500000000000078</v>
      </c>
      <c r="I11" s="25"/>
      <c r="J11" s="25"/>
      <c r="K11" s="25"/>
      <c r="L11" s="25"/>
      <c r="M11" s="25"/>
      <c r="O11" s="24"/>
      <c r="P11" s="24"/>
      <c r="Q11" s="24"/>
      <c r="R11" s="24"/>
      <c r="S11" s="24"/>
    </row>
    <row r="12" spans="1:19" x14ac:dyDescent="0.25">
      <c r="A12" s="6" t="s">
        <v>7</v>
      </c>
      <c r="B12" s="16">
        <v>5.2000000000000011</v>
      </c>
      <c r="C12" s="16">
        <v>5.0699999999999994</v>
      </c>
      <c r="D12" s="16">
        <v>2.339999999999971</v>
      </c>
      <c r="E12" s="16">
        <v>2.0799999999999916</v>
      </c>
      <c r="F12" s="16">
        <v>1.9500000000000144</v>
      </c>
      <c r="I12" s="25"/>
      <c r="J12" s="25"/>
      <c r="K12" s="25"/>
      <c r="L12" s="25"/>
      <c r="M12" s="25"/>
    </row>
    <row r="13" spans="1:19" x14ac:dyDescent="0.25">
      <c r="A13" s="6" t="s">
        <v>30</v>
      </c>
      <c r="B13" s="17">
        <v>1.3000000000000003</v>
      </c>
      <c r="C13" s="17">
        <v>1.2674999999999998</v>
      </c>
      <c r="D13" s="17">
        <v>0.58499999999999275</v>
      </c>
      <c r="E13" s="17">
        <v>0.51999999999999791</v>
      </c>
      <c r="F13" s="17">
        <v>0.4875000000000036</v>
      </c>
      <c r="I13" s="25"/>
      <c r="J13" s="25"/>
      <c r="K13" s="25"/>
      <c r="L13" s="25"/>
      <c r="M13" s="25"/>
    </row>
    <row r="14" spans="1:19" x14ac:dyDescent="0.25">
      <c r="A14" s="6" t="s">
        <v>57</v>
      </c>
      <c r="B14" s="17">
        <v>0.2</v>
      </c>
      <c r="C14" s="17">
        <v>0.2</v>
      </c>
      <c r="D14" s="17">
        <v>0.2</v>
      </c>
      <c r="E14" s="17">
        <v>0.2</v>
      </c>
      <c r="F14" s="17">
        <v>0.2</v>
      </c>
      <c r="I14" s="25"/>
      <c r="J14" s="25"/>
      <c r="K14" s="25"/>
      <c r="L14" s="25"/>
      <c r="M14" s="25"/>
    </row>
    <row r="15" spans="1:19" x14ac:dyDescent="0.25">
      <c r="A15" s="6"/>
      <c r="B15" s="39"/>
      <c r="C15" s="39"/>
      <c r="D15" s="39"/>
      <c r="E15" s="39"/>
      <c r="F15" s="39"/>
      <c r="I15" s="25"/>
      <c r="J15" s="25"/>
      <c r="K15" s="25"/>
      <c r="L15" s="25"/>
      <c r="M15" s="25"/>
    </row>
    <row r="16" spans="1:19" x14ac:dyDescent="0.25">
      <c r="A16" s="13" t="s">
        <v>25</v>
      </c>
      <c r="B16" s="39"/>
      <c r="C16" s="39"/>
      <c r="D16" s="39"/>
      <c r="E16" s="39"/>
      <c r="F16" s="39"/>
      <c r="I16" s="25"/>
      <c r="J16" s="25"/>
      <c r="K16" s="25"/>
      <c r="L16" s="25"/>
      <c r="M16" s="25"/>
    </row>
    <row r="17" spans="1:19" x14ac:dyDescent="0.25">
      <c r="A17" s="6" t="s">
        <v>22</v>
      </c>
      <c r="B17" s="16">
        <v>3.6</v>
      </c>
      <c r="C17" s="16">
        <v>4.2207999999999961</v>
      </c>
      <c r="D17" s="16">
        <v>3.2639999999999709</v>
      </c>
      <c r="E17" s="16">
        <v>1.5249999999999628</v>
      </c>
      <c r="F17" s="16">
        <v>0.37449999999997119</v>
      </c>
      <c r="I17" s="25"/>
      <c r="J17" s="25"/>
      <c r="K17" s="25"/>
      <c r="L17" s="25"/>
      <c r="M17" s="25"/>
      <c r="O17" s="24"/>
      <c r="P17" s="24"/>
      <c r="Q17" s="24"/>
      <c r="R17" s="24"/>
      <c r="S17" s="24"/>
    </row>
    <row r="18" spans="1:19" x14ac:dyDescent="0.25">
      <c r="A18" s="6" t="s">
        <v>9</v>
      </c>
      <c r="B18" s="16">
        <v>20.7</v>
      </c>
      <c r="C18" s="16">
        <v>22</v>
      </c>
      <c r="D18" s="16">
        <v>29.3</v>
      </c>
      <c r="E18" s="16">
        <v>30.4</v>
      </c>
      <c r="F18" s="16">
        <v>31</v>
      </c>
      <c r="I18" s="25"/>
      <c r="J18" s="25"/>
      <c r="K18" s="25"/>
      <c r="L18" s="25"/>
      <c r="M18" s="25"/>
      <c r="O18" s="26"/>
      <c r="P18" s="26"/>
      <c r="Q18" s="26"/>
      <c r="R18" s="26"/>
      <c r="S18" s="26"/>
    </row>
    <row r="19" spans="1:19" x14ac:dyDescent="0.25">
      <c r="A19" s="8" t="s">
        <v>23</v>
      </c>
      <c r="B19" s="18">
        <v>6.3</v>
      </c>
      <c r="C19" s="18">
        <v>5.0999999999999996</v>
      </c>
      <c r="D19" s="18">
        <v>4.9000000000000004</v>
      </c>
      <c r="E19" s="18">
        <v>5</v>
      </c>
      <c r="F19" s="18">
        <v>4.9000000000000004</v>
      </c>
      <c r="I19" s="25"/>
      <c r="J19" s="25"/>
      <c r="K19" s="25"/>
      <c r="L19" s="25"/>
      <c r="M19" s="25"/>
      <c r="O19" s="27"/>
      <c r="P19" s="27"/>
      <c r="Q19" s="27"/>
      <c r="R19" s="27"/>
      <c r="S19" s="27"/>
    </row>
    <row r="20" spans="1:19" x14ac:dyDescent="0.25">
      <c r="A20" s="6" t="s">
        <v>0</v>
      </c>
      <c r="B20" s="19">
        <v>30.6</v>
      </c>
      <c r="C20" s="19">
        <v>31.320799999999998</v>
      </c>
      <c r="D20" s="19">
        <v>37.46399999999997</v>
      </c>
      <c r="E20" s="19">
        <v>36.924999999999962</v>
      </c>
      <c r="F20" s="19">
        <v>36.274499999999975</v>
      </c>
      <c r="G20" s="111">
        <f>F20-F17-F25</f>
        <v>25.500000000000007</v>
      </c>
      <c r="I20" s="25"/>
      <c r="J20" s="25"/>
      <c r="K20" s="25"/>
      <c r="L20" s="25"/>
      <c r="M20" s="25"/>
    </row>
    <row r="21" spans="1:19" x14ac:dyDescent="0.25">
      <c r="A21" s="6" t="s">
        <v>13</v>
      </c>
      <c r="B21" s="19">
        <v>3.1</v>
      </c>
      <c r="C21" s="19">
        <v>5.1492000000000004</v>
      </c>
      <c r="D21" s="19">
        <v>7.2459999999999996</v>
      </c>
      <c r="E21" s="19">
        <v>9.1649999999999991</v>
      </c>
      <c r="F21" s="19">
        <v>11.165499999999998</v>
      </c>
      <c r="G21" s="4"/>
      <c r="H21" s="4"/>
      <c r="I21" s="25"/>
      <c r="J21" s="25"/>
      <c r="K21" s="25"/>
      <c r="L21" s="25"/>
      <c r="M21" s="25"/>
      <c r="N21" s="4"/>
      <c r="O21" s="26"/>
      <c r="P21" s="26"/>
      <c r="Q21" s="26"/>
      <c r="R21" s="26"/>
      <c r="S21" s="26"/>
    </row>
    <row r="22" spans="1:19" x14ac:dyDescent="0.25">
      <c r="A22" s="8" t="s">
        <v>19</v>
      </c>
      <c r="B22" s="20">
        <v>45</v>
      </c>
      <c r="C22" s="20">
        <v>47.1</v>
      </c>
      <c r="D22" s="20">
        <v>47.3</v>
      </c>
      <c r="E22" s="20">
        <v>47.6</v>
      </c>
      <c r="F22" s="20">
        <v>47.2</v>
      </c>
      <c r="I22" s="25"/>
      <c r="J22" s="25"/>
      <c r="K22" s="25"/>
      <c r="L22" s="25"/>
      <c r="M22" s="25"/>
    </row>
    <row r="23" spans="1:19" x14ac:dyDescent="0.25">
      <c r="A23" s="6" t="s">
        <v>1</v>
      </c>
      <c r="B23" s="19">
        <v>78.7</v>
      </c>
      <c r="C23" s="19">
        <v>83.57</v>
      </c>
      <c r="D23" s="19">
        <v>92.009999999999962</v>
      </c>
      <c r="E23" s="19">
        <v>93.689999999999969</v>
      </c>
      <c r="F23" s="19">
        <v>94.639999999999972</v>
      </c>
      <c r="I23" s="25"/>
      <c r="J23" s="25"/>
      <c r="K23" s="25"/>
      <c r="L23" s="25"/>
      <c r="M23" s="25"/>
    </row>
    <row r="24" spans="1:19" x14ac:dyDescent="0.25">
      <c r="A24" s="6"/>
      <c r="B24" s="36"/>
      <c r="C24" s="36"/>
      <c r="D24" s="36"/>
      <c r="E24" s="36"/>
      <c r="F24" s="36"/>
      <c r="I24" s="25"/>
      <c r="J24" s="25"/>
      <c r="K24" s="25"/>
      <c r="L24" s="25"/>
      <c r="M24" s="25"/>
    </row>
    <row r="25" spans="1:19" x14ac:dyDescent="0.25">
      <c r="A25" s="6" t="s">
        <v>10</v>
      </c>
      <c r="B25" s="19">
        <v>5.6</v>
      </c>
      <c r="C25" s="19">
        <v>5.3</v>
      </c>
      <c r="D25" s="19">
        <v>7.6</v>
      </c>
      <c r="E25" s="19">
        <v>8.9</v>
      </c>
      <c r="F25" s="19">
        <v>10.4</v>
      </c>
      <c r="I25" s="25"/>
      <c r="J25" s="25"/>
      <c r="K25" s="25"/>
      <c r="L25" s="25"/>
      <c r="M25" s="25"/>
      <c r="O25" s="24"/>
      <c r="P25" s="24"/>
      <c r="Q25" s="24"/>
      <c r="R25" s="24"/>
      <c r="S25" s="24"/>
    </row>
    <row r="26" spans="1:19" x14ac:dyDescent="0.25">
      <c r="A26" s="8" t="s">
        <v>52</v>
      </c>
      <c r="B26" s="20">
        <v>0</v>
      </c>
      <c r="C26" s="20">
        <v>0</v>
      </c>
      <c r="D26" s="20">
        <v>4</v>
      </c>
      <c r="E26" s="20">
        <v>2.5</v>
      </c>
      <c r="F26" s="20">
        <v>0</v>
      </c>
      <c r="I26" s="25"/>
      <c r="J26" s="25"/>
      <c r="K26" s="25"/>
      <c r="L26" s="25"/>
      <c r="M26" s="25"/>
    </row>
    <row r="27" spans="1:19" x14ac:dyDescent="0.25">
      <c r="A27" s="6" t="s">
        <v>6</v>
      </c>
      <c r="B27" s="19">
        <v>5.6</v>
      </c>
      <c r="C27" s="19">
        <v>5.3</v>
      </c>
      <c r="D27" s="19">
        <v>11.6</v>
      </c>
      <c r="E27" s="19">
        <v>11.4</v>
      </c>
      <c r="F27" s="19">
        <v>10.4</v>
      </c>
      <c r="I27" s="25"/>
      <c r="J27" s="25"/>
      <c r="K27" s="25"/>
      <c r="L27" s="25"/>
      <c r="M27" s="25"/>
    </row>
    <row r="28" spans="1:19" x14ac:dyDescent="0.25">
      <c r="A28" s="6" t="s">
        <v>61</v>
      </c>
      <c r="B28" s="19">
        <v>13.9</v>
      </c>
      <c r="C28" s="19">
        <v>13.9</v>
      </c>
      <c r="D28" s="19">
        <v>15</v>
      </c>
      <c r="E28" s="19">
        <v>15.3</v>
      </c>
      <c r="F28" s="19">
        <v>15.5</v>
      </c>
      <c r="I28" s="25"/>
      <c r="J28" s="25"/>
      <c r="K28" s="25"/>
      <c r="L28" s="25"/>
      <c r="M28" s="25"/>
      <c r="O28" s="24"/>
      <c r="P28" s="24"/>
      <c r="Q28" s="24"/>
      <c r="R28" s="24"/>
      <c r="S28" s="24"/>
    </row>
    <row r="29" spans="1:19" x14ac:dyDescent="0.25">
      <c r="A29" s="6" t="s">
        <v>45</v>
      </c>
      <c r="B29" s="19">
        <v>16.600000000000001</v>
      </c>
      <c r="C29" s="19">
        <v>17.5</v>
      </c>
      <c r="D29" s="19">
        <v>17</v>
      </c>
      <c r="E29" s="19">
        <v>17.3</v>
      </c>
      <c r="F29" s="19">
        <v>17.899999999999999</v>
      </c>
      <c r="I29" s="25"/>
      <c r="J29" s="25"/>
      <c r="K29" s="25"/>
      <c r="L29" s="25"/>
      <c r="M29" s="25"/>
      <c r="O29" s="24"/>
      <c r="P29" s="24"/>
      <c r="Q29" s="24"/>
      <c r="R29" s="24"/>
      <c r="S29" s="24"/>
    </row>
    <row r="30" spans="1:19" x14ac:dyDescent="0.25">
      <c r="A30" s="21" t="s">
        <v>11</v>
      </c>
      <c r="B30" s="22">
        <v>36.1</v>
      </c>
      <c r="C30" s="22">
        <v>36.700000000000003</v>
      </c>
      <c r="D30" s="22">
        <v>43.6</v>
      </c>
      <c r="E30" s="22">
        <v>44</v>
      </c>
      <c r="F30" s="22">
        <v>43.8</v>
      </c>
      <c r="I30" s="25"/>
      <c r="J30" s="25"/>
      <c r="K30" s="25"/>
      <c r="L30" s="25"/>
      <c r="M30" s="25"/>
    </row>
    <row r="31" spans="1:19" x14ac:dyDescent="0.25">
      <c r="A31" s="8" t="s">
        <v>59</v>
      </c>
      <c r="B31" s="19">
        <v>42.6</v>
      </c>
      <c r="C31" s="19">
        <v>46.870000000000005</v>
      </c>
      <c r="D31" s="19">
        <v>48.409999999999975</v>
      </c>
      <c r="E31" s="19">
        <v>49.689999999999969</v>
      </c>
      <c r="F31" s="19">
        <v>50.839999999999989</v>
      </c>
      <c r="I31" s="25"/>
      <c r="J31" s="25"/>
      <c r="K31" s="25"/>
      <c r="L31" s="25"/>
      <c r="M31" s="25"/>
      <c r="O31" s="28"/>
      <c r="P31" s="28"/>
      <c r="Q31" s="28"/>
      <c r="R31" s="28"/>
      <c r="S31" s="28"/>
    </row>
    <row r="32" spans="1:19" x14ac:dyDescent="0.25">
      <c r="A32" s="11" t="s">
        <v>2</v>
      </c>
      <c r="B32" s="23">
        <v>78.7</v>
      </c>
      <c r="C32" s="23">
        <v>83.570000000000007</v>
      </c>
      <c r="D32" s="23">
        <v>92.009999999999977</v>
      </c>
      <c r="E32" s="23">
        <v>93.689999999999969</v>
      </c>
      <c r="F32" s="23">
        <v>94.639999999999986</v>
      </c>
    </row>
    <row r="33" spans="2:6" x14ac:dyDescent="0.25">
      <c r="B33" s="5"/>
      <c r="C33" s="5"/>
      <c r="D33" s="5"/>
      <c r="E33" s="5"/>
      <c r="F33" s="5"/>
    </row>
    <row r="34" spans="2:6" x14ac:dyDescent="0.25">
      <c r="B34" s="7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opLeftCell="A14" zoomScale="130" zoomScaleNormal="130" workbookViewId="0">
      <selection activeCell="F4" sqref="F4"/>
    </sheetView>
  </sheetViews>
  <sheetFormatPr baseColWidth="10" defaultColWidth="9.109375" defaultRowHeight="12" x14ac:dyDescent="0.25"/>
  <cols>
    <col min="1" max="1" width="28.88671875" style="1" customWidth="1"/>
    <col min="2" max="2" width="8" style="1" customWidth="1"/>
    <col min="3" max="3" width="8.109375" style="1" customWidth="1"/>
    <col min="4" max="6" width="7.88671875" style="1" customWidth="1"/>
    <col min="7" max="16384" width="9.109375" style="1"/>
  </cols>
  <sheetData>
    <row r="1" spans="1:18" x14ac:dyDescent="0.25">
      <c r="A1" s="3" t="s">
        <v>72</v>
      </c>
      <c r="B1" s="2"/>
      <c r="C1" s="2"/>
      <c r="D1" s="2"/>
      <c r="E1" s="2"/>
      <c r="F1" s="2"/>
    </row>
    <row r="2" spans="1:18" x14ac:dyDescent="0.25">
      <c r="A2" s="7"/>
      <c r="B2" s="9">
        <v>2010</v>
      </c>
      <c r="C2" s="9">
        <v>2011</v>
      </c>
      <c r="D2" s="9">
        <v>2012</v>
      </c>
      <c r="E2" s="9">
        <v>2013</v>
      </c>
      <c r="F2" s="9" t="s">
        <v>60</v>
      </c>
    </row>
    <row r="3" spans="1:18" x14ac:dyDescent="0.25">
      <c r="A3" s="13" t="s">
        <v>24</v>
      </c>
      <c r="B3" s="12"/>
      <c r="C3" s="12"/>
      <c r="D3" s="12"/>
      <c r="E3" s="12"/>
      <c r="F3" s="12"/>
      <c r="R3" s="15"/>
    </row>
    <row r="4" spans="1:18" x14ac:dyDescent="0.25">
      <c r="A4" s="6" t="s">
        <v>3</v>
      </c>
      <c r="B4" s="16">
        <v>137.80000000000001</v>
      </c>
      <c r="C4" s="16">
        <v>143.5</v>
      </c>
      <c r="D4" s="16">
        <v>149.5</v>
      </c>
      <c r="E4" s="16">
        <v>155.30000000000001</v>
      </c>
      <c r="F4" s="87">
        <v>161.9</v>
      </c>
      <c r="M4" s="15"/>
      <c r="N4" s="15"/>
      <c r="O4" s="15"/>
      <c r="P4" s="15"/>
      <c r="Q4" s="15"/>
    </row>
    <row r="5" spans="1:18" x14ac:dyDescent="0.25">
      <c r="A5" s="8" t="s">
        <v>12</v>
      </c>
      <c r="B5" s="18">
        <v>126.1</v>
      </c>
      <c r="C5" s="18">
        <v>131.5</v>
      </c>
      <c r="D5" s="18">
        <v>137.1</v>
      </c>
      <c r="E5" s="18">
        <v>142.5</v>
      </c>
      <c r="F5" s="18">
        <v>148.6</v>
      </c>
      <c r="M5" s="15"/>
      <c r="N5" s="15"/>
      <c r="O5" s="15"/>
      <c r="P5" s="15"/>
      <c r="Q5" s="15"/>
    </row>
    <row r="6" spans="1:18" x14ac:dyDescent="0.25">
      <c r="A6" s="6" t="s">
        <v>16</v>
      </c>
      <c r="B6" s="16">
        <v>11.700000000000017</v>
      </c>
      <c r="C6" s="16">
        <v>12</v>
      </c>
      <c r="D6" s="16">
        <v>12.400000000000006</v>
      </c>
      <c r="E6" s="16">
        <v>12.800000000000011</v>
      </c>
      <c r="F6" s="16">
        <v>13.300000000000011</v>
      </c>
    </row>
    <row r="7" spans="1:18" x14ac:dyDescent="0.25">
      <c r="A7" s="6" t="s">
        <v>21</v>
      </c>
      <c r="B7" s="16">
        <v>2.9</v>
      </c>
      <c r="C7" s="16">
        <v>2.9</v>
      </c>
      <c r="D7" s="16">
        <v>2.9</v>
      </c>
      <c r="E7" s="16">
        <v>3</v>
      </c>
      <c r="F7" s="16">
        <v>3</v>
      </c>
      <c r="M7" s="15"/>
      <c r="N7" s="15"/>
      <c r="O7" s="15"/>
      <c r="P7" s="15"/>
      <c r="Q7" s="15"/>
    </row>
    <row r="8" spans="1:18" x14ac:dyDescent="0.25">
      <c r="A8" s="8" t="s">
        <v>14</v>
      </c>
      <c r="B8" s="18">
        <v>1.8</v>
      </c>
      <c r="C8" s="18">
        <v>2.2000000000000002</v>
      </c>
      <c r="D8" s="18">
        <v>2.5</v>
      </c>
      <c r="E8" s="18">
        <v>2.8</v>
      </c>
      <c r="F8" s="18">
        <v>2.9</v>
      </c>
      <c r="M8" s="15"/>
      <c r="N8" s="15"/>
      <c r="O8" s="15"/>
      <c r="P8" s="15"/>
      <c r="Q8" s="15"/>
    </row>
    <row r="9" spans="1:18" x14ac:dyDescent="0.25">
      <c r="A9" s="6" t="s">
        <v>17</v>
      </c>
      <c r="B9" s="16">
        <v>7.0000000000000169</v>
      </c>
      <c r="C9" s="16">
        <v>6.8999999999999995</v>
      </c>
      <c r="D9" s="16">
        <v>7.0000000000000053</v>
      </c>
      <c r="E9" s="16">
        <v>7.0000000000000115</v>
      </c>
      <c r="F9" s="16">
        <v>7.400000000000011</v>
      </c>
    </row>
    <row r="10" spans="1:18" ht="14.4" x14ac:dyDescent="0.25">
      <c r="A10" s="6" t="s">
        <v>62</v>
      </c>
      <c r="B10" s="16">
        <v>0.38699999999999996</v>
      </c>
      <c r="C10" s="16">
        <v>0.36449999999999999</v>
      </c>
      <c r="D10" s="16">
        <v>0.40949999999999998</v>
      </c>
      <c r="E10" s="16">
        <v>0.39150000000000001</v>
      </c>
      <c r="F10" s="16">
        <v>0.3735</v>
      </c>
      <c r="M10" s="29"/>
      <c r="N10" s="29"/>
      <c r="O10" s="29"/>
      <c r="P10" s="29"/>
      <c r="Q10" s="29"/>
    </row>
    <row r="11" spans="1:18" x14ac:dyDescent="0.25">
      <c r="A11" s="8" t="s">
        <v>15</v>
      </c>
      <c r="B11" s="18">
        <v>2.3145500000000059</v>
      </c>
      <c r="C11" s="18">
        <v>2.2874249999999998</v>
      </c>
      <c r="D11" s="18">
        <v>2.306675000000002</v>
      </c>
      <c r="E11" s="18">
        <v>2.3129750000000038</v>
      </c>
      <c r="F11" s="18">
        <v>2.4592750000000039</v>
      </c>
    </row>
    <row r="12" spans="1:18" x14ac:dyDescent="0.25">
      <c r="A12" s="6" t="s">
        <v>7</v>
      </c>
      <c r="B12" s="16">
        <v>4.2984500000000114</v>
      </c>
      <c r="C12" s="16">
        <v>4.248075</v>
      </c>
      <c r="D12" s="16">
        <v>4.2838250000000038</v>
      </c>
      <c r="E12" s="16">
        <v>4.2955250000000085</v>
      </c>
      <c r="F12" s="16">
        <v>4.5672250000000076</v>
      </c>
    </row>
    <row r="13" spans="1:18" x14ac:dyDescent="0.25">
      <c r="A13" s="6" t="s">
        <v>30</v>
      </c>
      <c r="B13" s="17">
        <v>1.2281285714285748</v>
      </c>
      <c r="C13" s="17">
        <v>1.2137357142857144</v>
      </c>
      <c r="D13" s="17">
        <v>1.223950000000001</v>
      </c>
      <c r="E13" s="17">
        <v>1.2272928571428596</v>
      </c>
      <c r="F13" s="17">
        <v>1.3049214285714308</v>
      </c>
    </row>
    <row r="14" spans="1:18" x14ac:dyDescent="0.25">
      <c r="A14" s="6" t="s">
        <v>31</v>
      </c>
      <c r="B14" s="17">
        <v>0.24</v>
      </c>
      <c r="C14" s="17">
        <v>0.24</v>
      </c>
      <c r="D14" s="17">
        <v>0.24</v>
      </c>
      <c r="E14" s="17">
        <v>0.24</v>
      </c>
      <c r="F14" s="17">
        <v>0.24</v>
      </c>
    </row>
    <row r="15" spans="1:18" x14ac:dyDescent="0.25">
      <c r="A15" s="6"/>
      <c r="B15" s="32"/>
      <c r="C15" s="32"/>
      <c r="D15" s="32"/>
      <c r="E15" s="32"/>
      <c r="F15" s="32"/>
    </row>
    <row r="16" spans="1:18" x14ac:dyDescent="0.25">
      <c r="A16" s="13" t="s">
        <v>25</v>
      </c>
      <c r="B16" s="10"/>
      <c r="C16" s="10"/>
      <c r="D16" s="10"/>
      <c r="E16" s="10"/>
      <c r="F16" s="10"/>
    </row>
    <row r="17" spans="1:17" x14ac:dyDescent="0.25">
      <c r="A17" s="6" t="s">
        <v>22</v>
      </c>
      <c r="B17" s="19">
        <v>1.8</v>
      </c>
      <c r="C17" s="19">
        <v>1.0205749999999973</v>
      </c>
      <c r="D17" s="19">
        <v>1.9269000000000043</v>
      </c>
      <c r="E17" s="19">
        <v>1.4999250000000091</v>
      </c>
      <c r="F17" s="19">
        <v>2.0796500000000187</v>
      </c>
      <c r="M17" s="29"/>
      <c r="N17" s="29"/>
      <c r="O17" s="29"/>
      <c r="P17" s="29"/>
      <c r="Q17" s="29"/>
    </row>
    <row r="18" spans="1:17" x14ac:dyDescent="0.25">
      <c r="A18" s="6" t="s">
        <v>9</v>
      </c>
      <c r="B18" s="19">
        <v>13.1</v>
      </c>
      <c r="C18" s="19">
        <v>13.5</v>
      </c>
      <c r="D18" s="19">
        <v>14.6</v>
      </c>
      <c r="E18" s="19">
        <v>15.2</v>
      </c>
      <c r="F18" s="19">
        <v>16.2</v>
      </c>
      <c r="M18" s="29"/>
      <c r="N18" s="29"/>
      <c r="O18" s="29"/>
      <c r="P18" s="29"/>
      <c r="Q18" s="29"/>
    </row>
    <row r="19" spans="1:17" x14ac:dyDescent="0.25">
      <c r="A19" s="8" t="s">
        <v>23</v>
      </c>
      <c r="B19" s="20">
        <v>2.8</v>
      </c>
      <c r="C19" s="20">
        <v>4</v>
      </c>
      <c r="D19" s="20">
        <v>4.0999999999999996</v>
      </c>
      <c r="E19" s="20">
        <v>4.2</v>
      </c>
      <c r="F19" s="20">
        <v>4.2</v>
      </c>
      <c r="M19" s="30"/>
      <c r="N19" s="30"/>
      <c r="O19" s="30"/>
      <c r="P19" s="30"/>
      <c r="Q19" s="30"/>
    </row>
    <row r="20" spans="1:17" x14ac:dyDescent="0.25">
      <c r="A20" s="6" t="s">
        <v>0</v>
      </c>
      <c r="B20" s="19">
        <v>17.7</v>
      </c>
      <c r="C20" s="19">
        <v>18.520574999999997</v>
      </c>
      <c r="D20" s="19">
        <v>20.626900000000006</v>
      </c>
      <c r="E20" s="19">
        <v>20.899925000000007</v>
      </c>
      <c r="F20" s="19">
        <v>22.479650000000017</v>
      </c>
    </row>
    <row r="21" spans="1:17" x14ac:dyDescent="0.25">
      <c r="A21" s="6" t="s">
        <v>13</v>
      </c>
      <c r="B21" s="19">
        <v>16</v>
      </c>
      <c r="C21" s="19">
        <v>17.387499999999999</v>
      </c>
      <c r="D21" s="19">
        <v>18.625</v>
      </c>
      <c r="E21" s="19">
        <v>19.7075</v>
      </c>
      <c r="F21" s="19">
        <v>20.855</v>
      </c>
      <c r="L21" s="4"/>
      <c r="M21" s="4"/>
      <c r="N21" s="4"/>
    </row>
    <row r="22" spans="1:17" x14ac:dyDescent="0.25">
      <c r="A22" s="8" t="s">
        <v>19</v>
      </c>
      <c r="B22" s="20">
        <v>35.9</v>
      </c>
      <c r="C22" s="20">
        <v>38.6</v>
      </c>
      <c r="D22" s="20">
        <v>41.8</v>
      </c>
      <c r="E22" s="20">
        <v>43.2</v>
      </c>
      <c r="F22" s="20">
        <v>43.5</v>
      </c>
      <c r="M22" s="30"/>
      <c r="N22" s="30"/>
      <c r="O22" s="30"/>
      <c r="P22" s="30"/>
      <c r="Q22" s="30"/>
    </row>
    <row r="23" spans="1:17" x14ac:dyDescent="0.25">
      <c r="A23" s="6" t="s">
        <v>1</v>
      </c>
      <c r="B23" s="19">
        <v>69.599999999999994</v>
      </c>
      <c r="C23" s="19">
        <v>74.508074999999991</v>
      </c>
      <c r="D23" s="19">
        <v>81.051900000000003</v>
      </c>
      <c r="E23" s="19">
        <v>83.807425000000009</v>
      </c>
      <c r="F23" s="19">
        <v>86.834650000000011</v>
      </c>
    </row>
    <row r="24" spans="1:17" x14ac:dyDescent="0.25">
      <c r="A24" s="6"/>
      <c r="B24" s="4"/>
      <c r="C24" s="4"/>
      <c r="D24" s="4"/>
      <c r="E24" s="4"/>
      <c r="F24" s="4"/>
    </row>
    <row r="25" spans="1:17" x14ac:dyDescent="0.25">
      <c r="A25" s="6" t="s">
        <v>10</v>
      </c>
      <c r="B25" s="19">
        <v>9.3000000000000007</v>
      </c>
      <c r="C25" s="19">
        <v>9.9</v>
      </c>
      <c r="D25" s="19">
        <v>10.4</v>
      </c>
      <c r="E25" s="19">
        <v>11</v>
      </c>
      <c r="F25" s="19">
        <v>11.5</v>
      </c>
    </row>
    <row r="26" spans="1:17" ht="14.4" x14ac:dyDescent="0.25">
      <c r="A26" s="8" t="s">
        <v>63</v>
      </c>
      <c r="B26" s="20">
        <v>0.4</v>
      </c>
      <c r="C26" s="20">
        <v>0.4</v>
      </c>
      <c r="D26" s="20">
        <v>0.4</v>
      </c>
      <c r="E26" s="20">
        <v>0.4</v>
      </c>
      <c r="F26" s="20">
        <v>0.4</v>
      </c>
    </row>
    <row r="27" spans="1:17" x14ac:dyDescent="0.25">
      <c r="A27" s="6" t="s">
        <v>6</v>
      </c>
      <c r="B27" s="19">
        <v>9.7000000000000011</v>
      </c>
      <c r="C27" s="19">
        <v>10.3</v>
      </c>
      <c r="D27" s="19">
        <v>10.8</v>
      </c>
      <c r="E27" s="19">
        <v>11.4</v>
      </c>
      <c r="F27" s="19">
        <v>11.9</v>
      </c>
    </row>
    <row r="28" spans="1:17" x14ac:dyDescent="0.25">
      <c r="A28" s="6" t="s">
        <v>5</v>
      </c>
      <c r="B28" s="19">
        <v>8.1999999999999993</v>
      </c>
      <c r="C28" s="19">
        <v>7.7</v>
      </c>
      <c r="D28" s="19">
        <v>8.6999999999999993</v>
      </c>
      <c r="E28" s="19">
        <v>8.3000000000000007</v>
      </c>
      <c r="F28" s="19">
        <v>7.9</v>
      </c>
      <c r="M28" s="15"/>
      <c r="N28" s="15"/>
      <c r="O28" s="15"/>
      <c r="P28" s="15"/>
      <c r="Q28" s="15"/>
    </row>
    <row r="29" spans="1:17" x14ac:dyDescent="0.25">
      <c r="A29" s="6" t="s">
        <v>61</v>
      </c>
      <c r="B29" s="19">
        <v>11.6</v>
      </c>
      <c r="C29" s="19">
        <v>12.8</v>
      </c>
      <c r="D29" s="19">
        <v>13.1</v>
      </c>
      <c r="E29" s="19">
        <v>13.3</v>
      </c>
      <c r="F29" s="19">
        <v>13</v>
      </c>
      <c r="M29" s="15"/>
      <c r="N29" s="15"/>
      <c r="O29" s="15"/>
      <c r="P29" s="15"/>
      <c r="Q29" s="15"/>
    </row>
    <row r="30" spans="1:17" x14ac:dyDescent="0.25">
      <c r="A30" s="6" t="s">
        <v>45</v>
      </c>
      <c r="B30" s="19">
        <v>11</v>
      </c>
      <c r="C30" s="19">
        <v>11.2</v>
      </c>
      <c r="D30" s="19">
        <v>12.5</v>
      </c>
      <c r="E30" s="19">
        <v>11.4</v>
      </c>
      <c r="F30" s="19">
        <v>10.9</v>
      </c>
      <c r="M30" s="15"/>
      <c r="N30" s="15"/>
      <c r="O30" s="15"/>
      <c r="P30" s="15"/>
      <c r="Q30" s="15"/>
    </row>
    <row r="31" spans="1:17" x14ac:dyDescent="0.25">
      <c r="A31" s="21" t="s">
        <v>11</v>
      </c>
      <c r="B31" s="22">
        <v>40.5</v>
      </c>
      <c r="C31" s="22">
        <v>42</v>
      </c>
      <c r="D31" s="22">
        <v>45.1</v>
      </c>
      <c r="E31" s="22">
        <v>44.4</v>
      </c>
      <c r="F31" s="22">
        <v>43.699999999999996</v>
      </c>
    </row>
    <row r="32" spans="1:17" x14ac:dyDescent="0.25">
      <c r="A32" s="8" t="s">
        <v>8</v>
      </c>
      <c r="B32" s="19">
        <v>29.099999999999994</v>
      </c>
      <c r="C32" s="19">
        <v>32.508074999999991</v>
      </c>
      <c r="D32" s="19">
        <v>35.951899999999995</v>
      </c>
      <c r="E32" s="19">
        <v>39.407425000000003</v>
      </c>
      <c r="F32" s="19">
        <v>43.134650000000008</v>
      </c>
      <c r="M32" s="31"/>
      <c r="N32" s="31"/>
      <c r="O32" s="31"/>
      <c r="P32" s="31"/>
      <c r="Q32" s="31"/>
    </row>
    <row r="33" spans="1:6" x14ac:dyDescent="0.25">
      <c r="A33" s="11" t="s">
        <v>2</v>
      </c>
      <c r="B33" s="23">
        <v>69.599999999999994</v>
      </c>
      <c r="C33" s="23">
        <v>74.508074999999991</v>
      </c>
      <c r="D33" s="23">
        <v>81.051899999999989</v>
      </c>
      <c r="E33" s="23">
        <v>83.807424999999995</v>
      </c>
      <c r="F33" s="23">
        <v>86.834650000000011</v>
      </c>
    </row>
    <row r="34" spans="1:6" ht="14.4" x14ac:dyDescent="0.25">
      <c r="A34" s="6" t="s">
        <v>64</v>
      </c>
      <c r="B34" s="19"/>
      <c r="C34" s="19"/>
      <c r="D34" s="19"/>
      <c r="E34" s="19"/>
      <c r="F34" s="19"/>
    </row>
    <row r="35" spans="1:6" ht="14.4" x14ac:dyDescent="0.25">
      <c r="A35" s="6" t="s">
        <v>65</v>
      </c>
      <c r="B35" s="19"/>
      <c r="C35" s="19"/>
      <c r="D35" s="19"/>
      <c r="E35" s="19"/>
      <c r="F35" s="19"/>
    </row>
    <row r="36" spans="1:6" x14ac:dyDescent="0.25">
      <c r="B36" s="5"/>
      <c r="C36" s="5"/>
      <c r="D36" s="5"/>
      <c r="E36" s="5"/>
      <c r="F36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zoomScale="110" zoomScaleNormal="110" workbookViewId="0">
      <selection activeCell="I17" sqref="I17"/>
    </sheetView>
  </sheetViews>
  <sheetFormatPr baseColWidth="10" defaultColWidth="9.109375" defaultRowHeight="12" x14ac:dyDescent="0.25"/>
  <cols>
    <col min="1" max="1" width="28.88671875" style="1" customWidth="1"/>
    <col min="2" max="2" width="8" style="1" customWidth="1"/>
    <col min="3" max="3" width="8.109375" style="1" customWidth="1"/>
    <col min="4" max="5" width="7.88671875" style="1" customWidth="1"/>
    <col min="6" max="6" width="8.109375" style="1" customWidth="1"/>
    <col min="7" max="16384" width="9.109375" style="1"/>
  </cols>
  <sheetData>
    <row r="1" spans="1:6" x14ac:dyDescent="0.25">
      <c r="A1" s="3" t="s">
        <v>68</v>
      </c>
      <c r="B1" s="2"/>
      <c r="C1" s="2"/>
      <c r="D1" s="2"/>
      <c r="E1" s="2"/>
      <c r="F1" s="2"/>
    </row>
    <row r="2" spans="1:6" x14ac:dyDescent="0.25">
      <c r="A2" s="7"/>
      <c r="B2" s="9">
        <v>2015</v>
      </c>
      <c r="C2" s="9">
        <v>2016</v>
      </c>
      <c r="D2" s="9">
        <v>2017</v>
      </c>
      <c r="E2" s="9">
        <v>2018</v>
      </c>
      <c r="F2" s="9">
        <v>2019</v>
      </c>
    </row>
    <row r="3" spans="1:6" x14ac:dyDescent="0.25">
      <c r="A3" s="6" t="s">
        <v>3</v>
      </c>
      <c r="B3" s="16">
        <f>'Exhibit 1'!F4*1.05</f>
        <v>362.77500000000003</v>
      </c>
      <c r="C3" s="16">
        <f>B3*1.05</f>
        <v>380.91375000000005</v>
      </c>
      <c r="D3" s="16">
        <f>C3*1.05</f>
        <v>399.95943750000009</v>
      </c>
      <c r="E3" s="16">
        <f>D3*1.05</f>
        <v>419.95740937500011</v>
      </c>
      <c r="F3" s="16">
        <f>E3*1.05</f>
        <v>440.95527984375013</v>
      </c>
    </row>
    <row r="4" spans="1:6" x14ac:dyDescent="0.25">
      <c r="A4" s="6" t="s">
        <v>17</v>
      </c>
      <c r="B4" s="16">
        <f>B3*0.015</f>
        <v>5.4416250000000002</v>
      </c>
      <c r="C4" s="16">
        <f>C3*0.015</f>
        <v>5.7137062500000004</v>
      </c>
      <c r="D4" s="16">
        <f>D3*0.015</f>
        <v>5.9993915625000014</v>
      </c>
      <c r="E4" s="16">
        <f>E3*0.015</f>
        <v>6.2993611406250016</v>
      </c>
      <c r="F4" s="16">
        <f>F3*0.015</f>
        <v>6.6143291976562519</v>
      </c>
    </row>
    <row r="5" spans="1:6" x14ac:dyDescent="0.25">
      <c r="A5" s="6" t="s">
        <v>7</v>
      </c>
      <c r="B5" s="16">
        <f>B4*(1-0.35)</f>
        <v>3.53705625</v>
      </c>
      <c r="C5" s="16">
        <f t="shared" ref="C5:F5" si="0">C4*(1-0.35)</f>
        <v>3.7139090625000004</v>
      </c>
      <c r="D5" s="16">
        <f t="shared" si="0"/>
        <v>3.899604515625001</v>
      </c>
      <c r="E5" s="16">
        <f t="shared" si="0"/>
        <v>4.0945847414062513</v>
      </c>
      <c r="F5" s="16">
        <f t="shared" si="0"/>
        <v>4.2993139784765635</v>
      </c>
    </row>
    <row r="6" spans="1:6" x14ac:dyDescent="0.25">
      <c r="A6" s="86" t="s">
        <v>14</v>
      </c>
      <c r="B6" s="87">
        <f>'Exhibit 1'!F8+0.3</f>
        <v>2.1</v>
      </c>
      <c r="C6" s="87">
        <f>B6+0.3</f>
        <v>2.4</v>
      </c>
      <c r="D6" s="87">
        <f>C6+0.3</f>
        <v>2.6999999999999997</v>
      </c>
      <c r="E6" s="87">
        <f>D6+0.3</f>
        <v>2.9999999999999996</v>
      </c>
      <c r="F6" s="87">
        <f>E6+0.3</f>
        <v>3.2999999999999994</v>
      </c>
    </row>
    <row r="7" spans="1:6" x14ac:dyDescent="0.25">
      <c r="A7" s="1" t="s">
        <v>26</v>
      </c>
      <c r="B7" s="34">
        <f>B3*0.074-('Exhibit 1'!F20-'Exhibit 1'!F17-'Exhibit 1'!F27)</f>
        <v>1.3453499999999927</v>
      </c>
      <c r="C7" s="34">
        <f>C3*0.074-B3*0.074</f>
        <v>1.3422675000000019</v>
      </c>
      <c r="D7" s="34">
        <f>D3*0.074-C3*0.074</f>
        <v>1.4093808750000036</v>
      </c>
      <c r="E7" s="34">
        <f>E3*0.074-D3*0.074</f>
        <v>1.479849918750002</v>
      </c>
      <c r="F7" s="34">
        <f>F3*0.074-E3*0.074</f>
        <v>1.5538424146874981</v>
      </c>
    </row>
    <row r="8" spans="1:6" x14ac:dyDescent="0.25">
      <c r="A8" s="1" t="s">
        <v>27</v>
      </c>
      <c r="B8" s="34">
        <f>B3*0.01</f>
        <v>3.6277500000000003</v>
      </c>
      <c r="C8" s="34">
        <f>C3*0.01</f>
        <v>3.8091375000000007</v>
      </c>
      <c r="D8" s="34">
        <f>D3*0.01</f>
        <v>3.9995943750000009</v>
      </c>
      <c r="E8" s="34">
        <f>E3*0.01</f>
        <v>4.1995740937500008</v>
      </c>
      <c r="F8" s="34">
        <f>F3*0.01</f>
        <v>4.4095527984375016</v>
      </c>
    </row>
    <row r="9" spans="1:6" x14ac:dyDescent="0.25">
      <c r="A9" s="14" t="s">
        <v>28</v>
      </c>
      <c r="B9" s="35">
        <f>B5+B6-B7-B8</f>
        <v>0.66395625000000758</v>
      </c>
      <c r="C9" s="35">
        <f t="shared" ref="C9:F9" si="1">C5+C6-C7-C8</f>
        <v>0.96250406249999765</v>
      </c>
      <c r="D9" s="35">
        <f t="shared" si="1"/>
        <v>1.1906292656249962</v>
      </c>
      <c r="E9" s="35">
        <f t="shared" si="1"/>
        <v>1.4151607289062484</v>
      </c>
      <c r="F9" s="35">
        <f t="shared" si="1"/>
        <v>1.6359187653515628</v>
      </c>
    </row>
    <row r="11" spans="1:6" x14ac:dyDescent="0.25">
      <c r="A11" s="3" t="s">
        <v>69</v>
      </c>
      <c r="B11" s="2"/>
      <c r="C11" s="2"/>
      <c r="D11" s="2"/>
      <c r="E11" s="2"/>
      <c r="F11" s="2"/>
    </row>
    <row r="12" spans="1:6" x14ac:dyDescent="0.25">
      <c r="A12" s="7"/>
      <c r="B12" s="9">
        <v>2015</v>
      </c>
      <c r="C12" s="9">
        <v>2016</v>
      </c>
      <c r="D12" s="9">
        <v>2017</v>
      </c>
      <c r="E12" s="9">
        <v>2018</v>
      </c>
      <c r="F12" s="9">
        <v>2019</v>
      </c>
    </row>
    <row r="13" spans="1:6" x14ac:dyDescent="0.25">
      <c r="A13" s="6" t="s">
        <v>3</v>
      </c>
      <c r="B13" s="16">
        <f>'Exhibit 2'!F4*1.04</f>
        <v>168.376</v>
      </c>
      <c r="C13" s="16">
        <f>B13*1.04</f>
        <v>175.11104</v>
      </c>
      <c r="D13" s="16">
        <f>C13*1.04</f>
        <v>182.11548160000001</v>
      </c>
      <c r="E13" s="16">
        <f>D13*1.04</f>
        <v>189.40010086400002</v>
      </c>
      <c r="F13" s="16">
        <f>E13*1.04</f>
        <v>196.97610489856004</v>
      </c>
    </row>
    <row r="14" spans="1:6" x14ac:dyDescent="0.25">
      <c r="A14" s="6" t="s">
        <v>17</v>
      </c>
      <c r="B14" s="16">
        <f>B13*0.04</f>
        <v>6.7350400000000006</v>
      </c>
      <c r="C14" s="16">
        <f>C13*0.04</f>
        <v>7.0044415999999998</v>
      </c>
      <c r="D14" s="16">
        <f>D13*0.04</f>
        <v>7.2846192640000007</v>
      </c>
      <c r="E14" s="16">
        <f>E13*0.04</f>
        <v>7.5760040345600013</v>
      </c>
      <c r="F14" s="16">
        <f>F13*0.04</f>
        <v>7.8790441959424014</v>
      </c>
    </row>
    <row r="15" spans="1:6" x14ac:dyDescent="0.25">
      <c r="A15" s="6" t="s">
        <v>4</v>
      </c>
      <c r="B15" s="16">
        <v>0.4</v>
      </c>
      <c r="C15" s="16">
        <v>0.4</v>
      </c>
      <c r="D15" s="16">
        <v>0.4</v>
      </c>
      <c r="E15" s="16">
        <v>0.4</v>
      </c>
      <c r="F15" s="16">
        <v>0.4</v>
      </c>
    </row>
    <row r="16" spans="1:6" x14ac:dyDescent="0.25">
      <c r="A16" s="6" t="s">
        <v>7</v>
      </c>
      <c r="B16" s="16">
        <f>(B14-B15)*(1-0.35)</f>
        <v>4.1177760000000001</v>
      </c>
      <c r="C16" s="16">
        <f>(C14-C15)*(1-0.35)</f>
        <v>4.2928870400000001</v>
      </c>
      <c r="D16" s="16">
        <f>(D14-D15)*(1-0.35)</f>
        <v>4.4750025216000004</v>
      </c>
      <c r="E16" s="16">
        <f>(E14-E15)*(1-0.35)</f>
        <v>4.6644026224640012</v>
      </c>
      <c r="F16" s="16">
        <f>(F14-F15)*(1-0.35)</f>
        <v>4.8613787273625606</v>
      </c>
    </row>
    <row r="17" spans="1:6" x14ac:dyDescent="0.25">
      <c r="A17" s="86" t="s">
        <v>14</v>
      </c>
      <c r="B17" s="87">
        <f>'Exhibit 2'!F8+0.2</f>
        <v>3.1</v>
      </c>
      <c r="C17" s="87">
        <v>3.3</v>
      </c>
      <c r="D17" s="87">
        <v>3.5</v>
      </c>
      <c r="E17" s="87">
        <v>3.7</v>
      </c>
      <c r="F17" s="87">
        <v>3.9</v>
      </c>
    </row>
    <row r="18" spans="1:6" x14ac:dyDescent="0.25">
      <c r="A18" s="1" t="s">
        <v>26</v>
      </c>
      <c r="B18" s="110">
        <f>B13*0.053-('Exhibit 2'!F20-'Exhibit 2'!F17-'Exhibit 2'!F27)</f>
        <v>0.42392800000000186</v>
      </c>
      <c r="C18" s="110">
        <f>C13*0.053-B13*0.053</f>
        <v>0.35695712000000057</v>
      </c>
      <c r="D18" s="110">
        <f>D13*0.053-C13*0.053</f>
        <v>0.37123540480000017</v>
      </c>
      <c r="E18" s="110">
        <f>E13*0.053-D13*0.053</f>
        <v>0.38608482099200003</v>
      </c>
      <c r="F18" s="110">
        <f>F13*0.053-E13*0.053</f>
        <v>0.40152821383168025</v>
      </c>
    </row>
    <row r="19" spans="1:6" x14ac:dyDescent="0.25">
      <c r="A19" s="1" t="s">
        <v>27</v>
      </c>
      <c r="B19" s="34">
        <f>B13*0.025</f>
        <v>4.2094000000000005</v>
      </c>
      <c r="C19" s="34">
        <f>C13*0.025</f>
        <v>4.3777759999999999</v>
      </c>
      <c r="D19" s="34">
        <f>D13*0.025</f>
        <v>4.5528870400000008</v>
      </c>
      <c r="E19" s="34">
        <f>E13*0.025</f>
        <v>4.7350025216000011</v>
      </c>
      <c r="F19" s="34">
        <f>F13*0.025</f>
        <v>4.924402622464001</v>
      </c>
    </row>
    <row r="20" spans="1:6" x14ac:dyDescent="0.25">
      <c r="A20" s="14" t="s">
        <v>28</v>
      </c>
      <c r="B20" s="35">
        <f>B16+B17-B18-B19+B15*(1-0.35)</f>
        <v>2.8444479999999981</v>
      </c>
      <c r="C20" s="35">
        <f>C16+C17-C18-C19+C15*(1-0.35)</f>
        <v>3.1181539199999992</v>
      </c>
      <c r="D20" s="35">
        <f>D16+D17-D18-D19+D15*(1-0.35)</f>
        <v>3.3108800767999993</v>
      </c>
      <c r="E20" s="35">
        <f>E16+E17-E18-E19+E15*(1-0.35)</f>
        <v>3.5033152798720009</v>
      </c>
      <c r="F20" s="35">
        <f>F16+F17-F18-F19+F15*(1-0.35)</f>
        <v>3.6954478910668787</v>
      </c>
    </row>
    <row r="21" spans="1:6" x14ac:dyDescent="0.25">
      <c r="B21" s="38"/>
      <c r="C21" s="38"/>
      <c r="D21" s="38"/>
      <c r="E21" s="38"/>
      <c r="F21" s="38"/>
    </row>
    <row r="22" spans="1:6" x14ac:dyDescent="0.25">
      <c r="A22" s="1" t="s">
        <v>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zoomScale="120" zoomScaleNormal="120" workbookViewId="0">
      <selection activeCell="C18" sqref="C18"/>
    </sheetView>
  </sheetViews>
  <sheetFormatPr baseColWidth="10" defaultColWidth="9.109375" defaultRowHeight="12" x14ac:dyDescent="0.25"/>
  <cols>
    <col min="1" max="1" width="23" style="1" customWidth="1"/>
    <col min="2" max="2" width="31.44140625" style="1" customWidth="1"/>
    <col min="3" max="3" width="19.44140625" style="1" customWidth="1"/>
    <col min="4" max="16384" width="9.109375" style="1"/>
  </cols>
  <sheetData>
    <row r="1" spans="1:6" x14ac:dyDescent="0.25">
      <c r="A1" s="3" t="s">
        <v>66</v>
      </c>
      <c r="B1" s="2"/>
      <c r="F1" s="1" t="s">
        <v>44</v>
      </c>
    </row>
    <row r="2" spans="1:6" x14ac:dyDescent="0.25">
      <c r="A2" s="40" t="s">
        <v>38</v>
      </c>
      <c r="B2" s="41"/>
    </row>
    <row r="3" spans="1:6" x14ac:dyDescent="0.25">
      <c r="A3" s="1" t="s">
        <v>35</v>
      </c>
      <c r="B3" s="37">
        <v>4.0000000000000002E-4</v>
      </c>
    </row>
    <row r="4" spans="1:6" x14ac:dyDescent="0.25">
      <c r="A4" s="1" t="s">
        <v>36</v>
      </c>
      <c r="B4" s="37">
        <v>1E-3</v>
      </c>
    </row>
    <row r="5" spans="1:6" x14ac:dyDescent="0.25">
      <c r="A5" s="1" t="s">
        <v>37</v>
      </c>
      <c r="B5" s="37">
        <v>2.5600000000000001E-2</v>
      </c>
    </row>
    <row r="6" spans="1:6" x14ac:dyDescent="0.25">
      <c r="B6" s="37"/>
    </row>
    <row r="7" spans="1:6" x14ac:dyDescent="0.25">
      <c r="A7" s="42" t="s">
        <v>58</v>
      </c>
      <c r="B7" s="37"/>
    </row>
    <row r="8" spans="1:6" x14ac:dyDescent="0.25">
      <c r="A8" s="1" t="s">
        <v>41</v>
      </c>
      <c r="B8" s="37">
        <v>4.1599999999999998E-2</v>
      </c>
    </row>
    <row r="9" spans="1:6" x14ac:dyDescent="0.25">
      <c r="A9" s="1" t="s">
        <v>42</v>
      </c>
      <c r="B9" s="37">
        <v>4.3400000000000001E-2</v>
      </c>
    </row>
    <row r="10" spans="1:6" x14ac:dyDescent="0.25">
      <c r="A10" s="1" t="s">
        <v>39</v>
      </c>
      <c r="B10" s="37">
        <v>4.5199999999999997E-2</v>
      </c>
    </row>
    <row r="11" spans="1:6" x14ac:dyDescent="0.25">
      <c r="A11" s="1" t="s">
        <v>43</v>
      </c>
      <c r="B11" s="37">
        <v>4.7E-2</v>
      </c>
    </row>
    <row r="12" spans="1:6" x14ac:dyDescent="0.25">
      <c r="B12" s="37"/>
    </row>
    <row r="13" spans="1:6" x14ac:dyDescent="0.25">
      <c r="A13" s="43" t="s">
        <v>40</v>
      </c>
      <c r="B13" s="44">
        <v>5.8999999999999997E-2</v>
      </c>
    </row>
    <row r="15" spans="1:6" x14ac:dyDescent="0.25">
      <c r="B15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topLeftCell="A28" zoomScale="110" zoomScaleNormal="110" workbookViewId="0">
      <selection activeCell="B46" sqref="B46"/>
    </sheetView>
  </sheetViews>
  <sheetFormatPr baseColWidth="10" defaultColWidth="9.109375" defaultRowHeight="12" x14ac:dyDescent="0.25"/>
  <cols>
    <col min="1" max="1" width="33.5546875" style="1" customWidth="1"/>
    <col min="2" max="3" width="17.88671875" style="50" customWidth="1"/>
    <col min="4" max="4" width="20" style="50" customWidth="1"/>
    <col min="5" max="16384" width="9.109375" style="1"/>
  </cols>
  <sheetData>
    <row r="1" spans="1:9" x14ac:dyDescent="0.25">
      <c r="A1" s="3" t="s">
        <v>67</v>
      </c>
      <c r="B1" s="45"/>
      <c r="C1" s="45"/>
      <c r="D1" s="45"/>
    </row>
    <row r="2" spans="1:9" x14ac:dyDescent="0.25">
      <c r="A2" s="14"/>
      <c r="B2" s="33" t="s">
        <v>54</v>
      </c>
      <c r="C2" s="33" t="s">
        <v>55</v>
      </c>
      <c r="D2" s="33" t="s">
        <v>56</v>
      </c>
    </row>
    <row r="3" spans="1:9" x14ac:dyDescent="0.25">
      <c r="A3" s="1" t="s">
        <v>29</v>
      </c>
      <c r="B3" s="46">
        <v>13945.7</v>
      </c>
      <c r="C3" s="46">
        <v>6417.2</v>
      </c>
      <c r="D3" s="46">
        <v>836.9</v>
      </c>
      <c r="E3" s="47"/>
      <c r="G3" s="48"/>
      <c r="H3" s="48"/>
      <c r="I3" s="48"/>
    </row>
    <row r="4" spans="1:9" x14ac:dyDescent="0.25">
      <c r="A4" s="1" t="s">
        <v>7</v>
      </c>
      <c r="B4" s="46">
        <v>219.4</v>
      </c>
      <c r="C4" s="46">
        <v>123.8</v>
      </c>
      <c r="D4" s="46">
        <v>12.1</v>
      </c>
      <c r="G4" s="48"/>
      <c r="H4" s="48"/>
      <c r="I4" s="48"/>
    </row>
    <row r="5" spans="1:9" x14ac:dyDescent="0.25">
      <c r="A5" s="1" t="s">
        <v>30</v>
      </c>
      <c r="B5" s="49">
        <f>B4/B8</f>
        <v>0.94896193771626303</v>
      </c>
      <c r="C5" s="49">
        <f>C4/C8</f>
        <v>1.8395245170876673</v>
      </c>
      <c r="D5" s="49">
        <f>D4/D8</f>
        <v>0.54999999999999993</v>
      </c>
      <c r="G5" s="48"/>
      <c r="H5" s="48"/>
      <c r="I5" s="48"/>
    </row>
    <row r="6" spans="1:9" x14ac:dyDescent="0.25">
      <c r="G6" s="51"/>
      <c r="H6" s="51"/>
      <c r="I6" s="51"/>
    </row>
    <row r="7" spans="1:9" x14ac:dyDescent="0.25">
      <c r="A7" s="1" t="s">
        <v>20</v>
      </c>
      <c r="B7" s="52">
        <v>26.76</v>
      </c>
      <c r="C7" s="52">
        <v>46.83</v>
      </c>
      <c r="D7" s="52">
        <v>22.73</v>
      </c>
      <c r="G7" s="53"/>
      <c r="H7" s="53"/>
      <c r="I7" s="53"/>
    </row>
    <row r="8" spans="1:9" x14ac:dyDescent="0.25">
      <c r="A8" s="1" t="s">
        <v>53</v>
      </c>
      <c r="B8" s="54">
        <v>231.2</v>
      </c>
      <c r="C8" s="54">
        <v>67.3</v>
      </c>
      <c r="D8" s="54">
        <v>22</v>
      </c>
      <c r="G8" s="53"/>
      <c r="H8" s="53"/>
      <c r="I8" s="53"/>
    </row>
    <row r="9" spans="1:9" x14ac:dyDescent="0.25">
      <c r="A9" s="1" t="s">
        <v>33</v>
      </c>
      <c r="B9" s="46">
        <f>B7*B8</f>
        <v>6186.9120000000003</v>
      </c>
      <c r="C9" s="46">
        <f t="shared" ref="C9:D9" si="0">C7*C8</f>
        <v>3151.6589999999997</v>
      </c>
      <c r="D9" s="46">
        <f t="shared" si="0"/>
        <v>500.06</v>
      </c>
      <c r="G9" s="55"/>
      <c r="H9" s="55"/>
      <c r="I9" s="55"/>
    </row>
    <row r="10" spans="1:9" x14ac:dyDescent="0.25">
      <c r="A10" s="1" t="s">
        <v>32</v>
      </c>
      <c r="B10" s="46">
        <v>5887</v>
      </c>
      <c r="C10" s="46">
        <v>355</v>
      </c>
      <c r="D10" s="46">
        <v>289</v>
      </c>
      <c r="G10" s="55"/>
      <c r="H10" s="55"/>
      <c r="I10" s="55"/>
    </row>
    <row r="11" spans="1:9" x14ac:dyDescent="0.25">
      <c r="A11" s="1" t="s">
        <v>18</v>
      </c>
      <c r="B11" s="46">
        <v>10267.1</v>
      </c>
      <c r="C11" s="46">
        <v>3465.9</v>
      </c>
      <c r="D11" s="46">
        <v>862.4</v>
      </c>
      <c r="G11" s="55"/>
      <c r="H11" s="55"/>
      <c r="I11" s="55"/>
    </row>
    <row r="12" spans="1:9" x14ac:dyDescent="0.25">
      <c r="A12" s="2" t="s">
        <v>34</v>
      </c>
      <c r="B12" s="56">
        <v>1.69</v>
      </c>
      <c r="C12" s="56">
        <v>1.25</v>
      </c>
      <c r="D12" s="56">
        <v>1.56</v>
      </c>
      <c r="G12" s="57"/>
      <c r="H12" s="57"/>
      <c r="I12" s="57"/>
    </row>
    <row r="13" spans="1:9" x14ac:dyDescent="0.25">
      <c r="A13" s="1" t="s">
        <v>74</v>
      </c>
    </row>
    <row r="14" spans="1:9" x14ac:dyDescent="0.25">
      <c r="A14" s="1" t="s">
        <v>73</v>
      </c>
      <c r="B14" s="58"/>
      <c r="C14" s="58"/>
      <c r="D14" s="58"/>
    </row>
    <row r="15" spans="1:9" x14ac:dyDescent="0.25">
      <c r="A15" s="1" t="s">
        <v>88</v>
      </c>
      <c r="B15" s="59"/>
      <c r="C15" s="59"/>
      <c r="D15" s="59"/>
    </row>
    <row r="16" spans="1:9" x14ac:dyDescent="0.25">
      <c r="B16" s="60"/>
      <c r="C16" s="60"/>
      <c r="D16" s="60"/>
    </row>
    <row r="17" spans="1:5" x14ac:dyDescent="0.25">
      <c r="A17" s="1" t="s">
        <v>87</v>
      </c>
      <c r="B17" s="62">
        <f>B12*1/(1+(1-0.35)*(B10/B9))</f>
        <v>1.0441824495863667</v>
      </c>
      <c r="C17" s="62">
        <f>C12*1/(1+(1-0.35)*(C10/C9))</f>
        <v>1.1647242394399968</v>
      </c>
      <c r="D17" s="62">
        <f>D12*1/(1+(1-0.35)*(D10/D9))</f>
        <v>1.1340053204634328</v>
      </c>
      <c r="E17" s="63">
        <f>(B17+C17+D17)/3</f>
        <v>1.1143040031632656</v>
      </c>
    </row>
    <row r="18" spans="1:5" x14ac:dyDescent="0.25">
      <c r="B18" s="61"/>
      <c r="C18" s="61"/>
      <c r="D18" s="61" t="s">
        <v>89</v>
      </c>
      <c r="E18" s="1">
        <v>1.1100000000000001</v>
      </c>
    </row>
    <row r="19" spans="1:5" x14ac:dyDescent="0.25">
      <c r="A19" s="1" t="s">
        <v>75</v>
      </c>
      <c r="B19" s="61"/>
      <c r="C19" s="61"/>
      <c r="D19" s="61"/>
    </row>
    <row r="20" spans="1:5" x14ac:dyDescent="0.25">
      <c r="A20" s="1" t="s">
        <v>76</v>
      </c>
      <c r="B20" s="61"/>
      <c r="C20" s="61"/>
      <c r="D20" s="61"/>
    </row>
    <row r="21" spans="1:5" x14ac:dyDescent="0.25">
      <c r="B21" s="60"/>
      <c r="C21" s="60"/>
      <c r="D21" s="60"/>
    </row>
    <row r="22" spans="1:5" x14ac:dyDescent="0.25">
      <c r="A22" s="1" t="s">
        <v>90</v>
      </c>
    </row>
    <row r="24" spans="1:5" x14ac:dyDescent="0.25">
      <c r="A24" s="1" t="s">
        <v>37</v>
      </c>
      <c r="B24" s="37">
        <v>2.5600000000000001E-2</v>
      </c>
      <c r="C24" s="1"/>
      <c r="D24" s="1"/>
    </row>
    <row r="25" spans="1:5" x14ac:dyDescent="0.25">
      <c r="A25" s="43" t="s">
        <v>40</v>
      </c>
      <c r="B25" s="44">
        <v>5.8999999999999997E-2</v>
      </c>
      <c r="C25" s="1"/>
      <c r="D25" s="1"/>
    </row>
    <row r="26" spans="1:5" x14ac:dyDescent="0.25">
      <c r="C26" s="64">
        <f>B24+E18*B25</f>
        <v>9.1090000000000004E-2</v>
      </c>
    </row>
    <row r="28" spans="1:5" x14ac:dyDescent="0.25">
      <c r="A28" s="1" t="s">
        <v>77</v>
      </c>
    </row>
    <row r="30" spans="1:5" x14ac:dyDescent="0.25">
      <c r="A30" s="1" t="s">
        <v>78</v>
      </c>
    </row>
    <row r="31" spans="1:5" x14ac:dyDescent="0.25">
      <c r="A31" s="1" t="s">
        <v>79</v>
      </c>
    </row>
    <row r="32" spans="1:5" x14ac:dyDescent="0.25">
      <c r="A32" s="1" t="s">
        <v>80</v>
      </c>
    </row>
    <row r="34" spans="1:5" x14ac:dyDescent="0.25">
      <c r="A34" s="1" t="s">
        <v>81</v>
      </c>
      <c r="B34" s="62">
        <f>B10/B9</f>
        <v>0.95152476712130374</v>
      </c>
      <c r="C34" s="62">
        <f>C10/C9</f>
        <v>0.11263908944463853</v>
      </c>
      <c r="D34" s="62">
        <f>D10/D9</f>
        <v>0.57793064832220131</v>
      </c>
      <c r="E34" s="65">
        <f>AVERAGE(B34:D34)</f>
        <v>0.5473648349627146</v>
      </c>
    </row>
    <row r="35" spans="1:5" x14ac:dyDescent="0.25">
      <c r="D35" s="70" t="s">
        <v>91</v>
      </c>
      <c r="E35" s="68">
        <f>0.55</f>
        <v>0.55000000000000004</v>
      </c>
    </row>
    <row r="37" spans="1:5" x14ac:dyDescent="0.25">
      <c r="A37" s="1" t="s">
        <v>86</v>
      </c>
    </row>
    <row r="39" spans="1:5" x14ac:dyDescent="0.25">
      <c r="A39" s="1" t="s">
        <v>82</v>
      </c>
      <c r="B39" s="60">
        <f>1.1*(1+(1-0.35)*E35)</f>
        <v>1.49325</v>
      </c>
      <c r="C39" s="66"/>
    </row>
    <row r="40" spans="1:5" x14ac:dyDescent="0.25">
      <c r="A40" s="68" t="s">
        <v>85</v>
      </c>
      <c r="B40" s="70">
        <v>1.49</v>
      </c>
    </row>
    <row r="42" spans="1:5" x14ac:dyDescent="0.25">
      <c r="A42" s="1" t="s">
        <v>83</v>
      </c>
      <c r="B42" s="71">
        <f>B24+B40*B25</f>
        <v>0.11350999999999999</v>
      </c>
    </row>
    <row r="43" spans="1:5" x14ac:dyDescent="0.25">
      <c r="A43" s="1" t="s">
        <v>86</v>
      </c>
      <c r="B43" s="67"/>
      <c r="C43" s="1"/>
      <c r="D43" s="1"/>
    </row>
    <row r="44" spans="1:5" x14ac:dyDescent="0.25">
      <c r="A44" s="42" t="s">
        <v>58</v>
      </c>
      <c r="B44" s="1"/>
    </row>
    <row r="45" spans="1:5" x14ac:dyDescent="0.25">
      <c r="A45" s="1" t="s">
        <v>39</v>
      </c>
      <c r="B45" s="64">
        <v>4.5199999999999997E-2</v>
      </c>
    </row>
    <row r="46" spans="1:5" x14ac:dyDescent="0.25">
      <c r="A46" s="68" t="s">
        <v>84</v>
      </c>
      <c r="B46" s="69">
        <f>(1/1.55)*11.35%+(0.55/1.55)*(1-0.35)*4.519%</f>
        <v>8.3648661290322571E-2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465E-4D58-43AB-813B-36B308FF2C92}">
  <dimension ref="A1:K47"/>
  <sheetViews>
    <sheetView workbookViewId="0">
      <selection activeCell="K17" sqref="K17"/>
    </sheetView>
  </sheetViews>
  <sheetFormatPr baseColWidth="10" defaultColWidth="8.88671875" defaultRowHeight="14.4" x14ac:dyDescent="0.3"/>
  <cols>
    <col min="1" max="1" width="3.44140625" customWidth="1"/>
    <col min="2" max="2" width="22.88671875" style="1" customWidth="1"/>
    <col min="3" max="3" width="7.33203125" style="1" customWidth="1"/>
    <col min="4" max="4" width="7.6640625" style="1" customWidth="1"/>
    <col min="5" max="5" width="7.109375" style="1" customWidth="1"/>
    <col min="6" max="6" width="7.88671875" style="1" customWidth="1"/>
    <col min="7" max="7" width="7.33203125" style="1" customWidth="1"/>
    <col min="8" max="8" width="7.88671875" style="1" customWidth="1"/>
  </cols>
  <sheetData>
    <row r="1" spans="1:11" x14ac:dyDescent="0.3">
      <c r="A1" s="3" t="s">
        <v>118</v>
      </c>
      <c r="B1" s="3"/>
      <c r="C1" s="2"/>
      <c r="D1" s="2"/>
      <c r="E1" s="2"/>
      <c r="F1" s="2"/>
      <c r="G1" s="2"/>
      <c r="H1" s="2"/>
    </row>
    <row r="2" spans="1:11" x14ac:dyDescent="0.3">
      <c r="A2" s="14"/>
      <c r="B2" s="2"/>
      <c r="C2" s="9">
        <v>2015</v>
      </c>
      <c r="D2" s="9">
        <v>2016</v>
      </c>
      <c r="E2" s="9">
        <v>2017</v>
      </c>
      <c r="F2" s="9">
        <v>2018</v>
      </c>
      <c r="G2" s="9">
        <v>2019</v>
      </c>
      <c r="H2" s="9">
        <v>2020</v>
      </c>
    </row>
    <row r="3" spans="1:11" x14ac:dyDescent="0.3">
      <c r="A3" s="41" t="s">
        <v>44</v>
      </c>
      <c r="B3" s="1" t="s">
        <v>92</v>
      </c>
      <c r="C3" s="37">
        <v>8.3599999999999994E-2</v>
      </c>
      <c r="D3" s="37">
        <v>8.3599999999999994E-2</v>
      </c>
      <c r="E3" s="37">
        <v>8.3599999999999994E-2</v>
      </c>
      <c r="F3" s="37">
        <v>8.3599999999999994E-2</v>
      </c>
      <c r="G3" s="37">
        <v>8.3599999999999994E-2</v>
      </c>
      <c r="H3" s="37">
        <v>8.3599999999999994E-2</v>
      </c>
      <c r="I3" s="37"/>
      <c r="J3" s="37"/>
      <c r="K3" s="37"/>
    </row>
    <row r="4" spans="1:11" x14ac:dyDescent="0.3">
      <c r="A4" s="1" t="s">
        <v>44</v>
      </c>
      <c r="B4" s="88" t="s">
        <v>93</v>
      </c>
      <c r="C4" s="89">
        <v>0.05</v>
      </c>
      <c r="D4" s="89">
        <v>0.05</v>
      </c>
      <c r="E4" s="89">
        <v>0.05</v>
      </c>
      <c r="F4" s="89">
        <v>0.05</v>
      </c>
      <c r="G4" s="89">
        <v>0.05</v>
      </c>
      <c r="H4" s="89">
        <v>0.04</v>
      </c>
    </row>
    <row r="5" spans="1:11" x14ac:dyDescent="0.3">
      <c r="A5" s="1" t="s">
        <v>44</v>
      </c>
      <c r="B5" s="88" t="s">
        <v>94</v>
      </c>
      <c r="C5" s="37">
        <v>1.4999999999999999E-2</v>
      </c>
      <c r="D5" s="37">
        <v>1.4999999999999999E-2</v>
      </c>
      <c r="E5" s="37">
        <v>1.4999999999999999E-2</v>
      </c>
      <c r="F5" s="37">
        <v>1.4999999999999999E-2</v>
      </c>
      <c r="G5" s="37">
        <v>1.4999999999999999E-2</v>
      </c>
      <c r="H5" s="37">
        <v>1.4999999999999999E-2</v>
      </c>
    </row>
    <row r="6" spans="1:11" x14ac:dyDescent="0.3">
      <c r="A6" s="1" t="s">
        <v>44</v>
      </c>
      <c r="B6" s="88" t="s">
        <v>95</v>
      </c>
      <c r="C6" s="37">
        <v>7.3999999999999996E-2</v>
      </c>
      <c r="D6" s="37">
        <v>7.3999999999999996E-2</v>
      </c>
      <c r="E6" s="37">
        <v>7.3999999999999996E-2</v>
      </c>
      <c r="F6" s="37">
        <v>7.3999999999999996E-2</v>
      </c>
      <c r="G6" s="37">
        <v>7.3999999999999996E-2</v>
      </c>
      <c r="H6" s="37">
        <v>7.3999999999999996E-2</v>
      </c>
    </row>
    <row r="7" spans="1:11" x14ac:dyDescent="0.3">
      <c r="A7" s="1" t="s">
        <v>44</v>
      </c>
      <c r="B7" s="88" t="s">
        <v>96</v>
      </c>
      <c r="C7" s="37">
        <v>0.01</v>
      </c>
      <c r="D7" s="37">
        <v>0.01</v>
      </c>
      <c r="E7" s="37">
        <v>0.01</v>
      </c>
      <c r="F7" s="37">
        <v>0.01</v>
      </c>
      <c r="G7" s="37">
        <v>0.01</v>
      </c>
      <c r="H7" s="37">
        <v>0.01</v>
      </c>
    </row>
    <row r="8" spans="1:11" x14ac:dyDescent="0.3">
      <c r="A8" s="1" t="s">
        <v>44</v>
      </c>
      <c r="B8" s="88" t="s">
        <v>97</v>
      </c>
      <c r="C8" s="90">
        <f>'Exhibit 1'!F4*1.05</f>
        <v>362.77500000000003</v>
      </c>
      <c r="D8" s="90">
        <f>C8*(1.05)</f>
        <v>380.91375000000005</v>
      </c>
      <c r="E8" s="90">
        <f t="shared" ref="E8:H8" si="0">D8*(1.05)</f>
        <v>399.95943750000009</v>
      </c>
      <c r="F8" s="90">
        <f t="shared" si="0"/>
        <v>419.95740937500011</v>
      </c>
      <c r="G8" s="90">
        <f t="shared" si="0"/>
        <v>440.95527984375013</v>
      </c>
      <c r="H8" s="90">
        <f t="shared" si="0"/>
        <v>463.00304383593766</v>
      </c>
    </row>
    <row r="9" spans="1:11" x14ac:dyDescent="0.3">
      <c r="A9" s="1" t="s">
        <v>44</v>
      </c>
      <c r="B9" s="88" t="s">
        <v>98</v>
      </c>
      <c r="C9" s="90">
        <f t="shared" ref="C9:H9" si="1">C8*C5</f>
        <v>5.4416250000000002</v>
      </c>
      <c r="D9" s="90">
        <f t="shared" si="1"/>
        <v>5.7137062500000004</v>
      </c>
      <c r="E9" s="90">
        <f t="shared" si="1"/>
        <v>5.9993915625000014</v>
      </c>
      <c r="F9" s="90">
        <f t="shared" si="1"/>
        <v>6.2993611406250016</v>
      </c>
      <c r="G9" s="90">
        <f t="shared" si="1"/>
        <v>6.6143291976562519</v>
      </c>
      <c r="H9" s="90">
        <f t="shared" si="1"/>
        <v>6.9450456575390644</v>
      </c>
    </row>
    <row r="10" spans="1:11" x14ac:dyDescent="0.3">
      <c r="A10" s="1" t="s">
        <v>44</v>
      </c>
      <c r="B10" s="88" t="s">
        <v>99</v>
      </c>
      <c r="C10" s="90">
        <f t="shared" ref="C10:H10" si="2">C9*0.35</f>
        <v>1.9045687499999999</v>
      </c>
      <c r="D10" s="90">
        <f t="shared" si="2"/>
        <v>1.9997971875</v>
      </c>
      <c r="E10" s="90">
        <f t="shared" si="2"/>
        <v>2.0997870468750004</v>
      </c>
      <c r="F10" s="90">
        <f t="shared" si="2"/>
        <v>2.2047763992187503</v>
      </c>
      <c r="G10" s="90">
        <f t="shared" si="2"/>
        <v>2.315015219179688</v>
      </c>
      <c r="H10" s="90">
        <f t="shared" si="2"/>
        <v>2.4307659801386725</v>
      </c>
    </row>
    <row r="11" spans="1:11" x14ac:dyDescent="0.3">
      <c r="A11" s="1" t="s">
        <v>44</v>
      </c>
      <c r="B11" s="88" t="s">
        <v>100</v>
      </c>
      <c r="C11" s="90">
        <f>C9-C10</f>
        <v>3.53705625</v>
      </c>
      <c r="D11" s="90">
        <f t="shared" ref="D11:H11" si="3">D9-D10</f>
        <v>3.7139090625000004</v>
      </c>
      <c r="E11" s="90">
        <f t="shared" si="3"/>
        <v>3.899604515625001</v>
      </c>
      <c r="F11" s="90">
        <f t="shared" si="3"/>
        <v>4.0945847414062513</v>
      </c>
      <c r="G11" s="90">
        <f t="shared" si="3"/>
        <v>4.2993139784765635</v>
      </c>
      <c r="H11" s="90">
        <f t="shared" si="3"/>
        <v>4.5142796774003919</v>
      </c>
    </row>
    <row r="12" spans="1:11" x14ac:dyDescent="0.3">
      <c r="A12" s="1" t="s">
        <v>44</v>
      </c>
      <c r="B12" s="91" t="s">
        <v>14</v>
      </c>
      <c r="C12" s="90">
        <f>'Exhibit 3'!B6</f>
        <v>2.1</v>
      </c>
      <c r="D12" s="90">
        <f>'Exhibit 3'!C6</f>
        <v>2.4</v>
      </c>
      <c r="E12" s="90">
        <f>'Exhibit 3'!D6</f>
        <v>2.6999999999999997</v>
      </c>
      <c r="F12" s="90">
        <f>'Exhibit 3'!E6</f>
        <v>2.9999999999999996</v>
      </c>
      <c r="G12" s="90">
        <f>'Exhibit 3'!F6</f>
        <v>3.2999999999999994</v>
      </c>
      <c r="H12" s="90">
        <f>G12+0.3</f>
        <v>3.5999999999999992</v>
      </c>
    </row>
    <row r="13" spans="1:11" x14ac:dyDescent="0.3">
      <c r="A13" s="1" t="s">
        <v>44</v>
      </c>
      <c r="B13" s="88" t="s">
        <v>95</v>
      </c>
      <c r="C13" s="90">
        <f t="shared" ref="C13:H13" si="4">C6*C8</f>
        <v>26.84535</v>
      </c>
      <c r="D13" s="90">
        <f t="shared" si="4"/>
        <v>28.187617500000002</v>
      </c>
      <c r="E13" s="90">
        <f t="shared" si="4"/>
        <v>29.596998375000005</v>
      </c>
      <c r="F13" s="90">
        <f t="shared" si="4"/>
        <v>31.076848293750007</v>
      </c>
      <c r="G13" s="90">
        <f t="shared" si="4"/>
        <v>32.630690708437506</v>
      </c>
      <c r="H13" s="90">
        <f t="shared" si="4"/>
        <v>34.262225243859383</v>
      </c>
      <c r="I13" s="112">
        <f>C13-25.5</f>
        <v>1.3453499999999998</v>
      </c>
    </row>
    <row r="14" spans="1:11" x14ac:dyDescent="0.3">
      <c r="A14" s="1" t="s">
        <v>44</v>
      </c>
      <c r="B14" s="88" t="s">
        <v>101</v>
      </c>
      <c r="C14" s="90">
        <f>C13-('Exhibit 1'!F20-'Exhibit 1'!F17-'Exhibit 1'!F25)</f>
        <v>1.3453499999999927</v>
      </c>
      <c r="D14" s="90">
        <f>D13-C13</f>
        <v>1.3422675000000019</v>
      </c>
      <c r="E14" s="90">
        <f t="shared" ref="E14:H14" si="5">E13-D13</f>
        <v>1.4093808750000036</v>
      </c>
      <c r="F14" s="90">
        <f t="shared" si="5"/>
        <v>1.479849918750002</v>
      </c>
      <c r="G14" s="90">
        <f t="shared" si="5"/>
        <v>1.5538424146874981</v>
      </c>
      <c r="H14" s="90">
        <f t="shared" si="5"/>
        <v>1.6315345354218778</v>
      </c>
    </row>
    <row r="15" spans="1:11" x14ac:dyDescent="0.3">
      <c r="A15" s="1" t="s">
        <v>44</v>
      </c>
      <c r="B15" s="88" t="s">
        <v>96</v>
      </c>
      <c r="C15" s="90">
        <f t="shared" ref="C15:H15" si="6">C7*C8</f>
        <v>3.6277500000000003</v>
      </c>
      <c r="D15" s="90">
        <f t="shared" si="6"/>
        <v>3.8091375000000007</v>
      </c>
      <c r="E15" s="90">
        <f t="shared" si="6"/>
        <v>3.9995943750000009</v>
      </c>
      <c r="F15" s="90">
        <f t="shared" si="6"/>
        <v>4.1995740937500008</v>
      </c>
      <c r="G15" s="90">
        <f t="shared" si="6"/>
        <v>4.4095527984375016</v>
      </c>
      <c r="H15" s="90">
        <f t="shared" si="6"/>
        <v>4.6300304383593769</v>
      </c>
    </row>
    <row r="16" spans="1:11" x14ac:dyDescent="0.3">
      <c r="A16" s="1" t="s">
        <v>44</v>
      </c>
      <c r="B16" s="88" t="s">
        <v>102</v>
      </c>
      <c r="C16" s="90">
        <f t="shared" ref="C16:H16" si="7">C11+C12-C14-C15</f>
        <v>0.66395625000000758</v>
      </c>
      <c r="D16" s="90">
        <f t="shared" si="7"/>
        <v>0.96250406249999765</v>
      </c>
      <c r="E16" s="90">
        <f t="shared" si="7"/>
        <v>1.1906292656249962</v>
      </c>
      <c r="F16" s="90">
        <f t="shared" si="7"/>
        <v>1.4151607289062484</v>
      </c>
      <c r="G16" s="90">
        <f t="shared" si="7"/>
        <v>1.6359187653515628</v>
      </c>
      <c r="H16" s="90">
        <f t="shared" si="7"/>
        <v>1.8527147036191369</v>
      </c>
    </row>
    <row r="17" spans="1:8" x14ac:dyDescent="0.3">
      <c r="A17" s="1" t="s">
        <v>44</v>
      </c>
      <c r="B17" s="88" t="s">
        <v>103</v>
      </c>
      <c r="C17" s="92"/>
      <c r="D17" s="92"/>
      <c r="E17" s="92"/>
      <c r="F17" s="92"/>
      <c r="G17" s="93">
        <f>H16/(G3-0.04)</f>
        <v>42.493456505026082</v>
      </c>
      <c r="H17" s="94"/>
    </row>
    <row r="18" spans="1:8" x14ac:dyDescent="0.3">
      <c r="A18" s="2" t="s">
        <v>44</v>
      </c>
      <c r="B18" s="95" t="s">
        <v>104</v>
      </c>
      <c r="C18" s="96">
        <f>C16/(1+$C$3)+D16/((1+$D$3)^2)+E16/((1+$E$3)^3)+F16/((1+$F$3)^4)+G16/((1+$G$3)^5)+G17/((1+$G$3)^5)</f>
        <v>32.932768476449077</v>
      </c>
      <c r="D18" s="97"/>
      <c r="E18" s="97"/>
      <c r="F18" s="97"/>
      <c r="G18" s="97"/>
      <c r="H18" s="97"/>
    </row>
    <row r="19" spans="1:8" x14ac:dyDescent="0.3">
      <c r="C19" s="92"/>
      <c r="D19" s="92"/>
      <c r="E19" s="92"/>
      <c r="F19" s="92"/>
      <c r="G19" s="92"/>
      <c r="H19" s="92"/>
    </row>
    <row r="20" spans="1:8" x14ac:dyDescent="0.3">
      <c r="C20" s="92"/>
      <c r="D20" s="92"/>
      <c r="E20" s="92"/>
      <c r="F20" s="92"/>
      <c r="G20" s="92"/>
      <c r="H20" s="92"/>
    </row>
    <row r="21" spans="1:8" x14ac:dyDescent="0.3">
      <c r="B21" s="98"/>
      <c r="C21" s="92"/>
      <c r="D21" s="92"/>
      <c r="E21" s="92"/>
      <c r="F21" s="92"/>
      <c r="G21" s="92"/>
      <c r="H21" s="92"/>
    </row>
    <row r="22" spans="1:8" x14ac:dyDescent="0.3">
      <c r="B22" s="99"/>
      <c r="C22" s="100"/>
      <c r="D22" s="100"/>
      <c r="E22" s="100"/>
      <c r="F22" s="100"/>
      <c r="G22" s="100"/>
      <c r="H22" s="100"/>
    </row>
    <row r="23" spans="1:8" x14ac:dyDescent="0.3">
      <c r="B23" s="99"/>
      <c r="C23" s="37"/>
      <c r="D23" s="37"/>
      <c r="E23" s="37"/>
      <c r="F23" s="37"/>
      <c r="G23" s="37"/>
      <c r="H23" s="37"/>
    </row>
    <row r="24" spans="1:8" x14ac:dyDescent="0.3">
      <c r="B24" s="99"/>
      <c r="C24" s="37"/>
      <c r="D24" s="37"/>
      <c r="E24" s="37"/>
      <c r="F24" s="37"/>
      <c r="G24" s="37"/>
      <c r="H24" s="37"/>
    </row>
    <row r="25" spans="1:8" x14ac:dyDescent="0.3">
      <c r="B25" s="99"/>
      <c r="C25" s="37"/>
      <c r="D25" s="37"/>
      <c r="E25" s="37"/>
      <c r="F25" s="37"/>
      <c r="G25" s="37"/>
      <c r="H25" s="37"/>
    </row>
    <row r="26" spans="1:8" x14ac:dyDescent="0.3">
      <c r="C26" s="92"/>
      <c r="D26" s="92"/>
      <c r="E26" s="92"/>
      <c r="F26" s="92"/>
      <c r="G26" s="92"/>
      <c r="H26" s="92"/>
    </row>
    <row r="27" spans="1:8" x14ac:dyDescent="0.3">
      <c r="B27" s="98"/>
    </row>
    <row r="28" spans="1:8" x14ac:dyDescent="0.3">
      <c r="B28" s="99"/>
      <c r="C28" s="92"/>
      <c r="D28" s="92"/>
      <c r="E28" s="92"/>
      <c r="F28" s="92"/>
      <c r="G28" s="92"/>
      <c r="H28" s="92"/>
    </row>
    <row r="29" spans="1:8" x14ac:dyDescent="0.3">
      <c r="C29" s="92"/>
      <c r="D29" s="92"/>
      <c r="E29" s="92"/>
      <c r="F29" s="92"/>
      <c r="G29" s="92"/>
      <c r="H29" s="92"/>
    </row>
    <row r="30" spans="1:8" x14ac:dyDescent="0.3">
      <c r="C30" s="92"/>
      <c r="D30" s="92"/>
      <c r="E30" s="92"/>
      <c r="F30" s="92"/>
      <c r="G30" s="92"/>
      <c r="H30" s="92"/>
    </row>
    <row r="31" spans="1:8" x14ac:dyDescent="0.3">
      <c r="C31" s="92"/>
      <c r="D31" s="92"/>
      <c r="E31" s="92"/>
      <c r="F31" s="92"/>
      <c r="G31" s="92"/>
      <c r="H31" s="92"/>
    </row>
    <row r="32" spans="1:8" x14ac:dyDescent="0.3">
      <c r="C32" s="92"/>
      <c r="D32" s="92"/>
      <c r="E32" s="92"/>
      <c r="F32" s="92"/>
      <c r="G32" s="92"/>
      <c r="H32" s="92"/>
    </row>
    <row r="33" spans="2:8" x14ac:dyDescent="0.3">
      <c r="C33" s="92"/>
      <c r="D33" s="92"/>
      <c r="E33" s="92"/>
      <c r="F33" s="92"/>
      <c r="G33" s="92"/>
      <c r="H33" s="92"/>
    </row>
    <row r="34" spans="2:8" x14ac:dyDescent="0.3">
      <c r="B34" s="6"/>
      <c r="C34" s="92"/>
      <c r="D34" s="92"/>
      <c r="E34" s="92"/>
      <c r="F34" s="92"/>
      <c r="G34" s="92"/>
      <c r="H34" s="92"/>
    </row>
    <row r="35" spans="2:8" x14ac:dyDescent="0.3">
      <c r="C35" s="92"/>
      <c r="D35" s="92"/>
      <c r="E35" s="92"/>
      <c r="F35" s="92"/>
      <c r="G35" s="92"/>
      <c r="H35" s="92"/>
    </row>
    <row r="36" spans="2:8" x14ac:dyDescent="0.3">
      <c r="B36" s="99"/>
      <c r="C36" s="92"/>
      <c r="D36" s="92"/>
      <c r="E36" s="92"/>
      <c r="F36" s="92"/>
      <c r="G36" s="92"/>
      <c r="H36" s="92"/>
    </row>
    <row r="37" spans="2:8" x14ac:dyDescent="0.3">
      <c r="C37" s="92"/>
      <c r="D37" s="92"/>
      <c r="E37" s="92"/>
      <c r="F37" s="92"/>
      <c r="G37" s="92"/>
      <c r="H37" s="92"/>
    </row>
    <row r="38" spans="2:8" x14ac:dyDescent="0.3">
      <c r="C38" s="92"/>
      <c r="D38" s="92"/>
      <c r="E38" s="92"/>
      <c r="F38" s="92"/>
      <c r="G38" s="94"/>
      <c r="H38" s="94"/>
    </row>
    <row r="39" spans="2:8" x14ac:dyDescent="0.3">
      <c r="B39" s="68"/>
      <c r="C39" s="101"/>
      <c r="D39" s="92"/>
      <c r="E39" s="92"/>
      <c r="F39" s="92"/>
      <c r="G39" s="92"/>
      <c r="H39" s="92"/>
    </row>
    <row r="40" spans="2:8" x14ac:dyDescent="0.3">
      <c r="C40" s="92"/>
      <c r="D40" s="92"/>
      <c r="E40" s="92"/>
      <c r="F40" s="92"/>
      <c r="G40" s="92"/>
      <c r="H40" s="92"/>
    </row>
    <row r="41" spans="2:8" x14ac:dyDescent="0.3">
      <c r="C41" s="92"/>
      <c r="D41" s="92"/>
      <c r="E41" s="92"/>
      <c r="F41" s="92"/>
      <c r="G41" s="92"/>
      <c r="H41" s="92"/>
    </row>
    <row r="42" spans="2:8" x14ac:dyDescent="0.3">
      <c r="C42" s="92"/>
      <c r="D42" s="92"/>
      <c r="E42" s="92"/>
      <c r="F42" s="92"/>
      <c r="G42" s="94"/>
      <c r="H42" s="92"/>
    </row>
    <row r="43" spans="2:8" x14ac:dyDescent="0.3">
      <c r="B43" s="68"/>
      <c r="C43" s="101"/>
      <c r="D43" s="92"/>
      <c r="E43" s="92"/>
      <c r="F43" s="92"/>
      <c r="G43" s="92"/>
      <c r="H43" s="92"/>
    </row>
    <row r="44" spans="2:8" x14ac:dyDescent="0.3">
      <c r="B44" s="68"/>
      <c r="C44" s="92"/>
      <c r="D44" s="92"/>
      <c r="E44" s="92"/>
      <c r="F44" s="92"/>
      <c r="G44" s="92"/>
      <c r="H44" s="92"/>
    </row>
    <row r="45" spans="2:8" x14ac:dyDescent="0.3">
      <c r="B45" s="68"/>
      <c r="C45" s="101"/>
      <c r="D45" s="92"/>
      <c r="E45" s="92"/>
      <c r="F45" s="92"/>
      <c r="G45" s="92"/>
      <c r="H45" s="92"/>
    </row>
    <row r="47" spans="2:8" x14ac:dyDescent="0.3">
      <c r="B47" s="68"/>
      <c r="C47" s="10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C6B0-76D4-4AF2-BF8F-F989A3D6F54F}">
  <dimension ref="A1:K39"/>
  <sheetViews>
    <sheetView tabSelected="1" topLeftCell="A21" zoomScale="120" zoomScaleNormal="120" workbookViewId="0">
      <selection activeCell="E38" sqref="E38"/>
    </sheetView>
  </sheetViews>
  <sheetFormatPr baseColWidth="10" defaultRowHeight="14.4" x14ac:dyDescent="0.3"/>
  <cols>
    <col min="2" max="2" width="26.33203125" customWidth="1"/>
    <col min="3" max="4" width="6" bestFit="1" customWidth="1"/>
    <col min="5" max="11" width="5.44140625" bestFit="1" customWidth="1"/>
  </cols>
  <sheetData>
    <row r="1" spans="1:11" x14ac:dyDescent="0.3">
      <c r="A1" s="7" t="s">
        <v>117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8"/>
      <c r="B2" s="8"/>
      <c r="C2" s="9">
        <v>2015</v>
      </c>
      <c r="D2" s="9">
        <v>2016</v>
      </c>
      <c r="E2" s="9">
        <v>2017</v>
      </c>
      <c r="F2" s="9">
        <v>2018</v>
      </c>
      <c r="G2" s="9">
        <v>2019</v>
      </c>
      <c r="H2" s="9">
        <v>2020</v>
      </c>
      <c r="I2" s="9">
        <v>2021</v>
      </c>
      <c r="J2" s="9">
        <v>2022</v>
      </c>
      <c r="K2" s="9">
        <v>2023</v>
      </c>
    </row>
    <row r="3" spans="1:11" x14ac:dyDescent="0.3">
      <c r="A3" s="6" t="s">
        <v>44</v>
      </c>
      <c r="B3" s="6" t="s">
        <v>92</v>
      </c>
      <c r="C3" s="73">
        <v>8.3599999999999994E-2</v>
      </c>
      <c r="D3" s="73">
        <f>C3</f>
        <v>8.3599999999999994E-2</v>
      </c>
      <c r="E3" s="73">
        <f t="shared" ref="E3:K3" si="0">D3</f>
        <v>8.3599999999999994E-2</v>
      </c>
      <c r="F3" s="73">
        <f t="shared" si="0"/>
        <v>8.3599999999999994E-2</v>
      </c>
      <c r="G3" s="73">
        <f t="shared" si="0"/>
        <v>8.3599999999999994E-2</v>
      </c>
      <c r="H3" s="73">
        <f t="shared" si="0"/>
        <v>8.3599999999999994E-2</v>
      </c>
      <c r="I3" s="73">
        <f t="shared" si="0"/>
        <v>8.3599999999999994E-2</v>
      </c>
      <c r="J3" s="73">
        <f t="shared" si="0"/>
        <v>8.3599999999999994E-2</v>
      </c>
      <c r="K3" s="73">
        <f t="shared" si="0"/>
        <v>8.3599999999999994E-2</v>
      </c>
    </row>
    <row r="4" spans="1:11" x14ac:dyDescent="0.3">
      <c r="A4" s="6" t="s">
        <v>44</v>
      </c>
      <c r="B4" s="74" t="s">
        <v>93</v>
      </c>
      <c r="C4" s="75">
        <v>0.05</v>
      </c>
      <c r="D4" s="75">
        <v>0.05</v>
      </c>
      <c r="E4" s="75">
        <v>0.05</v>
      </c>
      <c r="F4" s="75">
        <v>0.05</v>
      </c>
      <c r="G4" s="75">
        <v>0.05</v>
      </c>
      <c r="H4" s="75">
        <v>0.04</v>
      </c>
      <c r="I4" s="75">
        <v>0.04</v>
      </c>
      <c r="J4" s="75">
        <v>0.04</v>
      </c>
      <c r="K4" s="75">
        <v>0.04</v>
      </c>
    </row>
    <row r="5" spans="1:11" x14ac:dyDescent="0.3">
      <c r="A5" s="6" t="s">
        <v>44</v>
      </c>
      <c r="B5" s="74" t="s">
        <v>94</v>
      </c>
      <c r="C5" s="75">
        <v>1.4999999999999999E-2</v>
      </c>
      <c r="D5" s="75">
        <v>0.02</v>
      </c>
      <c r="E5" s="75">
        <v>2.5000000000000001E-2</v>
      </c>
      <c r="F5" s="75">
        <v>0.03</v>
      </c>
      <c r="G5" s="75">
        <f>F5</f>
        <v>0.03</v>
      </c>
      <c r="H5" s="75">
        <f>G5</f>
        <v>0.03</v>
      </c>
      <c r="I5" s="75">
        <v>0.03</v>
      </c>
      <c r="J5" s="75">
        <v>0.03</v>
      </c>
      <c r="K5" s="75">
        <v>0.03</v>
      </c>
    </row>
    <row r="6" spans="1:11" x14ac:dyDescent="0.3">
      <c r="A6" s="6" t="s">
        <v>44</v>
      </c>
      <c r="B6" s="74" t="s">
        <v>95</v>
      </c>
      <c r="C6" s="75">
        <v>7.0000000000000007E-2</v>
      </c>
      <c r="D6" s="75">
        <v>6.5000000000000002E-2</v>
      </c>
      <c r="E6" s="75">
        <v>6.3E-2</v>
      </c>
      <c r="F6" s="75">
        <v>0.06</v>
      </c>
      <c r="G6" s="75">
        <v>5.5E-2</v>
      </c>
      <c r="H6" s="75">
        <v>5.5E-2</v>
      </c>
      <c r="I6" s="75">
        <v>5.5E-2</v>
      </c>
      <c r="J6" s="75">
        <v>5.5E-2</v>
      </c>
      <c r="K6" s="75">
        <v>5.5E-2</v>
      </c>
    </row>
    <row r="7" spans="1:11" x14ac:dyDescent="0.3">
      <c r="A7" s="6" t="s">
        <v>44</v>
      </c>
      <c r="B7" s="74" t="s">
        <v>96</v>
      </c>
      <c r="C7" s="76">
        <v>0.01</v>
      </c>
      <c r="D7" s="76">
        <v>0.01</v>
      </c>
      <c r="E7" s="76">
        <v>0.01</v>
      </c>
      <c r="F7" s="76">
        <v>0.01</v>
      </c>
      <c r="G7" s="76">
        <v>0.01</v>
      </c>
      <c r="H7" s="76">
        <v>0.01</v>
      </c>
      <c r="I7" s="76">
        <v>0.01</v>
      </c>
      <c r="J7" s="76">
        <v>0.01</v>
      </c>
      <c r="K7" s="76">
        <v>0.01</v>
      </c>
    </row>
    <row r="8" spans="1:11" x14ac:dyDescent="0.3">
      <c r="A8" s="6" t="s">
        <v>44</v>
      </c>
      <c r="B8" s="74" t="s">
        <v>97</v>
      </c>
      <c r="C8" s="77">
        <f>'Exhibit 1'!F4*(1+C4)</f>
        <v>362.77500000000003</v>
      </c>
      <c r="D8" s="77">
        <f t="shared" ref="D8" si="1">C8*(1+D4)</f>
        <v>380.91375000000005</v>
      </c>
      <c r="E8" s="77">
        <f t="shared" ref="E8" si="2">D8*(1+E4)</f>
        <v>399.95943750000009</v>
      </c>
      <c r="F8" s="77">
        <f t="shared" ref="F8" si="3">E8*(1+F4)</f>
        <v>419.95740937500011</v>
      </c>
      <c r="G8" s="77">
        <f t="shared" ref="G8" si="4">F8*(1+G4)</f>
        <v>440.95527984375013</v>
      </c>
      <c r="H8" s="77">
        <f t="shared" ref="H8" si="5">G8*(1+H4)</f>
        <v>458.59349103750014</v>
      </c>
      <c r="I8" s="77">
        <f t="shared" ref="I8" si="6">H8*(1+I4)</f>
        <v>476.93723067900015</v>
      </c>
      <c r="J8" s="77">
        <f t="shared" ref="J8" si="7">I8*(1+J4)</f>
        <v>496.01471990616017</v>
      </c>
      <c r="K8" s="77">
        <f t="shared" ref="K8" si="8">J8*(1+K4)</f>
        <v>515.85530870240655</v>
      </c>
    </row>
    <row r="9" spans="1:11" x14ac:dyDescent="0.3">
      <c r="A9" s="6" t="s">
        <v>44</v>
      </c>
      <c r="B9" s="6" t="s">
        <v>98</v>
      </c>
      <c r="C9" s="77">
        <f t="shared" ref="C9:K9" si="9">C8*C5</f>
        <v>5.4416250000000002</v>
      </c>
      <c r="D9" s="77">
        <f t="shared" si="9"/>
        <v>7.6182750000000015</v>
      </c>
      <c r="E9" s="77">
        <f t="shared" si="9"/>
        <v>9.9989859375000023</v>
      </c>
      <c r="F9" s="77">
        <f t="shared" si="9"/>
        <v>12.598722281250003</v>
      </c>
      <c r="G9" s="77">
        <f t="shared" si="9"/>
        <v>13.228658395312504</v>
      </c>
      <c r="H9" s="77">
        <f t="shared" si="9"/>
        <v>13.757804731125004</v>
      </c>
      <c r="I9" s="77">
        <f t="shared" si="9"/>
        <v>14.308116920370004</v>
      </c>
      <c r="J9" s="77">
        <f t="shared" si="9"/>
        <v>14.880441597184804</v>
      </c>
      <c r="K9" s="77">
        <f t="shared" si="9"/>
        <v>15.475659261072195</v>
      </c>
    </row>
    <row r="10" spans="1:11" x14ac:dyDescent="0.3">
      <c r="A10" s="6" t="s">
        <v>44</v>
      </c>
      <c r="B10" s="6" t="s">
        <v>99</v>
      </c>
      <c r="C10" s="77">
        <f t="shared" ref="C10:K10" si="10">C9*0.35</f>
        <v>1.9045687499999999</v>
      </c>
      <c r="D10" s="77">
        <f t="shared" si="10"/>
        <v>2.6663962500000005</v>
      </c>
      <c r="E10" s="77">
        <f t="shared" si="10"/>
        <v>3.4996450781250008</v>
      </c>
      <c r="F10" s="77">
        <f t="shared" si="10"/>
        <v>4.4095527984375007</v>
      </c>
      <c r="G10" s="77">
        <f t="shared" si="10"/>
        <v>4.630030438359376</v>
      </c>
      <c r="H10" s="77">
        <f t="shared" si="10"/>
        <v>4.8152316558937516</v>
      </c>
      <c r="I10" s="77">
        <f t="shared" si="10"/>
        <v>5.0078409221295015</v>
      </c>
      <c r="J10" s="77">
        <f t="shared" si="10"/>
        <v>5.2081545590146812</v>
      </c>
      <c r="K10" s="77">
        <f t="shared" si="10"/>
        <v>5.4164807413752678</v>
      </c>
    </row>
    <row r="11" spans="1:11" x14ac:dyDescent="0.3">
      <c r="A11" s="6" t="s">
        <v>44</v>
      </c>
      <c r="B11" s="6" t="s">
        <v>100</v>
      </c>
      <c r="C11" s="78">
        <f>C9-C10</f>
        <v>3.53705625</v>
      </c>
      <c r="D11" s="78">
        <f t="shared" ref="D11:K11" si="11">D9-D10</f>
        <v>4.9518787500000006</v>
      </c>
      <c r="E11" s="78">
        <f t="shared" si="11"/>
        <v>6.4993408593750015</v>
      </c>
      <c r="F11" s="78">
        <f t="shared" si="11"/>
        <v>8.1891694828125026</v>
      </c>
      <c r="G11" s="78">
        <f t="shared" si="11"/>
        <v>8.598627956953127</v>
      </c>
      <c r="H11" s="78">
        <f t="shared" si="11"/>
        <v>8.9425730752312518</v>
      </c>
      <c r="I11" s="78">
        <f t="shared" si="11"/>
        <v>9.3002759982405028</v>
      </c>
      <c r="J11" s="78">
        <f t="shared" si="11"/>
        <v>9.672287038170122</v>
      </c>
      <c r="K11" s="78">
        <f t="shared" si="11"/>
        <v>10.059178519696928</v>
      </c>
    </row>
    <row r="12" spans="1:11" x14ac:dyDescent="0.3">
      <c r="A12" s="6" t="s">
        <v>44</v>
      </c>
      <c r="B12" s="6" t="s">
        <v>14</v>
      </c>
      <c r="C12" s="77">
        <f>'Exhibit 3'!B6</f>
        <v>2.1</v>
      </c>
      <c r="D12" s="77">
        <f>'Exhibit 3'!C6</f>
        <v>2.4</v>
      </c>
      <c r="E12" s="77">
        <f>'Exhibit 3'!D6</f>
        <v>2.6999999999999997</v>
      </c>
      <c r="F12" s="77">
        <f>'Exhibit 3'!E6</f>
        <v>2.9999999999999996</v>
      </c>
      <c r="G12" s="77">
        <f>'Exhibit 3'!F6</f>
        <v>3.2999999999999994</v>
      </c>
      <c r="H12" s="77">
        <f>G12+0.3</f>
        <v>3.5999999999999992</v>
      </c>
      <c r="I12" s="77">
        <f>H12+0.3</f>
        <v>3.899999999999999</v>
      </c>
      <c r="J12" s="77">
        <f>I12+0.3</f>
        <v>4.1999999999999993</v>
      </c>
      <c r="K12" s="77">
        <f>J12+0.3</f>
        <v>4.4999999999999991</v>
      </c>
    </row>
    <row r="13" spans="1:11" x14ac:dyDescent="0.3">
      <c r="A13" s="6" t="s">
        <v>44</v>
      </c>
      <c r="B13" s="6" t="s">
        <v>95</v>
      </c>
      <c r="C13" s="77">
        <f t="shared" ref="C13:K13" si="12">C6*C8</f>
        <v>25.394250000000003</v>
      </c>
      <c r="D13" s="77">
        <f t="shared" si="12"/>
        <v>24.759393750000005</v>
      </c>
      <c r="E13" s="77">
        <f t="shared" si="12"/>
        <v>25.197444562500007</v>
      </c>
      <c r="F13" s="77">
        <f t="shared" si="12"/>
        <v>25.197444562500007</v>
      </c>
      <c r="G13" s="77">
        <f t="shared" si="12"/>
        <v>24.252540391406257</v>
      </c>
      <c r="H13" s="77">
        <f t="shared" si="12"/>
        <v>25.222642007062507</v>
      </c>
      <c r="I13" s="77">
        <f t="shared" si="12"/>
        <v>26.23154768734501</v>
      </c>
      <c r="J13" s="77">
        <f t="shared" si="12"/>
        <v>27.280809594838811</v>
      </c>
      <c r="K13" s="77">
        <f t="shared" si="12"/>
        <v>28.37204197863236</v>
      </c>
    </row>
    <row r="14" spans="1:11" x14ac:dyDescent="0.3">
      <c r="A14" s="6" t="s">
        <v>44</v>
      </c>
      <c r="B14" s="6" t="s">
        <v>116</v>
      </c>
      <c r="C14" s="77">
        <f>C13-('Exhibit 1'!F20-'Exhibit 1'!F17-'Exhibit 1'!F25)</f>
        <v>-0.10575000000000401</v>
      </c>
      <c r="D14" s="77">
        <f>D13-C13</f>
        <v>-0.63485624999999857</v>
      </c>
      <c r="E14" s="77">
        <f t="shared" ref="E14:K14" si="13">E13-D13</f>
        <v>0.438050812500002</v>
      </c>
      <c r="F14" s="77">
        <f t="shared" si="13"/>
        <v>0</v>
      </c>
      <c r="G14" s="77">
        <f t="shared" si="13"/>
        <v>-0.94490417109375002</v>
      </c>
      <c r="H14" s="77">
        <f t="shared" si="13"/>
        <v>0.97010161565625097</v>
      </c>
      <c r="I14" s="77">
        <f t="shared" si="13"/>
        <v>1.0089056802825027</v>
      </c>
      <c r="J14" s="77">
        <f t="shared" si="13"/>
        <v>1.0492619074938005</v>
      </c>
      <c r="K14" s="77">
        <f t="shared" si="13"/>
        <v>1.0912323837935496</v>
      </c>
    </row>
    <row r="15" spans="1:11" x14ac:dyDescent="0.3">
      <c r="A15" s="6" t="s">
        <v>44</v>
      </c>
      <c r="B15" s="74" t="s">
        <v>96</v>
      </c>
      <c r="C15" s="77">
        <f t="shared" ref="C15:K15" si="14">C7*C8</f>
        <v>3.6277500000000003</v>
      </c>
      <c r="D15" s="77">
        <f t="shared" si="14"/>
        <v>3.8091375000000007</v>
      </c>
      <c r="E15" s="77">
        <f t="shared" si="14"/>
        <v>3.9995943750000009</v>
      </c>
      <c r="F15" s="77">
        <f t="shared" si="14"/>
        <v>4.1995740937500008</v>
      </c>
      <c r="G15" s="77">
        <f t="shared" si="14"/>
        <v>4.4095527984375016</v>
      </c>
      <c r="H15" s="77">
        <f t="shared" si="14"/>
        <v>4.5859349103750011</v>
      </c>
      <c r="I15" s="77">
        <f t="shared" si="14"/>
        <v>4.769372306790002</v>
      </c>
      <c r="J15" s="77">
        <f t="shared" si="14"/>
        <v>4.960147199061602</v>
      </c>
      <c r="K15" s="77">
        <f t="shared" si="14"/>
        <v>5.1585530870240657</v>
      </c>
    </row>
    <row r="16" spans="1:11" x14ac:dyDescent="0.3">
      <c r="A16" s="6" t="s">
        <v>44</v>
      </c>
      <c r="B16" s="6" t="s">
        <v>102</v>
      </c>
      <c r="C16" s="77">
        <f t="shared" ref="C16:H16" si="15">C11+C12-C14-C15</f>
        <v>2.1150562500000043</v>
      </c>
      <c r="D16" s="77">
        <f t="shared" si="15"/>
        <v>4.1775974999999992</v>
      </c>
      <c r="E16" s="77">
        <f t="shared" si="15"/>
        <v>4.7616956718749979</v>
      </c>
      <c r="F16" s="77">
        <f t="shared" si="15"/>
        <v>6.9895953890625018</v>
      </c>
      <c r="G16" s="77">
        <f t="shared" si="15"/>
        <v>8.4339793296093752</v>
      </c>
      <c r="H16" s="77">
        <f t="shared" si="15"/>
        <v>6.9865365491999993</v>
      </c>
      <c r="I16" s="77"/>
      <c r="J16" s="77"/>
      <c r="K16" s="77"/>
    </row>
    <row r="17" spans="1:11" x14ac:dyDescent="0.3">
      <c r="A17" s="6" t="s">
        <v>44</v>
      </c>
      <c r="B17" s="6" t="s">
        <v>103</v>
      </c>
      <c r="C17" s="77"/>
      <c r="D17" s="77"/>
      <c r="E17" s="77"/>
      <c r="F17" s="77"/>
      <c r="G17" s="79">
        <f>H16/(G3-H4)</f>
        <v>160.24166397247708</v>
      </c>
      <c r="H17" s="77"/>
      <c r="I17" s="80"/>
      <c r="J17" s="80"/>
      <c r="K17" s="80"/>
    </row>
    <row r="18" spans="1:11" x14ac:dyDescent="0.3">
      <c r="A18" s="6" t="s">
        <v>44</v>
      </c>
      <c r="B18" s="81" t="s">
        <v>104</v>
      </c>
      <c r="C18" s="79">
        <f>C16/(1+$C$3)+D16/((1+$D$3)^2)+E16/((1+$E$3)^3)+F16/((1+$F$3)^4)+G16/((1+$G$3)^5)+G17/((1+$G$3)^5)</f>
        <v>127.22529977999267</v>
      </c>
      <c r="D18" s="77"/>
      <c r="E18" s="77"/>
      <c r="F18" s="77"/>
      <c r="G18" s="77"/>
      <c r="H18" s="77"/>
      <c r="I18" s="77"/>
      <c r="J18" s="77"/>
      <c r="K18" s="77"/>
    </row>
    <row r="19" spans="1:11" x14ac:dyDescent="0.3">
      <c r="A19" s="6" t="s">
        <v>44</v>
      </c>
      <c r="B19" s="82" t="s">
        <v>105</v>
      </c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3">
      <c r="A20" s="6" t="s">
        <v>44</v>
      </c>
      <c r="B20" s="74" t="s">
        <v>93</v>
      </c>
      <c r="C20" s="75">
        <v>-0.1</v>
      </c>
      <c r="D20" s="75">
        <v>-0.1</v>
      </c>
      <c r="E20" s="75">
        <v>0.09</v>
      </c>
      <c r="F20" s="75">
        <v>0.09</v>
      </c>
      <c r="G20" s="75">
        <v>0.09</v>
      </c>
      <c r="H20" s="75">
        <v>4.4999999999999998E-2</v>
      </c>
      <c r="I20" s="75">
        <v>4.4999999999999998E-2</v>
      </c>
      <c r="J20" s="75">
        <v>4.4999999999999998E-2</v>
      </c>
      <c r="K20" s="75">
        <v>4.4999999999999998E-2</v>
      </c>
    </row>
    <row r="21" spans="1:11" x14ac:dyDescent="0.3">
      <c r="A21" s="6" t="s">
        <v>44</v>
      </c>
      <c r="B21" s="74" t="s">
        <v>106</v>
      </c>
      <c r="C21" s="75">
        <v>8.5000000000000006E-2</v>
      </c>
      <c r="D21" s="75">
        <v>8.5000000000000006E-2</v>
      </c>
      <c r="E21" s="75">
        <v>0.09</v>
      </c>
      <c r="F21" s="75">
        <v>0.09</v>
      </c>
      <c r="G21" s="75">
        <v>9.5000000000000001E-2</v>
      </c>
      <c r="H21" s="75">
        <v>9.5000000000000001E-2</v>
      </c>
      <c r="I21" s="75">
        <v>9.5000000000000001E-2</v>
      </c>
      <c r="J21" s="75">
        <v>9.5000000000000001E-2</v>
      </c>
      <c r="K21" s="75">
        <v>9.5000000000000001E-2</v>
      </c>
    </row>
    <row r="22" spans="1:11" x14ac:dyDescent="0.3">
      <c r="A22" s="6" t="s">
        <v>44</v>
      </c>
      <c r="B22" s="74" t="s">
        <v>21</v>
      </c>
      <c r="C22" s="75">
        <v>0.02</v>
      </c>
      <c r="D22" s="75">
        <v>0.02</v>
      </c>
      <c r="E22" s="75">
        <v>0.02</v>
      </c>
      <c r="F22" s="75">
        <v>0.02</v>
      </c>
      <c r="G22" s="75">
        <v>0.02</v>
      </c>
      <c r="H22" s="75">
        <v>0.02</v>
      </c>
      <c r="I22" s="75">
        <v>0.02</v>
      </c>
      <c r="J22" s="75">
        <v>0.02</v>
      </c>
      <c r="K22" s="75">
        <v>0.02</v>
      </c>
    </row>
    <row r="23" spans="1:11" x14ac:dyDescent="0.3">
      <c r="A23" s="6" t="s">
        <v>44</v>
      </c>
      <c r="B23" s="74" t="s">
        <v>96</v>
      </c>
      <c r="C23" s="76">
        <v>2.1000000000000001E-2</v>
      </c>
      <c r="D23" s="76">
        <v>2.1000000000000001E-2</v>
      </c>
      <c r="E23" s="76">
        <v>2.1000000000000001E-2</v>
      </c>
      <c r="F23" s="76">
        <v>2.1000000000000001E-2</v>
      </c>
      <c r="G23" s="76">
        <v>2.1000000000000001E-2</v>
      </c>
      <c r="H23" s="76">
        <v>2.1000000000000001E-2</v>
      </c>
      <c r="I23" s="76">
        <v>2.1000000000000001E-2</v>
      </c>
      <c r="J23" s="76">
        <v>2.1000000000000001E-2</v>
      </c>
      <c r="K23" s="76">
        <v>2.1000000000000001E-2</v>
      </c>
    </row>
    <row r="24" spans="1:11" x14ac:dyDescent="0.3">
      <c r="A24" s="6" t="s">
        <v>44</v>
      </c>
      <c r="B24" s="74" t="s">
        <v>97</v>
      </c>
      <c r="C24" s="77">
        <f>'Exhibit 2'!F4*(1+C20)</f>
        <v>145.71</v>
      </c>
      <c r="D24" s="77">
        <f t="shared" ref="D24" si="16">C24*(1+D20)</f>
        <v>131.13900000000001</v>
      </c>
      <c r="E24" s="77">
        <f t="shared" ref="E24" si="17">D24*(1+E20)</f>
        <v>142.94151000000002</v>
      </c>
      <c r="F24" s="77">
        <f t="shared" ref="F24" si="18">E24*(1+F20)</f>
        <v>155.80624590000002</v>
      </c>
      <c r="G24" s="77">
        <f t="shared" ref="G24" si="19">F24*(1+G20)</f>
        <v>169.82880803100002</v>
      </c>
      <c r="H24" s="77">
        <f t="shared" ref="H24" si="20">G24*(1+H20)</f>
        <v>177.47110439239501</v>
      </c>
      <c r="I24" s="77">
        <f t="shared" ref="I24" si="21">H24*(1+I20)</f>
        <v>185.45730409005276</v>
      </c>
      <c r="J24" s="77">
        <f t="shared" ref="J24" si="22">I24*(1+J20)</f>
        <v>193.80288277410511</v>
      </c>
      <c r="K24" s="77">
        <f t="shared" ref="K24" si="23">J24*(1+K20)</f>
        <v>202.52401249893984</v>
      </c>
    </row>
    <row r="25" spans="1:11" x14ac:dyDescent="0.3">
      <c r="A25" s="6" t="s">
        <v>44</v>
      </c>
      <c r="B25" s="6" t="s">
        <v>107</v>
      </c>
      <c r="C25" s="77">
        <f t="shared" ref="C25:K25" si="24">C24*C21</f>
        <v>12.385350000000001</v>
      </c>
      <c r="D25" s="77">
        <f t="shared" si="24"/>
        <v>11.146815000000002</v>
      </c>
      <c r="E25" s="77">
        <f t="shared" si="24"/>
        <v>12.864735900000001</v>
      </c>
      <c r="F25" s="77">
        <f t="shared" si="24"/>
        <v>14.022562131000001</v>
      </c>
      <c r="G25" s="77">
        <f t="shared" si="24"/>
        <v>16.133736762945002</v>
      </c>
      <c r="H25" s="77">
        <f t="shared" si="24"/>
        <v>16.859754917277527</v>
      </c>
      <c r="I25" s="77">
        <f t="shared" si="24"/>
        <v>17.618443888555014</v>
      </c>
      <c r="J25" s="77">
        <f t="shared" si="24"/>
        <v>18.411273863539986</v>
      </c>
      <c r="K25" s="77">
        <f t="shared" si="24"/>
        <v>19.239781187399284</v>
      </c>
    </row>
    <row r="26" spans="1:11" x14ac:dyDescent="0.3">
      <c r="A26" s="6" t="s">
        <v>44</v>
      </c>
      <c r="B26" s="6" t="s">
        <v>17</v>
      </c>
      <c r="C26" s="77">
        <f t="shared" ref="C26:K26" si="25">C25-C24*C22-C29</f>
        <v>6.3711500000000019</v>
      </c>
      <c r="D26" s="77">
        <f t="shared" si="25"/>
        <v>5.2240350000000015</v>
      </c>
      <c r="E26" s="77">
        <f t="shared" si="25"/>
        <v>6.5059057000000013</v>
      </c>
      <c r="F26" s="77">
        <f t="shared" si="25"/>
        <v>7.2064372130000001</v>
      </c>
      <c r="G26" s="77">
        <f t="shared" si="25"/>
        <v>8.8371606023250013</v>
      </c>
      <c r="H26" s="77">
        <f t="shared" si="25"/>
        <v>9.2103328294296265</v>
      </c>
      <c r="I26" s="77">
        <f t="shared" si="25"/>
        <v>9.6092978067539576</v>
      </c>
      <c r="J26" s="77">
        <f t="shared" si="25"/>
        <v>10.035216208057884</v>
      </c>
      <c r="K26" s="77">
        <f t="shared" si="25"/>
        <v>10.489300937420488</v>
      </c>
    </row>
    <row r="27" spans="1:11" x14ac:dyDescent="0.3">
      <c r="A27" s="6" t="s">
        <v>44</v>
      </c>
      <c r="B27" s="6" t="s">
        <v>99</v>
      </c>
      <c r="C27" s="77">
        <f>C26*0.35</f>
        <v>2.2299025000000006</v>
      </c>
      <c r="D27" s="77">
        <f t="shared" ref="D27:K27" si="26">D26*0.35</f>
        <v>1.8284122500000004</v>
      </c>
      <c r="E27" s="77">
        <f t="shared" si="26"/>
        <v>2.2770669950000002</v>
      </c>
      <c r="F27" s="77">
        <f t="shared" si="26"/>
        <v>2.5222530245499999</v>
      </c>
      <c r="G27" s="77">
        <f t="shared" si="26"/>
        <v>3.0930062108137504</v>
      </c>
      <c r="H27" s="77">
        <f t="shared" si="26"/>
        <v>3.223616490300369</v>
      </c>
      <c r="I27" s="77">
        <f t="shared" si="26"/>
        <v>3.363254232363885</v>
      </c>
      <c r="J27" s="77">
        <f t="shared" si="26"/>
        <v>3.5123256728202592</v>
      </c>
      <c r="K27" s="77">
        <f t="shared" si="26"/>
        <v>3.6712553280971707</v>
      </c>
    </row>
    <row r="28" spans="1:11" x14ac:dyDescent="0.3">
      <c r="A28" s="6" t="s">
        <v>44</v>
      </c>
      <c r="B28" s="6" t="s">
        <v>100</v>
      </c>
      <c r="C28" s="78">
        <f t="shared" ref="C28:K28" si="27">C26-C27</f>
        <v>4.1412475000000013</v>
      </c>
      <c r="D28" s="78">
        <f t="shared" si="27"/>
        <v>3.3956227500000011</v>
      </c>
      <c r="E28" s="78">
        <f t="shared" si="27"/>
        <v>4.2288387050000011</v>
      </c>
      <c r="F28" s="78">
        <f t="shared" si="27"/>
        <v>4.6841841884500006</v>
      </c>
      <c r="G28" s="78">
        <f t="shared" si="27"/>
        <v>5.744154391511251</v>
      </c>
      <c r="H28" s="78">
        <f t="shared" si="27"/>
        <v>5.9867163391292575</v>
      </c>
      <c r="I28" s="78">
        <f t="shared" si="27"/>
        <v>6.2460435743900726</v>
      </c>
      <c r="J28" s="78">
        <f t="shared" si="27"/>
        <v>6.5228905352376252</v>
      </c>
      <c r="K28" s="78">
        <f t="shared" si="27"/>
        <v>6.8180456093233168</v>
      </c>
    </row>
    <row r="29" spans="1:11" x14ac:dyDescent="0.3">
      <c r="A29" s="6" t="s">
        <v>44</v>
      </c>
      <c r="B29" s="6" t="s">
        <v>14</v>
      </c>
      <c r="C29" s="77">
        <f>'Exhibit 3'!B17</f>
        <v>3.1</v>
      </c>
      <c r="D29" s="77">
        <f>'Exhibit 3'!C17</f>
        <v>3.3</v>
      </c>
      <c r="E29" s="77">
        <f>'Exhibit 3'!D17</f>
        <v>3.5</v>
      </c>
      <c r="F29" s="77">
        <f>'Exhibit 3'!E17</f>
        <v>3.7</v>
      </c>
      <c r="G29" s="77">
        <f>'Exhibit 3'!F17</f>
        <v>3.9</v>
      </c>
      <c r="H29" s="77">
        <f>G29+0.2</f>
        <v>4.0999999999999996</v>
      </c>
      <c r="I29" s="77">
        <f t="shared" ref="I29:K29" si="28">H29+0.2</f>
        <v>4.3</v>
      </c>
      <c r="J29" s="77">
        <f t="shared" si="28"/>
        <v>4.5</v>
      </c>
      <c r="K29" s="77">
        <f t="shared" si="28"/>
        <v>4.7</v>
      </c>
    </row>
    <row r="30" spans="1:11" x14ac:dyDescent="0.3">
      <c r="A30" s="6" t="s">
        <v>44</v>
      </c>
      <c r="B30" s="6" t="s">
        <v>101</v>
      </c>
      <c r="C30" s="77">
        <f>'Exhibit 3'!B18</f>
        <v>0.42392800000000186</v>
      </c>
      <c r="D30" s="77">
        <f>'Exhibit 3'!C18</f>
        <v>0.35695712000000057</v>
      </c>
      <c r="E30" s="77">
        <f>'Exhibit 3'!D18</f>
        <v>0.37123540480000017</v>
      </c>
      <c r="F30" s="77">
        <f>'Exhibit 3'!E18</f>
        <v>0.38608482099200003</v>
      </c>
      <c r="G30" s="77">
        <f>'Exhibit 3'!F18</f>
        <v>0.40152821383168025</v>
      </c>
      <c r="H30" s="77">
        <f>G30</f>
        <v>0.40152821383168025</v>
      </c>
      <c r="I30" s="77">
        <f t="shared" ref="I30:K30" si="29">H30</f>
        <v>0.40152821383168025</v>
      </c>
      <c r="J30" s="77">
        <f t="shared" si="29"/>
        <v>0.40152821383168025</v>
      </c>
      <c r="K30" s="77">
        <f t="shared" si="29"/>
        <v>0.40152821383168025</v>
      </c>
    </row>
    <row r="31" spans="1:11" x14ac:dyDescent="0.3">
      <c r="A31" s="6" t="s">
        <v>44</v>
      </c>
      <c r="B31" s="74" t="s">
        <v>96</v>
      </c>
      <c r="C31" s="77">
        <f t="shared" ref="C31:K31" si="30">C23*C24</f>
        <v>3.0599100000000004</v>
      </c>
      <c r="D31" s="77">
        <f t="shared" si="30"/>
        <v>2.7539190000000002</v>
      </c>
      <c r="E31" s="77">
        <f t="shared" si="30"/>
        <v>3.0017717100000008</v>
      </c>
      <c r="F31" s="77">
        <f t="shared" si="30"/>
        <v>3.2719311639000006</v>
      </c>
      <c r="G31" s="77">
        <f t="shared" si="30"/>
        <v>3.5664049686510007</v>
      </c>
      <c r="H31" s="77">
        <f t="shared" si="30"/>
        <v>3.7268931922402952</v>
      </c>
      <c r="I31" s="77">
        <f t="shared" si="30"/>
        <v>3.894603385891108</v>
      </c>
      <c r="J31" s="77">
        <f t="shared" si="30"/>
        <v>4.0698605382562079</v>
      </c>
      <c r="K31" s="77">
        <f t="shared" si="30"/>
        <v>4.2530042624777371</v>
      </c>
    </row>
    <row r="32" spans="1:11" x14ac:dyDescent="0.3">
      <c r="A32" s="6" t="s">
        <v>44</v>
      </c>
      <c r="B32" s="6" t="s">
        <v>108</v>
      </c>
      <c r="C32" s="77">
        <f t="shared" ref="C32:H32" si="31">C28+C29-C30-C31</f>
        <v>3.7574094999999996</v>
      </c>
      <c r="D32" s="77">
        <f t="shared" si="31"/>
        <v>3.5847466300000002</v>
      </c>
      <c r="E32" s="77">
        <f t="shared" si="31"/>
        <v>4.3558315902000002</v>
      </c>
      <c r="F32" s="77">
        <f t="shared" si="31"/>
        <v>4.7261682035579993</v>
      </c>
      <c r="G32" s="77">
        <f t="shared" si="31"/>
        <v>5.6762212090285695</v>
      </c>
      <c r="H32" s="77">
        <f t="shared" si="31"/>
        <v>5.9582949330572816</v>
      </c>
      <c r="I32" s="77"/>
      <c r="J32" s="77"/>
      <c r="K32" s="77"/>
    </row>
    <row r="33" spans="1:11" x14ac:dyDescent="0.3">
      <c r="A33" s="6" t="s">
        <v>44</v>
      </c>
      <c r="B33" s="6" t="s">
        <v>109</v>
      </c>
      <c r="C33" s="77"/>
      <c r="D33" s="77"/>
      <c r="E33" s="77"/>
      <c r="F33" s="77"/>
      <c r="G33" s="79">
        <f>H32/(G3-H20)</f>
        <v>154.35997235899694</v>
      </c>
      <c r="H33" s="77"/>
      <c r="I33" s="77"/>
      <c r="J33" s="84"/>
      <c r="K33" s="77"/>
    </row>
    <row r="34" spans="1:11" x14ac:dyDescent="0.3">
      <c r="A34" s="6" t="s">
        <v>44</v>
      </c>
      <c r="B34" s="81" t="s">
        <v>110</v>
      </c>
      <c r="C34" s="79">
        <f>C32/(1+$C$3)+D32/((1+$D$3)^2)+E32/((1+$E$3)^3)+F32/((1+$F$3)^4)+G32/((1+$G$3)^5)+G33/((1+$G$3)^5)</f>
        <v>120.49252848916463</v>
      </c>
      <c r="D34" s="77"/>
      <c r="E34" s="77"/>
      <c r="F34" s="77"/>
      <c r="G34" s="77"/>
      <c r="H34" s="77"/>
      <c r="I34" s="77"/>
      <c r="J34" s="77"/>
      <c r="K34" s="77"/>
    </row>
    <row r="35" spans="1:11" x14ac:dyDescent="0.3">
      <c r="A35" s="6" t="s">
        <v>44</v>
      </c>
      <c r="B35" s="6" t="s">
        <v>111</v>
      </c>
      <c r="C35" s="77">
        <f>'Exhibit 3'!B20</f>
        <v>2.8444479999999981</v>
      </c>
      <c r="D35" s="77">
        <f>'Exhibit 3'!C20</f>
        <v>3.1181539199999992</v>
      </c>
      <c r="E35" s="77">
        <f>'Exhibit 3'!D20</f>
        <v>3.3108800767999993</v>
      </c>
      <c r="F35" s="77">
        <f>'Exhibit 3'!E20</f>
        <v>3.5033152798720009</v>
      </c>
      <c r="G35" s="77">
        <f>'Exhibit 3'!F20</f>
        <v>3.6954478910668787</v>
      </c>
      <c r="H35" s="77">
        <f>G35*1.04</f>
        <v>3.843265806709554</v>
      </c>
      <c r="I35" s="77"/>
      <c r="J35" s="77"/>
      <c r="K35" s="77"/>
    </row>
    <row r="36" spans="1:11" x14ac:dyDescent="0.3">
      <c r="A36" s="6" t="s">
        <v>44</v>
      </c>
      <c r="B36" s="6" t="s">
        <v>112</v>
      </c>
      <c r="C36" s="77"/>
      <c r="D36" s="77"/>
      <c r="E36" s="77"/>
      <c r="F36" s="77"/>
      <c r="G36" s="79">
        <f>H35/(G3-0.04)</f>
        <v>88.14829831902648</v>
      </c>
      <c r="H36" s="77"/>
      <c r="I36" s="12"/>
      <c r="J36" s="12"/>
      <c r="K36" s="12"/>
    </row>
    <row r="37" spans="1:11" x14ac:dyDescent="0.3">
      <c r="A37" s="6" t="s">
        <v>44</v>
      </c>
      <c r="B37" s="81" t="s">
        <v>113</v>
      </c>
      <c r="C37" s="79">
        <f>C35/(1+$C$3)+D35/((1+$D$3)^2)+E35/((1+$E$3)^3)+F35/((1+$F$3)^4)+G35/((1+$G$3)^5)+G36/((1+$G$3)^5)</f>
        <v>71.899604905357862</v>
      </c>
      <c r="D37" s="77"/>
      <c r="E37" s="77"/>
      <c r="F37" s="77"/>
      <c r="G37" s="77"/>
      <c r="H37" s="77"/>
      <c r="I37" s="75"/>
      <c r="J37" s="75"/>
      <c r="K37" s="75"/>
    </row>
    <row r="38" spans="1:11" x14ac:dyDescent="0.3">
      <c r="A38" s="6" t="s">
        <v>44</v>
      </c>
      <c r="B38" s="81" t="s">
        <v>114</v>
      </c>
      <c r="C38" s="79">
        <f>C34-C37</f>
        <v>48.592923583806765</v>
      </c>
      <c r="D38" s="77"/>
      <c r="E38" s="77"/>
      <c r="F38" s="77"/>
      <c r="G38" s="77"/>
      <c r="H38" s="77"/>
      <c r="I38" s="6"/>
      <c r="J38" s="6"/>
      <c r="K38" s="6"/>
    </row>
    <row r="39" spans="1:11" x14ac:dyDescent="0.3">
      <c r="A39" s="8" t="s">
        <v>44</v>
      </c>
      <c r="B39" s="7" t="s">
        <v>115</v>
      </c>
      <c r="C39" s="85">
        <f>C38+C18</f>
        <v>175.81822336379943</v>
      </c>
      <c r="D39" s="78"/>
      <c r="E39" s="78"/>
      <c r="F39" s="78"/>
      <c r="G39" s="78"/>
      <c r="H39" s="78"/>
      <c r="I39" s="76"/>
      <c r="J39" s="76"/>
      <c r="K39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8324-0FA7-4A74-B2E1-161FE6155BBC}">
  <dimension ref="A1:N47"/>
  <sheetViews>
    <sheetView zoomScale="120" zoomScaleNormal="120" workbookViewId="0">
      <selection activeCell="G18" sqref="G18"/>
    </sheetView>
  </sheetViews>
  <sheetFormatPr baseColWidth="10" defaultColWidth="9.109375" defaultRowHeight="12" x14ac:dyDescent="0.25"/>
  <cols>
    <col min="1" max="1" width="4.33203125" style="1" customWidth="1"/>
    <col min="2" max="2" width="29.6640625" style="1" customWidth="1"/>
    <col min="3" max="4" width="7.33203125" style="1" bestFit="1" customWidth="1"/>
    <col min="5" max="6" width="5.88671875" style="1" bestFit="1" customWidth="1"/>
    <col min="7" max="7" width="6.33203125" style="1" bestFit="1" customWidth="1"/>
    <col min="8" max="8" width="5.88671875" style="1" bestFit="1" customWidth="1"/>
    <col min="9" max="11" width="5.88671875" style="51" bestFit="1" customWidth="1"/>
    <col min="12" max="16384" width="9.109375" style="1"/>
  </cols>
  <sheetData>
    <row r="1" spans="1:11" x14ac:dyDescent="0.25">
      <c r="A1" s="3" t="s">
        <v>121</v>
      </c>
      <c r="B1" s="3"/>
      <c r="C1" s="2"/>
      <c r="D1" s="2"/>
      <c r="E1" s="2"/>
      <c r="F1" s="2"/>
      <c r="G1" s="2"/>
      <c r="H1" s="2"/>
      <c r="I1" s="102"/>
      <c r="J1" s="102"/>
      <c r="K1" s="102"/>
    </row>
    <row r="2" spans="1:11" x14ac:dyDescent="0.25">
      <c r="A2" s="2"/>
      <c r="B2" s="2"/>
      <c r="C2" s="9">
        <v>2015</v>
      </c>
      <c r="D2" s="9">
        <v>2016</v>
      </c>
      <c r="E2" s="9">
        <v>2017</v>
      </c>
      <c r="F2" s="9">
        <v>2018</v>
      </c>
      <c r="G2" s="9">
        <v>2019</v>
      </c>
      <c r="H2" s="9">
        <v>2020</v>
      </c>
      <c r="I2" s="9">
        <v>2021</v>
      </c>
      <c r="J2" s="9">
        <v>2022</v>
      </c>
      <c r="K2" s="9">
        <v>2023</v>
      </c>
    </row>
    <row r="3" spans="1:11" s="6" customFormat="1" x14ac:dyDescent="0.25">
      <c r="A3" s="6" t="s">
        <v>44</v>
      </c>
      <c r="B3" s="6" t="s">
        <v>92</v>
      </c>
      <c r="C3" s="73">
        <v>8.3599999999999994E-2</v>
      </c>
      <c r="D3" s="73">
        <f>C3</f>
        <v>8.3599999999999994E-2</v>
      </c>
      <c r="E3" s="73">
        <f t="shared" ref="E3:K3" si="0">D3</f>
        <v>8.3599999999999994E-2</v>
      </c>
      <c r="F3" s="73">
        <f t="shared" si="0"/>
        <v>8.3599999999999994E-2</v>
      </c>
      <c r="G3" s="73">
        <f t="shared" si="0"/>
        <v>8.3599999999999994E-2</v>
      </c>
      <c r="H3" s="73">
        <f t="shared" si="0"/>
        <v>8.3599999999999994E-2</v>
      </c>
      <c r="I3" s="73">
        <f t="shared" si="0"/>
        <v>8.3599999999999994E-2</v>
      </c>
      <c r="J3" s="73">
        <f t="shared" si="0"/>
        <v>8.3599999999999994E-2</v>
      </c>
      <c r="K3" s="73">
        <f t="shared" si="0"/>
        <v>8.3599999999999994E-2</v>
      </c>
    </row>
    <row r="4" spans="1:11" x14ac:dyDescent="0.25">
      <c r="A4" s="1" t="s">
        <v>44</v>
      </c>
      <c r="B4" s="103" t="s">
        <v>119</v>
      </c>
      <c r="C4" s="37"/>
      <c r="D4" s="37"/>
      <c r="E4" s="37"/>
      <c r="F4" s="37"/>
      <c r="G4" s="37"/>
      <c r="H4" s="37"/>
      <c r="I4" s="37"/>
      <c r="J4" s="37"/>
      <c r="K4" s="37"/>
    </row>
    <row r="5" spans="1:11" x14ac:dyDescent="0.25">
      <c r="A5" s="1" t="s">
        <v>44</v>
      </c>
      <c r="B5" s="98" t="s">
        <v>120</v>
      </c>
      <c r="I5" s="1"/>
      <c r="J5" s="1"/>
      <c r="K5" s="1"/>
    </row>
    <row r="6" spans="1:11" x14ac:dyDescent="0.25">
      <c r="A6" s="1" t="s">
        <v>44</v>
      </c>
      <c r="B6" s="99" t="s">
        <v>93</v>
      </c>
      <c r="C6" s="89">
        <v>0.05</v>
      </c>
      <c r="D6" s="89">
        <v>0.05</v>
      </c>
      <c r="E6" s="89">
        <v>0.05</v>
      </c>
      <c r="F6" s="89">
        <v>0.05</v>
      </c>
      <c r="G6" s="89">
        <v>0.05</v>
      </c>
      <c r="H6" s="89">
        <v>0.04</v>
      </c>
      <c r="I6" s="89">
        <v>0.04</v>
      </c>
      <c r="J6" s="89">
        <v>0.04</v>
      </c>
      <c r="K6" s="89">
        <v>0.04</v>
      </c>
    </row>
    <row r="7" spans="1:11" x14ac:dyDescent="0.25">
      <c r="A7" s="1" t="s">
        <v>44</v>
      </c>
      <c r="B7" s="99" t="s">
        <v>94</v>
      </c>
      <c r="C7" s="89">
        <v>1.4999999999999999E-2</v>
      </c>
      <c r="D7" s="89">
        <v>0.02</v>
      </c>
      <c r="E7" s="89">
        <v>2.5000000000000001E-2</v>
      </c>
      <c r="F7" s="104">
        <v>2.5000000000000001E-2</v>
      </c>
      <c r="G7" s="104">
        <v>2.5000000000000001E-2</v>
      </c>
      <c r="H7" s="104">
        <v>2.5000000000000001E-2</v>
      </c>
      <c r="I7" s="104">
        <v>2.5000000000000001E-2</v>
      </c>
      <c r="J7" s="104">
        <v>2.5000000000000001E-2</v>
      </c>
      <c r="K7" s="104">
        <v>2.5000000000000001E-2</v>
      </c>
    </row>
    <row r="8" spans="1:11" x14ac:dyDescent="0.25">
      <c r="A8" s="1" t="s">
        <v>44</v>
      </c>
      <c r="B8" s="99" t="s">
        <v>95</v>
      </c>
      <c r="C8" s="104">
        <v>7.0000000000000007E-2</v>
      </c>
      <c r="D8" s="104">
        <v>7.0000000000000007E-2</v>
      </c>
      <c r="E8" s="104">
        <v>7.0000000000000007E-2</v>
      </c>
      <c r="F8" s="104">
        <v>6.5000000000000002E-2</v>
      </c>
      <c r="G8" s="104">
        <v>6.5000000000000002E-2</v>
      </c>
      <c r="H8" s="104">
        <v>6.5000000000000002E-2</v>
      </c>
      <c r="I8" s="104">
        <v>6.5000000000000002E-2</v>
      </c>
      <c r="J8" s="104">
        <v>6.5000000000000002E-2</v>
      </c>
      <c r="K8" s="104">
        <v>6.5000000000000002E-2</v>
      </c>
    </row>
    <row r="9" spans="1:11" x14ac:dyDescent="0.25">
      <c r="A9" s="1" t="s">
        <v>44</v>
      </c>
      <c r="B9" s="99" t="s">
        <v>96</v>
      </c>
      <c r="C9" s="105">
        <v>1.0999999999999999E-2</v>
      </c>
      <c r="D9" s="105">
        <v>1.0999999999999999E-2</v>
      </c>
      <c r="E9" s="105">
        <v>1.0999999999999999E-2</v>
      </c>
      <c r="F9" s="105">
        <v>1.0999999999999999E-2</v>
      </c>
      <c r="G9" s="105">
        <v>1.0999999999999999E-2</v>
      </c>
      <c r="H9" s="105">
        <v>1.0999999999999999E-2</v>
      </c>
      <c r="I9" s="105">
        <v>1.0999999999999999E-2</v>
      </c>
      <c r="J9" s="105">
        <v>1.0999999999999999E-2</v>
      </c>
      <c r="K9" s="105">
        <v>1.0999999999999999E-2</v>
      </c>
    </row>
    <row r="10" spans="1:11" x14ac:dyDescent="0.25">
      <c r="A10" s="1" t="s">
        <v>44</v>
      </c>
      <c r="B10" s="99" t="s">
        <v>97</v>
      </c>
      <c r="C10" s="34">
        <f>'Exhibit 1'!F4*1.05</f>
        <v>362.77500000000003</v>
      </c>
      <c r="D10" s="34">
        <f t="shared" ref="D10" si="1">C10*(1+D6)</f>
        <v>380.91375000000005</v>
      </c>
      <c r="E10" s="34"/>
      <c r="F10" s="34"/>
      <c r="G10" s="34"/>
      <c r="H10" s="34"/>
      <c r="I10" s="34"/>
      <c r="J10" s="34"/>
      <c r="K10" s="34"/>
    </row>
    <row r="11" spans="1:11" x14ac:dyDescent="0.25">
      <c r="A11" s="1" t="s">
        <v>44</v>
      </c>
      <c r="B11" s="1" t="s">
        <v>98</v>
      </c>
      <c r="C11" s="34">
        <f t="shared" ref="C11" si="2">C10*C7</f>
        <v>5.4416250000000002</v>
      </c>
      <c r="D11" s="34"/>
      <c r="E11" s="34"/>
      <c r="F11" s="34"/>
      <c r="G11" s="34"/>
      <c r="H11" s="34"/>
      <c r="I11" s="34"/>
      <c r="J11" s="34"/>
      <c r="K11" s="34"/>
    </row>
    <row r="12" spans="1:11" x14ac:dyDescent="0.25">
      <c r="A12" s="1" t="s">
        <v>44</v>
      </c>
      <c r="B12" s="1" t="s">
        <v>99</v>
      </c>
      <c r="C12" s="34">
        <f t="shared" ref="C12" si="3">C11*0.35</f>
        <v>1.9045687499999999</v>
      </c>
      <c r="D12" s="34"/>
      <c r="E12" s="34"/>
      <c r="F12" s="34"/>
      <c r="G12" s="34"/>
      <c r="H12" s="34"/>
      <c r="I12" s="34"/>
      <c r="J12" s="34"/>
      <c r="K12" s="34"/>
    </row>
    <row r="13" spans="1:11" x14ac:dyDescent="0.25">
      <c r="A13" s="1" t="s">
        <v>44</v>
      </c>
      <c r="B13" s="1" t="s">
        <v>100</v>
      </c>
      <c r="C13" s="106">
        <f>C11-C12</f>
        <v>3.53705625</v>
      </c>
      <c r="D13" s="106"/>
      <c r="E13" s="106"/>
      <c r="F13" s="106"/>
      <c r="G13" s="106"/>
      <c r="H13" s="106"/>
      <c r="I13" s="106"/>
      <c r="J13" s="106"/>
      <c r="K13" s="106"/>
    </row>
    <row r="14" spans="1:11" x14ac:dyDescent="0.25">
      <c r="A14" s="1" t="s">
        <v>44</v>
      </c>
      <c r="B14" s="6" t="s">
        <v>14</v>
      </c>
      <c r="C14" s="34">
        <f>'Exhibit 3'!B6</f>
        <v>2.1</v>
      </c>
      <c r="D14" s="34">
        <f>'Exhibit 3'!C6</f>
        <v>2.4</v>
      </c>
      <c r="E14" s="34">
        <f>'Exhibit 3'!D6</f>
        <v>2.6999999999999997</v>
      </c>
      <c r="F14" s="34">
        <f>'Exhibit 3'!E6</f>
        <v>2.9999999999999996</v>
      </c>
      <c r="G14" s="34">
        <f>'Exhibit 3'!F6</f>
        <v>3.2999999999999994</v>
      </c>
      <c r="H14" s="34">
        <f>G14+0.3</f>
        <v>3.5999999999999992</v>
      </c>
      <c r="I14" s="34">
        <f t="shared" ref="I14:K14" si="4">H14+0.3</f>
        <v>3.899999999999999</v>
      </c>
      <c r="J14" s="34">
        <f t="shared" si="4"/>
        <v>4.1999999999999993</v>
      </c>
      <c r="K14" s="34">
        <f t="shared" si="4"/>
        <v>4.4999999999999991</v>
      </c>
    </row>
    <row r="15" spans="1:11" x14ac:dyDescent="0.25">
      <c r="A15" s="1" t="s">
        <v>44</v>
      </c>
      <c r="B15" s="1" t="s">
        <v>95</v>
      </c>
      <c r="C15" s="34">
        <f t="shared" ref="C15" si="5">C8*C10</f>
        <v>25.394250000000003</v>
      </c>
      <c r="D15" s="34"/>
      <c r="E15" s="34"/>
      <c r="F15" s="34"/>
      <c r="G15" s="34"/>
      <c r="H15" s="34"/>
      <c r="I15" s="34"/>
      <c r="J15" s="34"/>
      <c r="K15" s="34"/>
    </row>
    <row r="16" spans="1:11" x14ac:dyDescent="0.25">
      <c r="A16" s="1" t="s">
        <v>44</v>
      </c>
      <c r="B16" s="1" t="s">
        <v>101</v>
      </c>
      <c r="C16" s="34">
        <f>C15-('Exhibit 1'!F20-'Exhibit 1'!F17-'Exhibit 1'!F25)</f>
        <v>-0.10575000000000401</v>
      </c>
      <c r="D16" s="34">
        <f>D15-C15</f>
        <v>-25.394250000000003</v>
      </c>
      <c r="E16" s="34"/>
      <c r="F16" s="34"/>
      <c r="G16" s="34"/>
      <c r="H16" s="34"/>
      <c r="I16" s="34"/>
      <c r="J16" s="34"/>
      <c r="K16" s="34"/>
    </row>
    <row r="17" spans="1:14" x14ac:dyDescent="0.25">
      <c r="A17" s="1" t="s">
        <v>44</v>
      </c>
      <c r="B17" s="99" t="s">
        <v>96</v>
      </c>
      <c r="C17" s="34">
        <f t="shared" ref="C17" si="6">C9*C10</f>
        <v>3.9905250000000003</v>
      </c>
      <c r="D17" s="34"/>
      <c r="E17" s="34"/>
      <c r="F17" s="34"/>
      <c r="G17" s="34"/>
      <c r="H17" s="34"/>
      <c r="I17" s="34"/>
      <c r="J17" s="34"/>
      <c r="K17" s="34"/>
    </row>
    <row r="18" spans="1:14" x14ac:dyDescent="0.25">
      <c r="A18" s="1" t="s">
        <v>44</v>
      </c>
      <c r="B18" s="1" t="s">
        <v>102</v>
      </c>
      <c r="C18" s="34">
        <f t="shared" ref="C18:H18" si="7">C13+C14-C16-C17</f>
        <v>1.7522812500000042</v>
      </c>
      <c r="D18" s="34">
        <f t="shared" si="7"/>
        <v>27.794250000000002</v>
      </c>
      <c r="E18" s="34">
        <f t="shared" si="7"/>
        <v>2.6999999999999997</v>
      </c>
      <c r="F18" s="34">
        <f t="shared" si="7"/>
        <v>2.9999999999999996</v>
      </c>
      <c r="G18" s="34">
        <f t="shared" si="7"/>
        <v>3.2999999999999994</v>
      </c>
      <c r="H18" s="34">
        <f t="shared" si="7"/>
        <v>3.5999999999999992</v>
      </c>
      <c r="I18" s="34"/>
      <c r="J18" s="34"/>
      <c r="K18" s="34"/>
    </row>
    <row r="19" spans="1:14" x14ac:dyDescent="0.25">
      <c r="A19" s="1" t="s">
        <v>44</v>
      </c>
      <c r="B19" s="1" t="s">
        <v>103</v>
      </c>
      <c r="C19" s="34"/>
      <c r="D19" s="34"/>
      <c r="E19" s="34"/>
      <c r="F19" s="34"/>
      <c r="G19" s="93">
        <f>H18/(G3-H6)</f>
        <v>82.568807339449535</v>
      </c>
      <c r="H19" s="34"/>
      <c r="I19" s="47"/>
      <c r="J19" s="34"/>
      <c r="K19" s="47"/>
      <c r="M19" s="107"/>
      <c r="N19" s="108"/>
    </row>
    <row r="20" spans="1:14" x14ac:dyDescent="0.25">
      <c r="A20" s="1" t="s">
        <v>44</v>
      </c>
      <c r="B20" s="68" t="s">
        <v>104</v>
      </c>
      <c r="C20" s="93">
        <f>C18/(1+$C$3)+D18/((1+$D$3)^2)+E18/((1+$E$3)^3)+F18/((1+$F$3)^4)+G18/((1+$G$3)^5)+G19/((1+$G$3)^5)</f>
        <v>87.062617315861246</v>
      </c>
      <c r="D20" s="34"/>
      <c r="E20" s="34"/>
      <c r="F20" s="34"/>
      <c r="G20" s="34"/>
      <c r="H20" s="34"/>
      <c r="I20" s="34"/>
      <c r="J20" s="34"/>
      <c r="K20" s="34"/>
    </row>
    <row r="21" spans="1:14" x14ac:dyDescent="0.25">
      <c r="A21" s="1" t="s">
        <v>44</v>
      </c>
      <c r="C21" s="92"/>
      <c r="D21" s="92"/>
      <c r="E21" s="92"/>
      <c r="F21" s="92"/>
      <c r="G21" s="92"/>
      <c r="H21" s="92"/>
      <c r="I21" s="92"/>
      <c r="J21" s="92"/>
      <c r="K21" s="92"/>
    </row>
    <row r="22" spans="1:14" x14ac:dyDescent="0.25">
      <c r="A22" s="1" t="s">
        <v>44</v>
      </c>
      <c r="B22" s="103" t="s">
        <v>105</v>
      </c>
      <c r="C22" s="92"/>
      <c r="D22" s="92"/>
      <c r="E22" s="92"/>
      <c r="F22" s="92"/>
      <c r="G22" s="92"/>
      <c r="H22" s="92"/>
      <c r="I22" s="92"/>
      <c r="J22" s="92"/>
      <c r="K22" s="92"/>
    </row>
    <row r="23" spans="1:14" x14ac:dyDescent="0.25">
      <c r="A23" s="1" t="s">
        <v>44</v>
      </c>
      <c r="B23" s="98" t="s">
        <v>120</v>
      </c>
      <c r="C23" s="92"/>
      <c r="D23" s="92"/>
      <c r="E23" s="92"/>
      <c r="F23" s="92"/>
      <c r="G23" s="92"/>
      <c r="H23" s="92"/>
      <c r="I23" s="92"/>
      <c r="J23" s="92"/>
      <c r="K23" s="92"/>
    </row>
    <row r="24" spans="1:14" x14ac:dyDescent="0.25">
      <c r="A24" s="1" t="s">
        <v>44</v>
      </c>
      <c r="B24" s="99" t="s">
        <v>93</v>
      </c>
      <c r="C24" s="104">
        <v>-0.15</v>
      </c>
      <c r="D24" s="104">
        <v>-0.15</v>
      </c>
      <c r="E24" s="89">
        <v>0.08</v>
      </c>
      <c r="F24" s="89">
        <v>0.08</v>
      </c>
      <c r="G24" s="89">
        <v>0.08</v>
      </c>
      <c r="H24" s="89">
        <v>3.5000000000000003E-2</v>
      </c>
      <c r="I24" s="89">
        <v>3.5000000000000003E-2</v>
      </c>
      <c r="J24" s="89">
        <v>3.5000000000000003E-2</v>
      </c>
      <c r="K24" s="89">
        <v>3.5000000000000003E-2</v>
      </c>
    </row>
    <row r="25" spans="1:14" x14ac:dyDescent="0.25">
      <c r="A25" s="1" t="s">
        <v>44</v>
      </c>
      <c r="B25" s="99" t="s">
        <v>106</v>
      </c>
      <c r="C25" s="104">
        <v>8.5000000000000006E-2</v>
      </c>
      <c r="D25" s="104">
        <v>8.5000000000000006E-2</v>
      </c>
      <c r="E25" s="104">
        <v>8.5000000000000006E-2</v>
      </c>
      <c r="F25" s="104">
        <v>0.09</v>
      </c>
      <c r="G25" s="104">
        <v>0.09</v>
      </c>
      <c r="H25" s="104">
        <v>0.09</v>
      </c>
      <c r="I25" s="104">
        <v>0.09</v>
      </c>
      <c r="J25" s="104">
        <v>0.09</v>
      </c>
      <c r="K25" s="104">
        <v>0.09</v>
      </c>
    </row>
    <row r="26" spans="1:14" x14ac:dyDescent="0.25">
      <c r="A26" s="1" t="s">
        <v>44</v>
      </c>
      <c r="B26" s="99" t="s">
        <v>21</v>
      </c>
      <c r="C26" s="104">
        <v>2.4E-2</v>
      </c>
      <c r="D26" s="104">
        <v>2.4E-2</v>
      </c>
      <c r="E26" s="104">
        <v>2.4E-2</v>
      </c>
      <c r="F26" s="104">
        <v>2.4E-2</v>
      </c>
      <c r="G26" s="104">
        <v>2.4E-2</v>
      </c>
      <c r="H26" s="104">
        <v>2.4E-2</v>
      </c>
      <c r="I26" s="104">
        <v>2.4E-2</v>
      </c>
      <c r="J26" s="104">
        <v>2.4E-2</v>
      </c>
      <c r="K26" s="104">
        <v>2.4E-2</v>
      </c>
    </row>
    <row r="27" spans="1:14" x14ac:dyDescent="0.25">
      <c r="A27" s="1" t="s">
        <v>44</v>
      </c>
      <c r="B27" s="99" t="s">
        <v>96</v>
      </c>
      <c r="C27" s="105">
        <v>2.1000000000000001E-2</v>
      </c>
      <c r="D27" s="105">
        <v>2.1000000000000001E-2</v>
      </c>
      <c r="E27" s="105">
        <v>2.1000000000000001E-2</v>
      </c>
      <c r="F27" s="105">
        <v>2.1000000000000001E-2</v>
      </c>
      <c r="G27" s="105">
        <v>2.1000000000000001E-2</v>
      </c>
      <c r="H27" s="105">
        <v>2.1000000000000001E-2</v>
      </c>
      <c r="I27" s="105">
        <v>2.1000000000000001E-2</v>
      </c>
      <c r="J27" s="105">
        <v>2.1000000000000001E-2</v>
      </c>
      <c r="K27" s="105">
        <v>2.1000000000000001E-2</v>
      </c>
    </row>
    <row r="28" spans="1:14" x14ac:dyDescent="0.25">
      <c r="A28" s="1" t="s">
        <v>44</v>
      </c>
      <c r="B28" s="99" t="s">
        <v>97</v>
      </c>
      <c r="C28" s="34">
        <f>'Exhibit 2'!F4*(1+C24)</f>
        <v>137.61500000000001</v>
      </c>
      <c r="D28" s="34">
        <f t="shared" ref="D28" si="8">C28*(1+D24)</f>
        <v>116.97275</v>
      </c>
      <c r="E28" s="34"/>
      <c r="F28" s="34"/>
      <c r="G28" s="34"/>
      <c r="H28" s="34"/>
      <c r="I28" s="34"/>
      <c r="J28" s="34"/>
      <c r="K28" s="34"/>
    </row>
    <row r="29" spans="1:14" x14ac:dyDescent="0.25">
      <c r="A29" s="1" t="s">
        <v>44</v>
      </c>
      <c r="B29" s="1" t="s">
        <v>107</v>
      </c>
      <c r="C29" s="34">
        <f t="shared" ref="C29" si="9">C28*C25</f>
        <v>11.697275000000001</v>
      </c>
      <c r="D29" s="34"/>
      <c r="E29" s="34"/>
      <c r="F29" s="34"/>
      <c r="G29" s="34"/>
      <c r="H29" s="34"/>
      <c r="I29" s="34"/>
      <c r="J29" s="34"/>
      <c r="K29" s="34"/>
    </row>
    <row r="30" spans="1:14" x14ac:dyDescent="0.25">
      <c r="A30" s="1" t="s">
        <v>44</v>
      </c>
      <c r="B30" s="1" t="s">
        <v>17</v>
      </c>
      <c r="C30" s="34">
        <f t="shared" ref="C30" si="10">C29-C28*C26-C33</f>
        <v>5.2945150000000023</v>
      </c>
      <c r="D30" s="34"/>
      <c r="E30" s="34"/>
      <c r="F30" s="34"/>
      <c r="G30" s="34"/>
      <c r="H30" s="34"/>
      <c r="I30" s="34"/>
      <c r="J30" s="34"/>
      <c r="K30" s="34"/>
    </row>
    <row r="31" spans="1:14" x14ac:dyDescent="0.25">
      <c r="A31" s="1" t="s">
        <v>44</v>
      </c>
      <c r="B31" s="1" t="s">
        <v>99</v>
      </c>
      <c r="C31" s="34">
        <f>C30*0.35</f>
        <v>1.8530802500000008</v>
      </c>
      <c r="D31" s="34"/>
      <c r="E31" s="34"/>
      <c r="F31" s="34"/>
      <c r="G31" s="34"/>
      <c r="H31" s="34"/>
      <c r="I31" s="34"/>
      <c r="J31" s="34"/>
      <c r="K31" s="34"/>
    </row>
    <row r="32" spans="1:14" x14ac:dyDescent="0.25">
      <c r="A32" s="1" t="s">
        <v>44</v>
      </c>
      <c r="B32" s="1" t="s">
        <v>100</v>
      </c>
      <c r="C32" s="106">
        <f t="shared" ref="C32" si="11">C30-C31</f>
        <v>3.4414347500000018</v>
      </c>
      <c r="D32" s="106"/>
      <c r="E32" s="106"/>
      <c r="F32" s="106"/>
      <c r="G32" s="106"/>
      <c r="H32" s="106"/>
      <c r="I32" s="106"/>
      <c r="J32" s="106"/>
      <c r="K32" s="106"/>
    </row>
    <row r="33" spans="1:14" x14ac:dyDescent="0.25">
      <c r="A33" s="1" t="s">
        <v>44</v>
      </c>
      <c r="B33" s="6" t="s">
        <v>14</v>
      </c>
      <c r="C33" s="34">
        <f>'Exhibit 3'!B17</f>
        <v>3.1</v>
      </c>
      <c r="D33" s="34">
        <f>'Exhibit 3'!C17</f>
        <v>3.3</v>
      </c>
      <c r="E33" s="34">
        <f>'Exhibit 3'!D17</f>
        <v>3.5</v>
      </c>
      <c r="F33" s="34">
        <f>'Exhibit 3'!E17</f>
        <v>3.7</v>
      </c>
      <c r="G33" s="34">
        <f>'Exhibit 3'!F17</f>
        <v>3.9</v>
      </c>
      <c r="H33" s="34">
        <f t="shared" ref="H33:K33" si="12">G33+0.2</f>
        <v>4.0999999999999996</v>
      </c>
      <c r="I33" s="34">
        <f t="shared" si="12"/>
        <v>4.3</v>
      </c>
      <c r="J33" s="34">
        <f t="shared" si="12"/>
        <v>4.5</v>
      </c>
      <c r="K33" s="34">
        <f t="shared" si="12"/>
        <v>4.7</v>
      </c>
    </row>
    <row r="34" spans="1:14" x14ac:dyDescent="0.25">
      <c r="A34" s="1" t="s">
        <v>44</v>
      </c>
      <c r="B34" s="1" t="s">
        <v>101</v>
      </c>
      <c r="C34" s="34">
        <f>'Exhibit 3'!B18</f>
        <v>0.42392800000000186</v>
      </c>
      <c r="D34" s="34">
        <f>'Exhibit 3'!C18</f>
        <v>0.35695712000000057</v>
      </c>
      <c r="E34" s="34">
        <f>'Exhibit 3'!D18</f>
        <v>0.37123540480000017</v>
      </c>
      <c r="F34" s="34">
        <f>'Exhibit 3'!E18</f>
        <v>0.38608482099200003</v>
      </c>
      <c r="G34" s="34">
        <f>'Exhibit 3'!F18</f>
        <v>0.40152821383168025</v>
      </c>
      <c r="H34" s="34">
        <f>G34</f>
        <v>0.40152821383168025</v>
      </c>
      <c r="I34" s="34">
        <f t="shared" ref="I34:K34" si="13">H34</f>
        <v>0.40152821383168025</v>
      </c>
      <c r="J34" s="34">
        <f t="shared" si="13"/>
        <v>0.40152821383168025</v>
      </c>
      <c r="K34" s="34">
        <f t="shared" si="13"/>
        <v>0.40152821383168025</v>
      </c>
    </row>
    <row r="35" spans="1:14" x14ac:dyDescent="0.25">
      <c r="A35" s="1" t="s">
        <v>44</v>
      </c>
      <c r="B35" s="99" t="s">
        <v>96</v>
      </c>
      <c r="C35" s="34">
        <f t="shared" ref="C35" si="14">C27*C28</f>
        <v>2.8899150000000002</v>
      </c>
      <c r="D35" s="34"/>
      <c r="E35" s="34"/>
      <c r="F35" s="34"/>
      <c r="G35" s="34"/>
      <c r="H35" s="34"/>
      <c r="I35" s="34"/>
      <c r="J35" s="34"/>
      <c r="K35" s="34"/>
    </row>
    <row r="36" spans="1:14" x14ac:dyDescent="0.25">
      <c r="A36" s="1" t="s">
        <v>44</v>
      </c>
      <c r="B36" s="1" t="s">
        <v>108</v>
      </c>
      <c r="C36" s="34">
        <f t="shared" ref="C36:H36" si="15">C32+C33-C34-C35</f>
        <v>3.2275917500000002</v>
      </c>
      <c r="D36" s="34">
        <f t="shared" si="15"/>
        <v>2.9430428799999993</v>
      </c>
      <c r="E36" s="34">
        <f t="shared" si="15"/>
        <v>3.1287645951999998</v>
      </c>
      <c r="F36" s="34">
        <f t="shared" si="15"/>
        <v>3.3139151790080001</v>
      </c>
      <c r="G36" s="34">
        <f t="shared" si="15"/>
        <v>3.4984717861683197</v>
      </c>
      <c r="H36" s="34">
        <f t="shared" si="15"/>
        <v>3.6984717861683194</v>
      </c>
      <c r="I36" s="34"/>
      <c r="J36" s="34"/>
      <c r="K36" s="34"/>
    </row>
    <row r="37" spans="1:14" x14ac:dyDescent="0.25">
      <c r="A37" s="1" t="s">
        <v>44</v>
      </c>
      <c r="B37" s="1" t="s">
        <v>109</v>
      </c>
      <c r="C37" s="34"/>
      <c r="D37" s="34"/>
      <c r="E37" s="34"/>
      <c r="F37" s="34"/>
      <c r="G37" s="93">
        <f>H36/(G3-H24)</f>
        <v>76.100242513751439</v>
      </c>
      <c r="H37" s="34"/>
      <c r="I37" s="47"/>
      <c r="J37" s="34"/>
      <c r="K37" s="47"/>
      <c r="M37" s="107"/>
      <c r="N37" s="108"/>
    </row>
    <row r="38" spans="1:14" x14ac:dyDescent="0.25">
      <c r="A38" s="1" t="s">
        <v>44</v>
      </c>
      <c r="B38" s="68" t="s">
        <v>110</v>
      </c>
      <c r="C38" s="93">
        <f>C36/(1+$C$3)+D36/((1+$D$3)^2)+E36/((1+$E$3)^3)+F36/((1+$F$3)^4)+G36/((1+$G$3)^5)+G37/((1+$G$3)^5)</f>
        <v>63.627303335129412</v>
      </c>
      <c r="D38" s="34"/>
      <c r="E38" s="34"/>
      <c r="F38" s="34"/>
      <c r="G38" s="34"/>
      <c r="H38" s="34"/>
      <c r="I38" s="34"/>
      <c r="J38" s="34"/>
      <c r="K38" s="34"/>
    </row>
    <row r="39" spans="1:14" x14ac:dyDescent="0.25">
      <c r="A39" s="1" t="s">
        <v>44</v>
      </c>
      <c r="B39" s="1" t="s">
        <v>111</v>
      </c>
      <c r="C39" s="34">
        <f>'Exhibit 3'!B20</f>
        <v>2.8444479999999981</v>
      </c>
      <c r="D39" s="34">
        <f>'Exhibit 3'!C20</f>
        <v>3.1181539199999992</v>
      </c>
      <c r="E39" s="34">
        <f>'Exhibit 3'!D20</f>
        <v>3.3108800767999993</v>
      </c>
      <c r="F39" s="34">
        <f>'Exhibit 3'!E20</f>
        <v>3.5033152798720009</v>
      </c>
      <c r="G39" s="34">
        <f>'[1]Exhibit 3'!F20</f>
        <v>3.6954478910668787</v>
      </c>
      <c r="H39" s="34">
        <f>G39*1.04</f>
        <v>3.843265806709554</v>
      </c>
      <c r="I39" s="34"/>
      <c r="J39" s="34"/>
      <c r="K39" s="34"/>
    </row>
    <row r="40" spans="1:14" x14ac:dyDescent="0.25">
      <c r="A40" s="1" t="s">
        <v>44</v>
      </c>
      <c r="B40" s="1" t="s">
        <v>112</v>
      </c>
      <c r="C40" s="34"/>
      <c r="D40" s="34"/>
      <c r="E40" s="34"/>
      <c r="F40" s="34"/>
      <c r="G40" s="93">
        <f>H39/(G3-0.04)</f>
        <v>88.14829831902648</v>
      </c>
      <c r="H40" s="34"/>
      <c r="I40" s="47"/>
      <c r="J40" s="34"/>
      <c r="K40" s="47"/>
      <c r="M40" s="107"/>
      <c r="N40" s="108"/>
    </row>
    <row r="41" spans="1:14" x14ac:dyDescent="0.25">
      <c r="A41" s="1" t="s">
        <v>44</v>
      </c>
      <c r="B41" s="68" t="s">
        <v>113</v>
      </c>
      <c r="C41" s="93">
        <f>C39/(1+$C$3)+D39/((1+$D$3)^2)+E39/((1+$E$3)^3)+F39/((1+$F$3)^4)+G39/((1+$G$3)^5)+G40/((1+$G$3)^5)</f>
        <v>71.899604905357862</v>
      </c>
      <c r="D41" s="34"/>
      <c r="E41" s="34"/>
      <c r="F41" s="34"/>
      <c r="G41" s="34"/>
      <c r="H41" s="34"/>
      <c r="I41" s="34"/>
      <c r="J41" s="34"/>
      <c r="K41" s="34"/>
    </row>
    <row r="42" spans="1:14" x14ac:dyDescent="0.25">
      <c r="A42" s="1" t="s">
        <v>44</v>
      </c>
      <c r="B42" s="68" t="s">
        <v>114</v>
      </c>
      <c r="C42" s="93">
        <f>C38-C41</f>
        <v>-8.2723015702284499</v>
      </c>
      <c r="D42" s="34"/>
      <c r="E42" s="34"/>
      <c r="F42" s="34"/>
      <c r="G42" s="34"/>
      <c r="H42" s="34"/>
      <c r="I42" s="34"/>
      <c r="J42" s="34"/>
      <c r="K42" s="34"/>
    </row>
    <row r="43" spans="1:14" x14ac:dyDescent="0.25">
      <c r="A43" s="2" t="s">
        <v>44</v>
      </c>
      <c r="B43" s="3" t="s">
        <v>115</v>
      </c>
      <c r="C43" s="96">
        <f>C42+C20</f>
        <v>78.790315745632796</v>
      </c>
      <c r="D43" s="106"/>
      <c r="E43" s="106"/>
      <c r="F43" s="106"/>
      <c r="G43" s="106"/>
      <c r="H43" s="106"/>
      <c r="I43" s="106"/>
      <c r="J43" s="106"/>
      <c r="K43" s="106"/>
    </row>
    <row r="44" spans="1:14" x14ac:dyDescent="0.25">
      <c r="A44" s="1" t="s">
        <v>44</v>
      </c>
    </row>
    <row r="47" spans="1:14" x14ac:dyDescent="0.25">
      <c r="D47" s="38"/>
      <c r="E47" s="38"/>
      <c r="F47" s="38"/>
      <c r="G47" s="38"/>
      <c r="H4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Exhibit 1</vt:lpstr>
      <vt:lpstr>Exhibit 2</vt:lpstr>
      <vt:lpstr>Exhibit 3</vt:lpstr>
      <vt:lpstr>Exhibit 5</vt:lpstr>
      <vt:lpstr>1.) Exhibit 4</vt:lpstr>
      <vt:lpstr>2.) Landmark Valuation</vt:lpstr>
      <vt:lpstr>3-5) Valuation (expected scen)</vt:lpstr>
      <vt:lpstr>6.) Valuation (pess scen.)</vt:lpstr>
    </vt:vector>
  </TitlesOfParts>
  <Company>Queen's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Wang</dc:creator>
  <cp:lastModifiedBy>Cristhofer Patzán</cp:lastModifiedBy>
  <cp:lastPrinted>2014-06-26T02:11:20Z</cp:lastPrinted>
  <dcterms:created xsi:type="dcterms:W3CDTF">2012-01-08T23:54:51Z</dcterms:created>
  <dcterms:modified xsi:type="dcterms:W3CDTF">2023-11-15T02:29:46Z</dcterms:modified>
</cp:coreProperties>
</file>