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ET\TÀI LIỆU HỌC TẬP\KÌ HỌC 232\NGUYÊN LÝ HỆ ĐIỀU HÀNH\Lecture\merge3\Chapter 78\"/>
    </mc:Choice>
  </mc:AlternateContent>
  <xr:revisionPtr revIDLastSave="0" documentId="13_ncr:1_{F7367B68-498D-403C-A727-5A2AC6DF0DAF}" xr6:coauthVersionLast="47" xr6:coauthVersionMax="47" xr10:uidLastSave="{00000000-0000-0000-0000-000000000000}"/>
  <workbookProtection workbookAlgorithmName="SHA-512" workbookHashValue="3uLkMtgTv3er6wZpeap6cwC2gGe2sU7Y663o6vrA0SMsGKH8JP6NYdMWm6kJqr0m33A081wVEKrQYkhXV9H48w==" workbookSaltValue="DjOm0/DxCVAYpVZAxy5Z1w==" workbookSpinCount="100000" lockStructure="1"/>
  <bookViews>
    <workbookView xWindow="-118" yWindow="-118" windowWidth="25370" windowHeight="13667" xr2:uid="{83391BD7-C624-4E87-90D1-913A3DFF97FC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3" i="1" l="1"/>
  <c r="F21" i="1" l="1"/>
  <c r="F22" i="1"/>
  <c r="F20" i="1"/>
  <c r="F37" i="1"/>
  <c r="F38" i="1"/>
  <c r="F36" i="1"/>
  <c r="F181" i="1"/>
  <c r="F178" i="1"/>
  <c r="F177" i="1"/>
  <c r="F176" i="1"/>
  <c r="G176" i="1"/>
  <c r="K12" i="1"/>
  <c r="L12" i="1"/>
  <c r="M12" i="1"/>
  <c r="N12" i="1"/>
  <c r="O12" i="1"/>
  <c r="P12" i="1"/>
  <c r="Q12" i="1"/>
  <c r="R12" i="1"/>
  <c r="J12" i="1"/>
  <c r="K8" i="1"/>
  <c r="L8" i="1"/>
  <c r="M8" i="1"/>
  <c r="N8" i="1"/>
  <c r="O8" i="1"/>
  <c r="P8" i="1"/>
  <c r="Q8" i="1"/>
  <c r="R8" i="1"/>
  <c r="J8" i="1"/>
  <c r="F223" i="1"/>
  <c r="D222" i="1"/>
  <c r="F222" i="1" s="1"/>
  <c r="F184" i="1"/>
  <c r="F183" i="1"/>
  <c r="F182" i="1"/>
  <c r="F187" i="1"/>
  <c r="F165" i="1"/>
  <c r="F164" i="1"/>
  <c r="F166" i="1" s="1"/>
  <c r="F168" i="1"/>
  <c r="F148" i="1"/>
  <c r="F149" i="1"/>
  <c r="F150" i="1"/>
  <c r="F147" i="1"/>
  <c r="F132" i="1"/>
  <c r="F133" i="1"/>
  <c r="F134" i="1"/>
  <c r="F131" i="1"/>
  <c r="F116" i="1"/>
  <c r="F115" i="1"/>
  <c r="F101" i="1"/>
  <c r="F102" i="1"/>
  <c r="F103" i="1"/>
  <c r="F100" i="1"/>
  <c r="F85" i="1"/>
  <c r="F84" i="1"/>
  <c r="F71" i="1"/>
  <c r="D60" i="1"/>
  <c r="D59" i="1"/>
  <c r="D58" i="1"/>
  <c r="F69" i="1"/>
  <c r="F68" i="1"/>
  <c r="F53" i="1"/>
  <c r="F52" i="1"/>
  <c r="F35" i="1"/>
  <c r="H184" i="1" l="1"/>
  <c r="F171" i="1"/>
  <c r="I171" i="1" s="1"/>
  <c r="F170" i="1"/>
  <c r="I170" i="1" s="1"/>
  <c r="F169" i="1"/>
  <c r="I169" i="1" s="1"/>
  <c r="F174" i="1" s="1"/>
  <c r="D152" i="1"/>
  <c r="F185" i="1"/>
  <c r="H187" i="1" s="1"/>
  <c r="D192" i="1" s="1"/>
  <c r="F117" i="1"/>
  <c r="F118" i="1" s="1"/>
  <c r="D120" i="1" s="1"/>
  <c r="F120" i="1" s="1"/>
  <c r="H22" i="1"/>
  <c r="D140" i="1"/>
  <c r="D54" i="1"/>
  <c r="D136" i="1"/>
  <c r="D225" i="1"/>
  <c r="F225" i="1" s="1"/>
  <c r="F86" i="1"/>
  <c r="D88" i="1" s="1"/>
  <c r="F88" i="1" s="1"/>
  <c r="D137" i="1"/>
  <c r="D156" i="1"/>
  <c r="D41" i="1"/>
  <c r="D153" i="1"/>
  <c r="H103" i="1"/>
  <c r="H150" i="1"/>
  <c r="D106" i="1"/>
  <c r="H134" i="1"/>
  <c r="H38" i="1"/>
  <c r="D40" i="1"/>
  <c r="D42" i="1"/>
  <c r="D105" i="1"/>
  <c r="F70" i="1"/>
  <c r="D73" i="1" s="1"/>
  <c r="D25" i="1"/>
  <c r="D24" i="1"/>
  <c r="E192" i="1" l="1"/>
  <c r="C195" i="1" s="1"/>
  <c r="F190" i="1"/>
  <c r="F188" i="1"/>
  <c r="F189" i="1"/>
  <c r="E58" i="1"/>
  <c r="E59" i="1" s="1"/>
  <c r="E60" i="1" s="1"/>
  <c r="G178" i="1"/>
  <c r="G177" i="1"/>
  <c r="D173" i="1"/>
  <c r="F173" i="1" s="1"/>
  <c r="D138" i="1"/>
  <c r="D74" i="1"/>
  <c r="D139" i="1"/>
  <c r="D154" i="1"/>
  <c r="D155" i="1"/>
  <c r="C194" i="1" l="1"/>
  <c r="H190" i="1"/>
  <c r="D211" i="1" s="1"/>
  <c r="H188" i="1"/>
  <c r="H189" i="1"/>
  <c r="E211" i="1" s="1"/>
  <c r="E203" i="1" l="1"/>
  <c r="D203" i="1"/>
  <c r="D197" i="1"/>
  <c r="E197" i="1" s="1"/>
  <c r="E209" i="1" l="1"/>
  <c r="E205" i="1"/>
  <c r="E206" i="1" s="1"/>
  <c r="E208" i="1" s="1"/>
  <c r="E213" i="1"/>
  <c r="E218" i="1" s="1"/>
  <c r="E201" i="1"/>
  <c r="E199" i="1"/>
  <c r="E200" i="1" s="1"/>
  <c r="E207" i="1" l="1"/>
  <c r="E214" i="1"/>
  <c r="E217" i="1" l="1"/>
  <c r="E215" i="1"/>
  <c r="E216" i="1"/>
</calcChain>
</file>

<file path=xl/sharedStrings.xml><?xml version="1.0" encoding="utf-8"?>
<sst xmlns="http://schemas.openxmlformats.org/spreadsheetml/2006/main" count="244" uniqueCount="104">
  <si>
    <t>Contigious Allocation</t>
  </si>
  <si>
    <t xml:space="preserve">Block size = </t>
  </si>
  <si>
    <t xml:space="preserve">Logical address = </t>
  </si>
  <si>
    <t xml:space="preserve">File size = </t>
  </si>
  <si>
    <t>MB</t>
  </si>
  <si>
    <t>B</t>
  </si>
  <si>
    <t xml:space="preserve">Block id = </t>
  </si>
  <si>
    <t xml:space="preserve">Block offset = </t>
  </si>
  <si>
    <t>Extent-base allocation</t>
  </si>
  <si>
    <t>block</t>
  </si>
  <si>
    <t xml:space="preserve">LA = </t>
  </si>
  <si>
    <t>KB</t>
  </si>
  <si>
    <t xml:space="preserve">Extent id = </t>
  </si>
  <si>
    <t xml:space="preserve">No of block/extent = </t>
  </si>
  <si>
    <t>Linked Allocation - pointer size</t>
  </si>
  <si>
    <t xml:space="preserve">Disk size = </t>
  </si>
  <si>
    <t xml:space="preserve">Pointer size = </t>
  </si>
  <si>
    <t>GB</t>
  </si>
  <si>
    <t xml:space="preserve">Total block = </t>
  </si>
  <si>
    <t>Linked Allocation - mapping</t>
  </si>
  <si>
    <t>Data size =</t>
  </si>
  <si>
    <t>int</t>
  </si>
  <si>
    <t>short</t>
  </si>
  <si>
    <t>long</t>
  </si>
  <si>
    <t>Indexed Allocation - File size</t>
  </si>
  <si>
    <t>Indexed Allocation - Mapping</t>
  </si>
  <si>
    <t>File size =</t>
  </si>
  <si>
    <t>Block offset =</t>
  </si>
  <si>
    <t>2 level Indexed Allocation - File size</t>
  </si>
  <si>
    <t xml:space="preserve">Total pointers in level 1 = </t>
  </si>
  <si>
    <t xml:space="preserve">Total pointers in level 2 = </t>
  </si>
  <si>
    <t>2 level Index Allocation - mapping</t>
  </si>
  <si>
    <t xml:space="preserve">Block (level 2) id = </t>
  </si>
  <si>
    <t>Pointer offset in L2 =</t>
  </si>
  <si>
    <t>Block (level 1) id =</t>
  </si>
  <si>
    <t xml:space="preserve">offset = </t>
  </si>
  <si>
    <t xml:space="preserve">Total pointer/block = </t>
  </si>
  <si>
    <t>Linked Indexed Allocation - Mapping</t>
  </si>
  <si>
    <t xml:space="preserve">Total pointers/block = </t>
  </si>
  <si>
    <t xml:space="preserve">Index block id = </t>
  </si>
  <si>
    <t xml:space="preserve">Data block id = </t>
  </si>
  <si>
    <t>UNIX File System</t>
  </si>
  <si>
    <t>Direct pointer</t>
  </si>
  <si>
    <t>Indirect pointer</t>
  </si>
  <si>
    <t>Double pointer</t>
  </si>
  <si>
    <t>Num of pointer</t>
  </si>
  <si>
    <t xml:space="preserve">Maximum file size = </t>
  </si>
  <si>
    <t>^</t>
  </si>
  <si>
    <t>(=block size * sum of pointer)</t>
  </si>
  <si>
    <t>Num of node</t>
  </si>
  <si>
    <t>Indirect</t>
  </si>
  <si>
    <t>Double</t>
  </si>
  <si>
    <t>Triple</t>
  </si>
  <si>
    <t xml:space="preserve">Maximum Indexed block = </t>
  </si>
  <si>
    <t>UNIX File system - Mapping</t>
  </si>
  <si>
    <t>LA &lt;=</t>
  </si>
  <si>
    <t xml:space="preserve">Offset = </t>
  </si>
  <si>
    <t>(bao gồm block của indirect pointer + số hiệu block trong indirect block)</t>
  </si>
  <si>
    <t>Block id =</t>
  </si>
  <si>
    <t xml:space="preserve">Data block in indirect index block = </t>
  </si>
  <si>
    <t>(số hiệu block trong indirect block)</t>
  </si>
  <si>
    <t xml:space="preserve">LA &lt;= </t>
  </si>
  <si>
    <t xml:space="preserve">2nd level block id = </t>
  </si>
  <si>
    <t xml:space="preserve">Data block = </t>
  </si>
  <si>
    <t xml:space="preserve">Blocks in 2nd level = </t>
  </si>
  <si>
    <t>Triple pointer</t>
  </si>
  <si>
    <t>Blocks in 3rd level =</t>
  </si>
  <si>
    <t xml:space="preserve">Index 3 (3rd level block id) = </t>
  </si>
  <si>
    <t>Data block =</t>
  </si>
  <si>
    <t xml:space="preserve">Index 2 (2nd level block id) = </t>
  </si>
  <si>
    <t>Free Space Management</t>
  </si>
  <si>
    <t>Disk size =</t>
  </si>
  <si>
    <t xml:space="preserve">n = </t>
  </si>
  <si>
    <t>bits</t>
  </si>
  <si>
    <t>Linux has 10 direct pointers</t>
  </si>
  <si>
    <t>Access mode</t>
  </si>
  <si>
    <t>Decimal</t>
  </si>
  <si>
    <t>Mode</t>
  </si>
  <si>
    <t>---</t>
  </si>
  <si>
    <t>--x</t>
  </si>
  <si>
    <t>-x-</t>
  </si>
  <si>
    <t>r--</t>
  </si>
  <si>
    <t>-wx</t>
  </si>
  <si>
    <t>r-x</t>
  </si>
  <si>
    <t>rw-</t>
  </si>
  <si>
    <t>rwx</t>
  </si>
  <si>
    <t>Type access mode here</t>
  </si>
  <si>
    <t>=&gt; Decimal number:</t>
  </si>
  <si>
    <t>Type decimal number here:</t>
  </si>
  <si>
    <t>=&gt; Access mode:</t>
  </si>
  <si>
    <t>Double Indirect</t>
  </si>
  <si>
    <t>Single Indirect</t>
  </si>
  <si>
    <t>Triple Indirect</t>
  </si>
  <si>
    <t>Type the unit to coresponding unit cell to convert to B</t>
  </si>
  <si>
    <t xml:space="preserve">Type the problem number to this cell </t>
  </si>
  <si>
    <t>The result will be shown in that cell</t>
  </si>
  <si>
    <t>[RESULT]</t>
  </si>
  <si>
    <t>Type of size unit: B, KB, MB, GB</t>
  </si>
  <si>
    <t>If problem does not mention to file size, type it arbitrary number that larger than LA</t>
  </si>
  <si>
    <t>CALCULATE NOW</t>
  </si>
  <si>
    <t>OS CHAPTER 7 CALCULATOR</t>
  </si>
  <si>
    <t>By Phan Anh Tú - 22028238 - UET - VNU</t>
  </si>
  <si>
    <t>&gt;&gt;Read the instructions first&lt;&lt;</t>
  </si>
  <si>
    <t>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</si>
</sst>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rial"/>
      <family val="2"/>
      <charset val="163"/>
      <scheme val="minor"/>
    </font>
    <font>
      <b/>
      <sz val="11"/>
      <color rgb="FFFF0000"/>
      <name val="Arial"/>
      <family val="2"/>
      <charset val="163"/>
      <scheme val="minor"/>
    </font>
    <font>
      <b/>
      <sz val="11"/>
      <color theme="1"/>
      <name val="Arial"/>
      <family val="2"/>
      <charset val="163"/>
      <scheme val="minor"/>
    </font>
    <font>
      <u/>
      <sz val="11"/>
      <color theme="10"/>
      <name val="Arial"/>
      <family val="2"/>
      <charset val="163"/>
      <scheme val="minor"/>
    </font>
    <font>
      <sz val="11"/>
      <name val="Arial"/>
      <family val="2"/>
      <charset val="163"/>
      <scheme val="minor"/>
    </font>
    <font>
      <b/>
      <sz val="20"/>
      <color theme="1"/>
      <name val="Arial"/>
      <family val="2"/>
      <charset val="163"/>
      <scheme val="minor"/>
    </font>
    <font>
      <u/>
      <sz val="11"/>
      <color theme="3" tint="0.249977111117893"/>
      <name val="Arial"/>
      <family val="2"/>
      <charset val="163"/>
      <scheme val="minor"/>
    </font>
    <font>
      <b/>
      <sz val="12"/>
      <color theme="9" tint="-0.249977111117893"/>
      <name val="Albert Sans Medium"/>
    </font>
    <font>
      <b/>
      <sz val="16"/>
      <color rgb="FFFF0000"/>
      <name val="Arial"/>
      <family val="2"/>
      <charset val="163"/>
      <scheme val="minor"/>
    </font>
    <font>
      <b/>
      <u/>
      <sz val="11"/>
      <color theme="10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Dashed">
        <color auto="1"/>
      </top>
      <bottom/>
      <diagonal/>
    </border>
    <border>
      <left/>
      <right/>
      <top/>
      <bottom style="medium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1" fillId="0" borderId="0" xfId="0" applyFont="1"/>
    <xf numFmtId="0" fontId="1" fillId="2" borderId="0" xfId="0" applyFont="1" applyFill="1"/>
    <xf numFmtId="0" fontId="0" fillId="0" borderId="2" xfId="0" applyBorder="1"/>
    <xf numFmtId="0" fontId="2" fillId="0" borderId="0" xfId="0" applyFont="1"/>
    <xf numFmtId="0" fontId="1" fillId="2" borderId="0" xfId="0" applyFont="1" applyFill="1" applyAlignment="1">
      <alignment horizontal="left"/>
    </xf>
    <xf numFmtId="0" fontId="2" fillId="0" borderId="3" xfId="0" applyFont="1" applyBorder="1"/>
    <xf numFmtId="0" fontId="0" fillId="0" borderId="3" xfId="0" applyBorder="1"/>
    <xf numFmtId="0" fontId="1" fillId="0" borderId="3" xfId="0" applyFont="1" applyBorder="1"/>
    <xf numFmtId="0" fontId="0" fillId="0" borderId="4" xfId="0" applyBorder="1"/>
    <xf numFmtId="0" fontId="0" fillId="0" borderId="0" xfId="0" quotePrefix="1"/>
    <xf numFmtId="0" fontId="0" fillId="0" borderId="7" xfId="0" applyBorder="1"/>
    <xf numFmtId="0" fontId="0" fillId="0" borderId="8" xfId="0" quotePrefix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5" xfId="0" applyFont="1" applyBorder="1"/>
    <xf numFmtId="0" fontId="2" fillId="0" borderId="6" xfId="0" applyFont="1" applyBorder="1"/>
    <xf numFmtId="0" fontId="1" fillId="2" borderId="1" xfId="0" applyFont="1" applyFill="1" applyBorder="1"/>
    <xf numFmtId="0" fontId="4" fillId="0" borderId="0" xfId="0" applyFont="1"/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/>
    <xf numFmtId="0" fontId="1" fillId="0" borderId="0" xfId="0" quotePrefix="1" applyFont="1" applyAlignment="1">
      <alignment horizontal="right"/>
    </xf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Alignment="1">
      <alignment vertical="center" wrapText="1"/>
    </xf>
    <xf numFmtId="0" fontId="7" fillId="0" borderId="0" xfId="0" applyFont="1"/>
    <xf numFmtId="0" fontId="0" fillId="0" borderId="1" xfId="0" applyBorder="1" applyProtection="1">
      <protection locked="0"/>
    </xf>
    <xf numFmtId="0" fontId="0" fillId="0" borderId="1" xfId="0" quotePrefix="1" applyBorder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6" fillId="0" borderId="0" xfId="1" applyFont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/>
    </xf>
    <xf numFmtId="0" fontId="9" fillId="3" borderId="0" xfId="1" applyFont="1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216132</xdr:colOff>
      <xdr:row>17</xdr:row>
      <xdr:rowOff>178084</xdr:rowOff>
    </xdr:from>
    <xdr:to>
      <xdr:col>15</xdr:col>
      <xdr:colOff>395743</xdr:colOff>
      <xdr:row>31</xdr:row>
      <xdr:rowOff>58960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FD9C29-AE68-D645-AE41-1E5313E5F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01296" y="178084"/>
          <a:ext cx="4169720" cy="2441196"/>
        </a:xfrm>
        <a:prstGeom prst="rect">
          <a:avLst/>
        </a:prstGeom>
      </xdr:spPr>
    </xdr:pic>
    <xdr:clientData/>
  </xdr:twoCellAnchor>
  <xdr:twoCellAnchor editAs="oneCell">
    <xdr:from>
      <xdr:col>9</xdr:col>
      <xdr:colOff>15849</xdr:colOff>
      <xdr:row>32</xdr:row>
      <xdr:rowOff>20538</xdr:rowOff>
    </xdr:from>
    <xdr:to>
      <xdr:col>15</xdr:col>
      <xdr:colOff>423948</xdr:colOff>
      <xdr:row>47</xdr:row>
      <xdr:rowOff>128836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529ADC-1D56-A062-848F-9787996C9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1013" y="2772051"/>
          <a:ext cx="4398208" cy="2851498"/>
        </a:xfrm>
        <a:prstGeom prst="rect">
          <a:avLst/>
        </a:prstGeom>
      </xdr:spPr>
    </xdr:pic>
    <xdr:clientData/>
  </xdr:twoCellAnchor>
  <xdr:twoCellAnchor editAs="oneCell">
    <xdr:from>
      <xdr:col>16</xdr:col>
      <xdr:colOff>14715</xdr:colOff>
      <xdr:row>32</xdr:row>
      <xdr:rowOff>24937</xdr:rowOff>
    </xdr:from>
    <xdr:to>
      <xdr:col>22</xdr:col>
      <xdr:colOff>66502</xdr:colOff>
      <xdr:row>47</xdr:row>
      <xdr:rowOff>134622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B14B37B-C78F-4BA0-6990-C2947222E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5006" y="2776450"/>
          <a:ext cx="4041896" cy="2852885"/>
        </a:xfrm>
        <a:prstGeom prst="rect">
          <a:avLst/>
        </a:prstGeom>
      </xdr:spPr>
    </xdr:pic>
    <xdr:clientData/>
  </xdr:twoCellAnchor>
  <xdr:twoCellAnchor editAs="oneCell">
    <xdr:from>
      <xdr:col>23</xdr:col>
      <xdr:colOff>15564</xdr:colOff>
      <xdr:row>31</xdr:row>
      <xdr:rowOff>182879</xdr:rowOff>
    </xdr:from>
    <xdr:to>
      <xdr:col>29</xdr:col>
      <xdr:colOff>59946</xdr:colOff>
      <xdr:row>47</xdr:row>
      <xdr:rowOff>166254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2FF90B-2033-0CBF-C2ED-1ED9333C7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0982" y="2743199"/>
          <a:ext cx="4034491" cy="2917768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49</xdr:row>
      <xdr:rowOff>0</xdr:rowOff>
    </xdr:from>
    <xdr:to>
      <xdr:col>14</xdr:col>
      <xdr:colOff>451354</xdr:colOff>
      <xdr:row>64</xdr:row>
      <xdr:rowOff>149630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A3125F-045F-C460-7DA1-9B0E6243C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024256" y="5868785"/>
          <a:ext cx="3776444" cy="2892830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65</xdr:row>
      <xdr:rowOff>1</xdr:rowOff>
    </xdr:from>
    <xdr:to>
      <xdr:col>14</xdr:col>
      <xdr:colOff>480594</xdr:colOff>
      <xdr:row>80</xdr:row>
      <xdr:rowOff>116379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A03A9C0-BC05-0E1F-06F6-B4C07A5ED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98823" y="8803179"/>
          <a:ext cx="3805684" cy="2859578"/>
        </a:xfrm>
        <a:prstGeom prst="rect">
          <a:avLst/>
        </a:prstGeom>
      </xdr:spPr>
    </xdr:pic>
    <xdr:clientData/>
  </xdr:twoCellAnchor>
  <xdr:twoCellAnchor editAs="oneCell">
    <xdr:from>
      <xdr:col>15</xdr:col>
      <xdr:colOff>1</xdr:colOff>
      <xdr:row>65</xdr:row>
      <xdr:rowOff>0</xdr:rowOff>
    </xdr:from>
    <xdr:to>
      <xdr:col>20</xdr:col>
      <xdr:colOff>357447</xdr:colOff>
      <xdr:row>80</xdr:row>
      <xdr:rowOff>146229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D467DC3-109D-C0FF-2810-A5109D50B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88932" y="8803178"/>
          <a:ext cx="3682537" cy="288942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14</xdr:col>
      <xdr:colOff>465263</xdr:colOff>
      <xdr:row>96</xdr:row>
      <xdr:rowOff>49875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E732F62-328E-36C0-EA58-573D180E6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198822" y="11737571"/>
          <a:ext cx="3790354" cy="2793076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97</xdr:row>
      <xdr:rowOff>1</xdr:rowOff>
    </xdr:from>
    <xdr:to>
      <xdr:col>14</xdr:col>
      <xdr:colOff>496937</xdr:colOff>
      <xdr:row>111</xdr:row>
      <xdr:rowOff>182880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1472860-DDB1-3915-8F7B-8D6FC3D08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98823" y="14671965"/>
          <a:ext cx="3822027" cy="27432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112</xdr:row>
      <xdr:rowOff>0</xdr:rowOff>
    </xdr:from>
    <xdr:to>
      <xdr:col>14</xdr:col>
      <xdr:colOff>546344</xdr:colOff>
      <xdr:row>127</xdr:row>
      <xdr:rowOff>91440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110A8C9-8296-154C-3C08-47C08429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98822" y="17423476"/>
          <a:ext cx="3871435" cy="283464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14</xdr:col>
      <xdr:colOff>525962</xdr:colOff>
      <xdr:row>143</xdr:row>
      <xdr:rowOff>74814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13C1D31-858C-B697-AEFA-87132F9C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98822" y="20357869"/>
          <a:ext cx="3851053" cy="2818015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144</xdr:row>
      <xdr:rowOff>0</xdr:rowOff>
    </xdr:from>
    <xdr:to>
      <xdr:col>14</xdr:col>
      <xdr:colOff>581472</xdr:colOff>
      <xdr:row>160</xdr:row>
      <xdr:rowOff>124693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9034B7F-0CDD-6F7F-DDA4-E5FD33B21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98823" y="23292262"/>
          <a:ext cx="3906562" cy="3050771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144</xdr:row>
      <xdr:rowOff>1</xdr:rowOff>
    </xdr:from>
    <xdr:to>
      <xdr:col>22</xdr:col>
      <xdr:colOff>141317</xdr:colOff>
      <xdr:row>160</xdr:row>
      <xdr:rowOff>126587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A8354CB-341B-2E4A-BA59-68854CCF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853949" y="23292263"/>
          <a:ext cx="4131426" cy="3052664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161</xdr:row>
      <xdr:rowOff>1</xdr:rowOff>
    </xdr:from>
    <xdr:to>
      <xdr:col>14</xdr:col>
      <xdr:colOff>590203</xdr:colOff>
      <xdr:row>176</xdr:row>
      <xdr:rowOff>117407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22AB097-9C46-A8B5-9C30-C96F96D90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198823" y="26409536"/>
          <a:ext cx="3915293" cy="28606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161</xdr:row>
      <xdr:rowOff>0</xdr:rowOff>
    </xdr:from>
    <xdr:to>
      <xdr:col>21</xdr:col>
      <xdr:colOff>507512</xdr:colOff>
      <xdr:row>176</xdr:row>
      <xdr:rowOff>91440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DD9E591-26B3-52FA-52E3-A8A707BEE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853949" y="26409535"/>
          <a:ext cx="3832603" cy="2834640"/>
        </a:xfrm>
        <a:prstGeom prst="rect">
          <a:avLst/>
        </a:prstGeom>
      </xdr:spPr>
    </xdr:pic>
    <xdr:clientData/>
  </xdr:twoCellAnchor>
  <xdr:twoCellAnchor editAs="oneCell">
    <xdr:from>
      <xdr:col>8</xdr:col>
      <xdr:colOff>665018</xdr:colOff>
      <xdr:row>179</xdr:row>
      <xdr:rowOff>1</xdr:rowOff>
    </xdr:from>
    <xdr:to>
      <xdr:col>14</xdr:col>
      <xdr:colOff>538894</xdr:colOff>
      <xdr:row>194</xdr:row>
      <xdr:rowOff>75831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2ED828B-AAA4-37F2-1DE6-B870C91D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00541" y="29776763"/>
          <a:ext cx="3863985" cy="2833362"/>
        </a:xfrm>
        <a:prstGeom prst="rect">
          <a:avLst/>
        </a:prstGeom>
      </xdr:spPr>
    </xdr:pic>
    <xdr:clientData/>
  </xdr:twoCellAnchor>
  <xdr:twoCellAnchor editAs="oneCell">
    <xdr:from>
      <xdr:col>9</xdr:col>
      <xdr:colOff>2</xdr:colOff>
      <xdr:row>219</xdr:row>
      <xdr:rowOff>1</xdr:rowOff>
    </xdr:from>
    <xdr:to>
      <xdr:col>15</xdr:col>
      <xdr:colOff>74528</xdr:colOff>
      <xdr:row>235</xdr:row>
      <xdr:rowOff>164829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86815D3-799C-B74C-7488-29CF6BF56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00543" y="37143560"/>
          <a:ext cx="4064636" cy="3100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F2628-9B8B-470A-B020-B311922BF106}">
  <sheetPr codeName="Sheet1"/>
  <dimension ref="A1:V225"/>
  <sheetViews>
    <sheetView tabSelected="1" zoomScale="115" zoomScaleNormal="115" workbookViewId="0">
      <selection activeCell="P7" sqref="P7"/>
    </sheetView>
  </sheetViews>
  <sheetFormatPr defaultRowHeight="14.4" x14ac:dyDescent="0.25"/>
  <cols>
    <col min="4" max="4" width="12.33203125" bestFit="1" customWidth="1"/>
    <col min="6" max="6" width="21.6640625" customWidth="1"/>
  </cols>
  <sheetData>
    <row r="1" spans="1:22" ht="25.55" x14ac:dyDescent="0.4">
      <c r="A1" s="25" t="s">
        <v>100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</row>
    <row r="2" spans="1:22" ht="19" x14ac:dyDescent="0.45">
      <c r="A2" s="28" t="s">
        <v>101</v>
      </c>
    </row>
    <row r="3" spans="1:22" x14ac:dyDescent="0.25">
      <c r="A3" s="34" t="s">
        <v>102</v>
      </c>
      <c r="B3" s="34"/>
      <c r="C3" s="34"/>
    </row>
    <row r="5" spans="1:22" x14ac:dyDescent="0.25">
      <c r="A5" s="2" t="s">
        <v>75</v>
      </c>
    </row>
    <row r="6" spans="1:22" ht="15.05" thickBot="1" x14ac:dyDescent="0.3"/>
    <row r="7" spans="1:22" x14ac:dyDescent="0.25">
      <c r="C7" s="18" t="s">
        <v>77</v>
      </c>
      <c r="D7" s="17" t="s">
        <v>76</v>
      </c>
      <c r="E7" s="18" t="s">
        <v>77</v>
      </c>
      <c r="G7" t="s">
        <v>86</v>
      </c>
      <c r="J7" s="29" t="s">
        <v>83</v>
      </c>
      <c r="K7" s="30" t="s">
        <v>83</v>
      </c>
      <c r="L7" s="30" t="s">
        <v>78</v>
      </c>
      <c r="M7" s="29"/>
      <c r="N7" s="29"/>
      <c r="O7" s="29"/>
      <c r="P7" s="29"/>
      <c r="Q7" s="29"/>
      <c r="R7" s="29"/>
    </row>
    <row r="8" spans="1:22" x14ac:dyDescent="0.25">
      <c r="C8" s="13" t="s">
        <v>78</v>
      </c>
      <c r="D8" s="12">
        <v>0</v>
      </c>
      <c r="E8" s="13" t="s">
        <v>78</v>
      </c>
      <c r="G8" s="11" t="s">
        <v>87</v>
      </c>
      <c r="J8" s="19">
        <f>VLOOKUP(J7,$C$8:$D$15,2,0)</f>
        <v>5</v>
      </c>
      <c r="K8" s="19">
        <f t="shared" ref="K8:R8" si="0">VLOOKUP(K7,$C$8:$D$15,2,0)</f>
        <v>5</v>
      </c>
      <c r="L8" s="19">
        <f t="shared" si="0"/>
        <v>0</v>
      </c>
      <c r="M8" s="19" t="e">
        <f t="shared" si="0"/>
        <v>#N/A</v>
      </c>
      <c r="N8" s="19" t="e">
        <f t="shared" si="0"/>
        <v>#N/A</v>
      </c>
      <c r="O8" s="19" t="e">
        <f t="shared" si="0"/>
        <v>#N/A</v>
      </c>
      <c r="P8" s="19" t="e">
        <f t="shared" si="0"/>
        <v>#N/A</v>
      </c>
      <c r="Q8" s="19" t="e">
        <f t="shared" si="0"/>
        <v>#N/A</v>
      </c>
      <c r="R8" s="19" t="e">
        <f t="shared" si="0"/>
        <v>#N/A</v>
      </c>
    </row>
    <row r="9" spans="1:22" x14ac:dyDescent="0.25">
      <c r="C9" s="13" t="s">
        <v>79</v>
      </c>
      <c r="D9" s="12">
        <v>1</v>
      </c>
      <c r="E9" s="13" t="s">
        <v>79</v>
      </c>
    </row>
    <row r="10" spans="1:22" x14ac:dyDescent="0.25">
      <c r="C10" s="13" t="s">
        <v>80</v>
      </c>
      <c r="D10" s="12">
        <v>2</v>
      </c>
      <c r="E10" s="13" t="s">
        <v>80</v>
      </c>
    </row>
    <row r="11" spans="1:22" x14ac:dyDescent="0.25">
      <c r="C11" s="13" t="s">
        <v>82</v>
      </c>
      <c r="D11" s="12">
        <v>3</v>
      </c>
      <c r="E11" s="13" t="s">
        <v>82</v>
      </c>
      <c r="G11" t="s">
        <v>88</v>
      </c>
      <c r="J11" s="29">
        <v>7</v>
      </c>
      <c r="K11" s="29">
        <v>7</v>
      </c>
      <c r="L11" s="29">
        <v>7</v>
      </c>
      <c r="M11" s="29"/>
      <c r="N11" s="29"/>
      <c r="O11" s="29"/>
      <c r="P11" s="29"/>
      <c r="Q11" s="29"/>
      <c r="R11" s="29"/>
    </row>
    <row r="12" spans="1:22" x14ac:dyDescent="0.25">
      <c r="C12" s="14" t="s">
        <v>81</v>
      </c>
      <c r="D12" s="12">
        <v>4</v>
      </c>
      <c r="E12" s="14" t="s">
        <v>81</v>
      </c>
      <c r="G12" s="11" t="s">
        <v>89</v>
      </c>
      <c r="J12" s="19" t="str">
        <f>VLOOKUP(J11,$D$8:$E$15,2,0)</f>
        <v>rwx</v>
      </c>
      <c r="K12" s="19" t="str">
        <f t="shared" ref="K12:R12" si="1">VLOOKUP(K11,$D$8:$E$15,2,0)</f>
        <v>rwx</v>
      </c>
      <c r="L12" s="19" t="str">
        <f t="shared" si="1"/>
        <v>rwx</v>
      </c>
      <c r="M12" s="19" t="str">
        <f t="shared" si="1"/>
        <v>---</v>
      </c>
      <c r="N12" s="19" t="str">
        <f t="shared" si="1"/>
        <v>---</v>
      </c>
      <c r="O12" s="19" t="str">
        <f t="shared" si="1"/>
        <v>---</v>
      </c>
      <c r="P12" s="19" t="str">
        <f t="shared" si="1"/>
        <v>---</v>
      </c>
      <c r="Q12" s="19" t="str">
        <f t="shared" si="1"/>
        <v>---</v>
      </c>
      <c r="R12" s="19" t="str">
        <f t="shared" si="1"/>
        <v>---</v>
      </c>
    </row>
    <row r="13" spans="1:22" x14ac:dyDescent="0.25">
      <c r="C13" s="14" t="s">
        <v>83</v>
      </c>
      <c r="D13" s="12">
        <v>5</v>
      </c>
      <c r="E13" s="14" t="s">
        <v>83</v>
      </c>
    </row>
    <row r="14" spans="1:22" x14ac:dyDescent="0.25">
      <c r="C14" s="14" t="s">
        <v>84</v>
      </c>
      <c r="D14" s="12">
        <v>6</v>
      </c>
      <c r="E14" s="14" t="s">
        <v>84</v>
      </c>
    </row>
    <row r="15" spans="1:22" ht="15.05" thickBot="1" x14ac:dyDescent="0.3">
      <c r="C15" s="16" t="s">
        <v>85</v>
      </c>
      <c r="D15" s="15">
        <v>7</v>
      </c>
      <c r="E15" s="16" t="s">
        <v>85</v>
      </c>
    </row>
    <row r="17" spans="1:22" ht="15.05" thickBo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x14ac:dyDescent="0.25">
      <c r="A18" s="2" t="s">
        <v>0</v>
      </c>
    </row>
    <row r="20" spans="1:22" x14ac:dyDescent="0.25">
      <c r="B20" t="s">
        <v>1</v>
      </c>
      <c r="D20" s="29">
        <v>2</v>
      </c>
      <c r="E20" s="31" t="s">
        <v>11</v>
      </c>
      <c r="F20">
        <f>IF(E20="GB",D20*1024*1024*1024,IF(E20="MB",D20*1024*1024,IF(E20="KB",D20*1024,D20)))</f>
        <v>2048</v>
      </c>
      <c r="G20" t="s">
        <v>5</v>
      </c>
    </row>
    <row r="21" spans="1:22" x14ac:dyDescent="0.25">
      <c r="B21" t="s">
        <v>3</v>
      </c>
      <c r="D21" s="29">
        <v>5</v>
      </c>
      <c r="E21" s="31" t="s">
        <v>4</v>
      </c>
      <c r="F21">
        <f t="shared" ref="F21:F22" si="2">IF(E21="GB",D21*1024*1024*1024,IF(E21="MB",D21*1024*1024,IF(E21="KB",D21*1024,D21)))</f>
        <v>5242880</v>
      </c>
      <c r="G21" t="s">
        <v>5</v>
      </c>
    </row>
    <row r="22" spans="1:22" x14ac:dyDescent="0.25">
      <c r="B22" t="s">
        <v>2</v>
      </c>
      <c r="D22" s="29">
        <v>8739875</v>
      </c>
      <c r="E22" s="31" t="s">
        <v>5</v>
      </c>
      <c r="F22">
        <f t="shared" si="2"/>
        <v>8739875</v>
      </c>
      <c r="G22" t="s">
        <v>5</v>
      </c>
      <c r="H22" s="2" t="str">
        <f>IF(F22&lt;=F21,"VALID","INVALID")</f>
        <v>INVALID</v>
      </c>
    </row>
    <row r="24" spans="1:22" x14ac:dyDescent="0.25">
      <c r="B24" t="s">
        <v>6</v>
      </c>
      <c r="D24" s="3">
        <f>INT(F22/F20)</f>
        <v>4267</v>
      </c>
    </row>
    <row r="25" spans="1:22" x14ac:dyDescent="0.25">
      <c r="B25" t="s">
        <v>7</v>
      </c>
      <c r="D25" s="3">
        <f>MOD(F22,F20)</f>
        <v>1059</v>
      </c>
    </row>
    <row r="32" spans="1:22" ht="15.05" thickBot="1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1:8" x14ac:dyDescent="0.25">
      <c r="A33" s="2" t="s">
        <v>8</v>
      </c>
    </row>
    <row r="35" spans="1:8" x14ac:dyDescent="0.25">
      <c r="B35" t="s">
        <v>13</v>
      </c>
      <c r="D35" s="29">
        <v>100</v>
      </c>
      <c r="E35" t="s">
        <v>9</v>
      </c>
      <c r="F35">
        <f>D35</f>
        <v>100</v>
      </c>
    </row>
    <row r="36" spans="1:8" x14ac:dyDescent="0.25">
      <c r="B36" t="s">
        <v>1</v>
      </c>
      <c r="D36" s="29">
        <v>2</v>
      </c>
      <c r="E36" s="31" t="s">
        <v>11</v>
      </c>
      <c r="F36">
        <f>IF(E36="GB",D36*1024*1024*1024,IF(E36="MB",D36*1024*1024,IF(E36="KB",D36*1024,D36)))</f>
        <v>2048</v>
      </c>
      <c r="G36" t="s">
        <v>5</v>
      </c>
    </row>
    <row r="37" spans="1:8" x14ac:dyDescent="0.25">
      <c r="B37" t="s">
        <v>3</v>
      </c>
      <c r="D37" s="29">
        <v>25.3</v>
      </c>
      <c r="E37" s="31" t="s">
        <v>4</v>
      </c>
      <c r="F37">
        <f t="shared" ref="F37:F38" si="3">IF(E37="GB",D37*1024*1024*1024,IF(E37="MB",D37*1024*1024,IF(E37="KB",D37*1024,D37)))</f>
        <v>26528972.800000001</v>
      </c>
      <c r="G37" t="s">
        <v>5</v>
      </c>
    </row>
    <row r="38" spans="1:8" x14ac:dyDescent="0.25">
      <c r="B38" t="s">
        <v>10</v>
      </c>
      <c r="D38" s="29">
        <v>15</v>
      </c>
      <c r="E38" s="31" t="s">
        <v>4</v>
      </c>
      <c r="F38">
        <f t="shared" si="3"/>
        <v>15728640</v>
      </c>
      <c r="G38" t="s">
        <v>5</v>
      </c>
      <c r="H38" s="2" t="str">
        <f>IF(F38&lt;=F37,"VALID","INVALID")</f>
        <v>VALID</v>
      </c>
    </row>
    <row r="40" spans="1:8" x14ac:dyDescent="0.25">
      <c r="B40" t="s">
        <v>12</v>
      </c>
      <c r="D40" s="3">
        <f>INT(F38/(F36*F35))</f>
        <v>76</v>
      </c>
    </row>
    <row r="41" spans="1:8" x14ac:dyDescent="0.25">
      <c r="B41" t="s">
        <v>6</v>
      </c>
      <c r="D41" s="3">
        <f>MOD(INT(F38/F36),F35)</f>
        <v>80</v>
      </c>
    </row>
    <row r="42" spans="1:8" x14ac:dyDescent="0.25">
      <c r="B42" t="s">
        <v>7</v>
      </c>
      <c r="D42" s="3">
        <f>MOD(F38,F36)</f>
        <v>0</v>
      </c>
    </row>
    <row r="49" spans="1:22" ht="15.05" thickBo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 x14ac:dyDescent="0.25">
      <c r="A50" s="2" t="s">
        <v>14</v>
      </c>
    </row>
    <row r="52" spans="1:22" x14ac:dyDescent="0.25">
      <c r="B52" t="s">
        <v>15</v>
      </c>
      <c r="D52" s="29">
        <v>10</v>
      </c>
      <c r="E52" s="31" t="s">
        <v>17</v>
      </c>
      <c r="F52">
        <f>IF(E52="GB",D52*1024*1024*1024,IF(E52="MB",D52*1024*1024,IF(E52="KB",D52*1024,D52)))</f>
        <v>10737418240</v>
      </c>
      <c r="G52" t="s">
        <v>5</v>
      </c>
    </row>
    <row r="53" spans="1:22" x14ac:dyDescent="0.25">
      <c r="B53" t="s">
        <v>16</v>
      </c>
      <c r="D53" s="29">
        <v>1</v>
      </c>
      <c r="E53" s="31" t="s">
        <v>11</v>
      </c>
      <c r="F53">
        <f>IF(E53="GB",D53*1024*1024*1024,IF(E53="MB",D53*1024*1024,IF(E53="KB",D53*1024,D53)))</f>
        <v>1024</v>
      </c>
      <c r="G53" t="s">
        <v>5</v>
      </c>
    </row>
    <row r="54" spans="1:22" x14ac:dyDescent="0.25">
      <c r="B54" t="s">
        <v>18</v>
      </c>
      <c r="D54" s="3">
        <f>INT(F52/F53)</f>
        <v>10485760</v>
      </c>
    </row>
    <row r="58" spans="1:22" x14ac:dyDescent="0.25">
      <c r="C58" t="s">
        <v>22</v>
      </c>
      <c r="D58">
        <f>POWER(2,16)</f>
        <v>65536</v>
      </c>
      <c r="E58" t="str">
        <f>IF($D$54&lt;=D58,"&lt;---","-")</f>
        <v>-</v>
      </c>
    </row>
    <row r="59" spans="1:22" x14ac:dyDescent="0.25">
      <c r="C59" t="s">
        <v>21</v>
      </c>
      <c r="D59">
        <f>POWER(2,32)</f>
        <v>4294967296</v>
      </c>
      <c r="E59" t="str">
        <f>IF(AND($D$54&lt;=D59,NOT(E58="&lt;---")),"&lt;---","-")</f>
        <v>&lt;---</v>
      </c>
    </row>
    <row r="60" spans="1:22" x14ac:dyDescent="0.25">
      <c r="C60" t="s">
        <v>23</v>
      </c>
      <c r="D60">
        <f>POWER(2,64)</f>
        <v>1.8446744073709552E+19</v>
      </c>
      <c r="E60" t="str">
        <f>IF(AND($D$54&lt;=D60,NOT(E59="&lt;---"),NOT(E58="&lt;---")),"&lt;---","-")</f>
        <v>-</v>
      </c>
    </row>
    <row r="65" spans="1:22" ht="15.05" thickBot="1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x14ac:dyDescent="0.25">
      <c r="A66" s="2" t="s">
        <v>19</v>
      </c>
    </row>
    <row r="68" spans="1:22" x14ac:dyDescent="0.25">
      <c r="B68" t="s">
        <v>1</v>
      </c>
      <c r="D68" s="29">
        <v>2</v>
      </c>
      <c r="E68" s="31" t="s">
        <v>11</v>
      </c>
      <c r="F68">
        <f>IF(E68="GB",D68*1024*1024*1024,IF(E68="MB",D68*1024*1024,IF(E68="KB",D68*1024,D68)))</f>
        <v>2048</v>
      </c>
      <c r="G68" t="s">
        <v>5</v>
      </c>
    </row>
    <row r="69" spans="1:22" x14ac:dyDescent="0.25">
      <c r="B69" t="s">
        <v>16</v>
      </c>
      <c r="D69" s="29">
        <v>4</v>
      </c>
      <c r="E69" s="31" t="s">
        <v>5</v>
      </c>
      <c r="F69">
        <f>IF(E69="GB",D69*1024*1024*1024,IF(E69="MB",D69*1024*1024,IF(E69="KB",D69*1024,D69)))</f>
        <v>4</v>
      </c>
      <c r="G69" t="s">
        <v>5</v>
      </c>
    </row>
    <row r="70" spans="1:22" x14ac:dyDescent="0.25">
      <c r="B70" t="s">
        <v>20</v>
      </c>
      <c r="F70">
        <f>F68-F69</f>
        <v>2044</v>
      </c>
      <c r="G70" t="s">
        <v>5</v>
      </c>
    </row>
    <row r="71" spans="1:22" x14ac:dyDescent="0.25">
      <c r="B71" t="s">
        <v>10</v>
      </c>
      <c r="D71" s="29">
        <v>15.25</v>
      </c>
      <c r="E71" s="31" t="s">
        <v>11</v>
      </c>
      <c r="F71">
        <f>IF(E71="GB",D71*1024*1024*1024,IF(E71="MB",D71*1024*1024,IF(E71="KB",D71*1024,D71)))</f>
        <v>15616</v>
      </c>
      <c r="G71" t="s">
        <v>5</v>
      </c>
    </row>
    <row r="73" spans="1:22" x14ac:dyDescent="0.25">
      <c r="B73" t="s">
        <v>6</v>
      </c>
      <c r="D73" s="3">
        <f>INT(F71/F70)</f>
        <v>7</v>
      </c>
    </row>
    <row r="74" spans="1:22" x14ac:dyDescent="0.25">
      <c r="B74" t="s">
        <v>7</v>
      </c>
      <c r="D74" s="3">
        <f>F69+MOD(F71,F70)</f>
        <v>1312</v>
      </c>
    </row>
    <row r="81" spans="1:22" ht="15.05" thickBot="1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x14ac:dyDescent="0.25">
      <c r="A82" s="2" t="s">
        <v>24</v>
      </c>
    </row>
    <row r="84" spans="1:22" x14ac:dyDescent="0.25">
      <c r="B84" t="s">
        <v>1</v>
      </c>
      <c r="D84" s="29">
        <v>4</v>
      </c>
      <c r="E84" s="31" t="s">
        <v>11</v>
      </c>
      <c r="F84">
        <f>IF(E84="GB",D84*1024*1024*1024,IF(E84="MB",D84*1024*1024,IF(E84="KB",D84*1024,D84)))</f>
        <v>4096</v>
      </c>
      <c r="G84" t="s">
        <v>5</v>
      </c>
    </row>
    <row r="85" spans="1:22" x14ac:dyDescent="0.25">
      <c r="B85" t="s">
        <v>16</v>
      </c>
      <c r="D85" s="29">
        <v>4</v>
      </c>
      <c r="E85" s="31" t="s">
        <v>5</v>
      </c>
      <c r="F85">
        <f>IF(E85="GB",D85*1024*1024*1024,IF(E85="MB",D85*1024*1024,IF(E85="KB",D85*1024,D85)))</f>
        <v>4</v>
      </c>
      <c r="G85" t="s">
        <v>5</v>
      </c>
    </row>
    <row r="86" spans="1:22" x14ac:dyDescent="0.25">
      <c r="B86" t="s">
        <v>18</v>
      </c>
      <c r="F86">
        <f>F84/F85</f>
        <v>1024</v>
      </c>
    </row>
    <row r="88" spans="1:22" x14ac:dyDescent="0.25">
      <c r="B88" t="s">
        <v>3</v>
      </c>
      <c r="D88" s="3">
        <f>F86*F84</f>
        <v>4194304</v>
      </c>
      <c r="E88" s="3" t="s">
        <v>5</v>
      </c>
      <c r="F88" s="3">
        <f>IF(G88="MB",D88/(1024*1024),IF(G88 = "KB",D88/1024,D88))</f>
        <v>4</v>
      </c>
      <c r="G88" s="32" t="s">
        <v>4</v>
      </c>
    </row>
    <row r="97" spans="1:22" ht="15.05" thickBot="1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 x14ac:dyDescent="0.25">
      <c r="A98" s="2" t="s">
        <v>25</v>
      </c>
    </row>
    <row r="100" spans="1:22" x14ac:dyDescent="0.25">
      <c r="B100" t="s">
        <v>1</v>
      </c>
      <c r="D100" s="29">
        <v>4</v>
      </c>
      <c r="E100" s="31" t="s">
        <v>11</v>
      </c>
      <c r="F100">
        <f>IF(E100="GB",D100*1024*1024*1024,IF(E100="MB",D100*1024*1024,IF(E100="KB",D100*1024,D100)))</f>
        <v>4096</v>
      </c>
      <c r="G100" t="s">
        <v>5</v>
      </c>
    </row>
    <row r="101" spans="1:22" x14ac:dyDescent="0.25">
      <c r="B101" t="s">
        <v>16</v>
      </c>
      <c r="D101" s="29">
        <v>4</v>
      </c>
      <c r="E101" s="31" t="s">
        <v>5</v>
      </c>
      <c r="F101">
        <f t="shared" ref="F101:F103" si="4">IF(E101="GB",D101*1024*1024*1024,IF(E101="MB",D101*1024*1024,IF(E101="KB",D101*1024,D101)))</f>
        <v>4</v>
      </c>
      <c r="G101" t="s">
        <v>5</v>
      </c>
    </row>
    <row r="102" spans="1:22" x14ac:dyDescent="0.25">
      <c r="B102" t="s">
        <v>26</v>
      </c>
      <c r="D102" s="29">
        <v>3</v>
      </c>
      <c r="E102" s="31" t="s">
        <v>4</v>
      </c>
      <c r="F102">
        <f t="shared" si="4"/>
        <v>3145728</v>
      </c>
      <c r="G102" t="s">
        <v>5</v>
      </c>
    </row>
    <row r="103" spans="1:22" x14ac:dyDescent="0.25">
      <c r="B103" t="s">
        <v>10</v>
      </c>
      <c r="D103" s="29">
        <v>35</v>
      </c>
      <c r="E103" s="31" t="s">
        <v>11</v>
      </c>
      <c r="F103">
        <f t="shared" si="4"/>
        <v>35840</v>
      </c>
      <c r="G103" t="s">
        <v>5</v>
      </c>
      <c r="H103" s="2" t="str">
        <f>IF(F103&lt;=F102,"VALID","INVALID")</f>
        <v>VALID</v>
      </c>
    </row>
    <row r="105" spans="1:22" x14ac:dyDescent="0.25">
      <c r="B105" t="s">
        <v>6</v>
      </c>
      <c r="D105" s="3">
        <f>INT(F103/F100)</f>
        <v>8</v>
      </c>
    </row>
    <row r="106" spans="1:22" x14ac:dyDescent="0.25">
      <c r="B106" t="s">
        <v>27</v>
      </c>
      <c r="D106" s="3">
        <f>MOD(F103,F100)</f>
        <v>3072</v>
      </c>
    </row>
    <row r="112" spans="1:22" ht="15.05" thickBot="1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 x14ac:dyDescent="0.25">
      <c r="A113" s="2" t="s">
        <v>28</v>
      </c>
    </row>
    <row r="115" spans="1:22" x14ac:dyDescent="0.25">
      <c r="B115" t="s">
        <v>1</v>
      </c>
      <c r="D115" s="29">
        <v>4</v>
      </c>
      <c r="E115" s="31" t="s">
        <v>11</v>
      </c>
      <c r="F115">
        <f t="shared" ref="F115:F116" si="5">IF(E115="GB",D115*1024*1024*1024,IF(E115="MB",D115*1024*1024,IF(E115="KB",D115*1024,D115)))</f>
        <v>4096</v>
      </c>
      <c r="G115" t="s">
        <v>5</v>
      </c>
    </row>
    <row r="116" spans="1:22" x14ac:dyDescent="0.25">
      <c r="B116" t="s">
        <v>16</v>
      </c>
      <c r="D116" s="29">
        <v>4</v>
      </c>
      <c r="E116" s="31" t="s">
        <v>5</v>
      </c>
      <c r="F116">
        <f t="shared" si="5"/>
        <v>4</v>
      </c>
      <c r="G116" t="s">
        <v>5</v>
      </c>
    </row>
    <row r="117" spans="1:22" x14ac:dyDescent="0.25">
      <c r="B117" t="s">
        <v>29</v>
      </c>
      <c r="F117">
        <f>INT(F115/F116)</f>
        <v>1024</v>
      </c>
    </row>
    <row r="118" spans="1:22" x14ac:dyDescent="0.25">
      <c r="B118" t="s">
        <v>30</v>
      </c>
      <c r="F118">
        <f>F117*F117</f>
        <v>1048576</v>
      </c>
    </row>
    <row r="120" spans="1:22" x14ac:dyDescent="0.25">
      <c r="B120" t="s">
        <v>3</v>
      </c>
      <c r="D120" s="2">
        <f>F118*F115</f>
        <v>4294967296</v>
      </c>
      <c r="E120" s="2" t="s">
        <v>5</v>
      </c>
      <c r="F120" s="3">
        <f>IF(G120="GB",D120/(1024*1024*1024),IF(G120="MB",D120/(1024*1024),IF(G120 = "KB",D120/1024,D120)))</f>
        <v>4</v>
      </c>
      <c r="G120" s="33" t="s">
        <v>17</v>
      </c>
    </row>
    <row r="128" spans="1:22" ht="15.05" thickBot="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 x14ac:dyDescent="0.25">
      <c r="A129" s="2" t="s">
        <v>31</v>
      </c>
    </row>
    <row r="131" spans="1:22" x14ac:dyDescent="0.25">
      <c r="B131" t="s">
        <v>1</v>
      </c>
      <c r="D131" s="29">
        <v>4</v>
      </c>
      <c r="E131" s="31" t="s">
        <v>11</v>
      </c>
      <c r="F131">
        <f>IF(E131="GB",D131*1024*1024*1024,IF(E131="MB",D131*1024*1024,IF(E131="KB",D131*1024,D131)))</f>
        <v>4096</v>
      </c>
      <c r="G131" t="s">
        <v>5</v>
      </c>
    </row>
    <row r="132" spans="1:22" x14ac:dyDescent="0.25">
      <c r="B132" t="s">
        <v>16</v>
      </c>
      <c r="D132" s="29">
        <v>4</v>
      </c>
      <c r="E132" s="31" t="s">
        <v>5</v>
      </c>
      <c r="F132">
        <f t="shared" ref="F132:F134" si="6">IF(E132="GB",D132*1024*1024*1024,IF(E132="MB",D132*1024*1024,IF(E132="KB",D132*1024,D132)))</f>
        <v>4</v>
      </c>
      <c r="G132" t="s">
        <v>5</v>
      </c>
    </row>
    <row r="133" spans="1:22" x14ac:dyDescent="0.25">
      <c r="B133" t="s">
        <v>3</v>
      </c>
      <c r="D133" s="29">
        <v>20</v>
      </c>
      <c r="E133" s="31" t="s">
        <v>4</v>
      </c>
      <c r="F133">
        <f t="shared" si="6"/>
        <v>20971520</v>
      </c>
      <c r="G133" t="s">
        <v>5</v>
      </c>
    </row>
    <row r="134" spans="1:22" x14ac:dyDescent="0.25">
      <c r="B134" t="s">
        <v>10</v>
      </c>
      <c r="D134" s="29">
        <v>15</v>
      </c>
      <c r="E134" s="31" t="s">
        <v>4</v>
      </c>
      <c r="F134">
        <f t="shared" si="6"/>
        <v>15728640</v>
      </c>
      <c r="G134" t="s">
        <v>5</v>
      </c>
      <c r="H134" s="2" t="str">
        <f>IF(F134&lt;=F133,"VALID","INVALID")</f>
        <v>VALID</v>
      </c>
    </row>
    <row r="136" spans="1:22" x14ac:dyDescent="0.25">
      <c r="B136" t="s">
        <v>36</v>
      </c>
      <c r="D136">
        <f>INT(F131/F132)</f>
        <v>1024</v>
      </c>
    </row>
    <row r="137" spans="1:22" x14ac:dyDescent="0.25">
      <c r="B137" t="s">
        <v>34</v>
      </c>
      <c r="D137">
        <f>INT(F134/F131)</f>
        <v>3840</v>
      </c>
    </row>
    <row r="138" spans="1:22" x14ac:dyDescent="0.25">
      <c r="B138" t="s">
        <v>32</v>
      </c>
      <c r="D138" s="3">
        <f>INT(D137/D136)</f>
        <v>3</v>
      </c>
    </row>
    <row r="139" spans="1:22" x14ac:dyDescent="0.25">
      <c r="B139" t="s">
        <v>33</v>
      </c>
      <c r="D139" s="3">
        <f>MOD(D137,D136)</f>
        <v>768</v>
      </c>
    </row>
    <row r="140" spans="1:22" x14ac:dyDescent="0.25">
      <c r="B140" t="s">
        <v>35</v>
      </c>
      <c r="D140" s="3">
        <f>MOD(F134,F131)</f>
        <v>0</v>
      </c>
    </row>
    <row r="144" spans="1:22" ht="15.05" thickBot="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8" x14ac:dyDescent="0.25">
      <c r="A145" s="2" t="s">
        <v>37</v>
      </c>
    </row>
    <row r="147" spans="1:8" x14ac:dyDescent="0.25">
      <c r="B147" t="s">
        <v>1</v>
      </c>
      <c r="D147" s="29">
        <v>2</v>
      </c>
      <c r="E147" s="31" t="s">
        <v>11</v>
      </c>
      <c r="F147">
        <f t="shared" ref="F147:F150" si="7">IF(E147="GB",D147*1024*1024*1024,IF(E147="MB",D147*1024*1024,IF(E147="KB",D147*1024,D147)))</f>
        <v>2048</v>
      </c>
      <c r="G147" t="s">
        <v>5</v>
      </c>
    </row>
    <row r="148" spans="1:8" x14ac:dyDescent="0.25">
      <c r="B148" t="s">
        <v>16</v>
      </c>
      <c r="D148" s="29">
        <v>4</v>
      </c>
      <c r="E148" s="31" t="s">
        <v>5</v>
      </c>
      <c r="F148">
        <f t="shared" si="7"/>
        <v>4</v>
      </c>
      <c r="G148" t="s">
        <v>5</v>
      </c>
    </row>
    <row r="149" spans="1:8" x14ac:dyDescent="0.25">
      <c r="B149" t="s">
        <v>3</v>
      </c>
      <c r="D149" s="29">
        <v>20</v>
      </c>
      <c r="E149" s="31" t="s">
        <v>4</v>
      </c>
      <c r="F149">
        <f t="shared" si="7"/>
        <v>20971520</v>
      </c>
      <c r="G149" t="s">
        <v>5</v>
      </c>
    </row>
    <row r="150" spans="1:8" x14ac:dyDescent="0.25">
      <c r="B150" t="s">
        <v>10</v>
      </c>
      <c r="D150" s="29">
        <v>15.5</v>
      </c>
      <c r="E150" s="31" t="s">
        <v>4</v>
      </c>
      <c r="F150">
        <f t="shared" si="7"/>
        <v>16252928</v>
      </c>
      <c r="G150" t="s">
        <v>5</v>
      </c>
      <c r="H150" s="2" t="str">
        <f>IF(F150&lt;=F149,"VALID","INVALID")</f>
        <v>VALID</v>
      </c>
    </row>
    <row r="152" spans="1:8" x14ac:dyDescent="0.25">
      <c r="B152" t="s">
        <v>38</v>
      </c>
      <c r="D152">
        <f>INT(F147/F148)-1</f>
        <v>511</v>
      </c>
    </row>
    <row r="153" spans="1:8" x14ac:dyDescent="0.25">
      <c r="B153" t="s">
        <v>6</v>
      </c>
      <c r="D153">
        <f>INT(F150/F147)</f>
        <v>7936</v>
      </c>
    </row>
    <row r="154" spans="1:8" x14ac:dyDescent="0.25">
      <c r="B154" t="s">
        <v>39</v>
      </c>
      <c r="D154" s="3">
        <f>INT(D153/D152)</f>
        <v>15</v>
      </c>
    </row>
    <row r="155" spans="1:8" x14ac:dyDescent="0.25">
      <c r="B155" t="s">
        <v>40</v>
      </c>
      <c r="D155" s="3">
        <f>MOD(D153,D152)</f>
        <v>271</v>
      </c>
    </row>
    <row r="156" spans="1:8" x14ac:dyDescent="0.25">
      <c r="B156" t="s">
        <v>35</v>
      </c>
      <c r="D156" s="3">
        <f>MOD(F150,F147)</f>
        <v>0</v>
      </c>
    </row>
    <row r="161" spans="1:22" ht="15.05" thickBot="1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 x14ac:dyDescent="0.25">
      <c r="A162" s="2" t="s">
        <v>41</v>
      </c>
      <c r="D162" t="s">
        <v>74</v>
      </c>
    </row>
    <row r="164" spans="1:22" x14ac:dyDescent="0.25">
      <c r="B164" t="s">
        <v>1</v>
      </c>
      <c r="D164" s="29">
        <v>2</v>
      </c>
      <c r="E164" s="31" t="s">
        <v>11</v>
      </c>
      <c r="F164">
        <f t="shared" ref="F164:F165" si="8">IF(E164="GB",D164*1024*1024*1024,IF(E164="MB",D164*1024*1024,IF(E164="KB",D164*1024,D164)))</f>
        <v>2048</v>
      </c>
      <c r="G164" t="s">
        <v>5</v>
      </c>
    </row>
    <row r="165" spans="1:22" x14ac:dyDescent="0.25">
      <c r="B165" t="s">
        <v>16</v>
      </c>
      <c r="D165" s="29">
        <v>4</v>
      </c>
      <c r="E165" s="31" t="s">
        <v>5</v>
      </c>
      <c r="F165">
        <f t="shared" si="8"/>
        <v>4</v>
      </c>
      <c r="G165" t="s">
        <v>5</v>
      </c>
    </row>
    <row r="166" spans="1:22" x14ac:dyDescent="0.25">
      <c r="B166" t="s">
        <v>38</v>
      </c>
      <c r="F166">
        <f>INT(F164/F165)</f>
        <v>512</v>
      </c>
    </row>
    <row r="167" spans="1:22" x14ac:dyDescent="0.25">
      <c r="D167" t="s">
        <v>49</v>
      </c>
      <c r="F167" t="s">
        <v>45</v>
      </c>
    </row>
    <row r="168" spans="1:22" x14ac:dyDescent="0.25">
      <c r="B168" t="s">
        <v>42</v>
      </c>
      <c r="D168" s="29">
        <v>12</v>
      </c>
      <c r="F168">
        <f>D168</f>
        <v>12</v>
      </c>
    </row>
    <row r="169" spans="1:22" x14ac:dyDescent="0.25">
      <c r="B169" t="s">
        <v>91</v>
      </c>
      <c r="D169" s="29">
        <v>1</v>
      </c>
      <c r="F169">
        <f>D169*F166</f>
        <v>512</v>
      </c>
      <c r="G169">
        <v>2</v>
      </c>
      <c r="H169" t="s">
        <v>47</v>
      </c>
      <c r="I169">
        <f>LOG($F169,$G169)</f>
        <v>9</v>
      </c>
    </row>
    <row r="170" spans="1:22" x14ac:dyDescent="0.25">
      <c r="B170" t="s">
        <v>90</v>
      </c>
      <c r="D170" s="29">
        <v>1</v>
      </c>
      <c r="F170">
        <f>D170*F166*F166</f>
        <v>262144</v>
      </c>
      <c r="G170">
        <v>2</v>
      </c>
      <c r="H170" t="s">
        <v>47</v>
      </c>
      <c r="I170">
        <f>LOG($F170,$G170)</f>
        <v>18</v>
      </c>
    </row>
    <row r="171" spans="1:22" x14ac:dyDescent="0.25">
      <c r="B171" t="s">
        <v>92</v>
      </c>
      <c r="D171" s="29">
        <v>1</v>
      </c>
      <c r="F171">
        <f>D171*F166*F166*F166</f>
        <v>134217728</v>
      </c>
      <c r="G171">
        <v>2</v>
      </c>
      <c r="H171" t="s">
        <v>47</v>
      </c>
      <c r="I171">
        <f>LOG($F171,$G171)</f>
        <v>27</v>
      </c>
    </row>
    <row r="173" spans="1:22" x14ac:dyDescent="0.25">
      <c r="B173" t="s">
        <v>46</v>
      </c>
      <c r="D173">
        <f>F164*SUM(F168:F171)</f>
        <v>275415851008</v>
      </c>
      <c r="E173" t="s">
        <v>5</v>
      </c>
      <c r="F173" s="3">
        <f>IF(G173="GB",D173/(1024*1024*1024),IF(G173="MB",D173/(1024*1024),IF(G173 = "KB",D173/1024,D173)))</f>
        <v>268960792</v>
      </c>
      <c r="G173" s="2" t="s">
        <v>11</v>
      </c>
    </row>
    <row r="174" spans="1:22" x14ac:dyDescent="0.25">
      <c r="B174" t="s">
        <v>48</v>
      </c>
      <c r="F174" s="3" t="str">
        <f>"= "&amp;TEXT($D$164,"0")&amp;" * ("&amp;"2^"&amp;TEXT($I$169,"0")&amp;" + 2^"&amp;TEXT($I$170,"0")&amp;" + 2^"&amp;TEXT($I$171,"0")&amp;")"&amp;" "&amp;E164</f>
        <v>= 2 * (2^9 + 2^18 + 2^27) KB</v>
      </c>
      <c r="G174" s="23"/>
    </row>
    <row r="176" spans="1:22" x14ac:dyDescent="0.25">
      <c r="B176" t="s">
        <v>53</v>
      </c>
      <c r="E176" s="2"/>
      <c r="F176" s="22" t="str">
        <f>TEXT($D$169,"0")&amp;"*"</f>
        <v>1*</v>
      </c>
      <c r="G176" s="3" t="str">
        <f>"("&amp;TEXT(1,"0")&amp;")"</f>
        <v>(1)</v>
      </c>
      <c r="H176" s="6"/>
      <c r="I176" s="20"/>
    </row>
    <row r="177" spans="1:22" x14ac:dyDescent="0.25">
      <c r="E177" s="24"/>
      <c r="F177" s="22" t="str">
        <f>"+ "&amp;TEXT($D$170,"0")&amp;"*"</f>
        <v>+ 1*</v>
      </c>
      <c r="G177" s="3" t="str">
        <f>"("&amp;TEXT(1, "0") &amp; " + 2^" &amp; TEXT($I$169,"0")&amp;")"</f>
        <v>(1 + 2^9)</v>
      </c>
      <c r="H177" s="3"/>
      <c r="I177" s="20"/>
    </row>
    <row r="178" spans="1:22" x14ac:dyDescent="0.25">
      <c r="E178" s="21"/>
      <c r="F178" s="22" t="str">
        <f>"+ "&amp;TEXT($D$171,"0")&amp;"*"</f>
        <v>+ 1*</v>
      </c>
      <c r="G178" s="3" t="str">
        <f>"("&amp;TEXT(1, "0") &amp; " + 2^" &amp; TEXT($I$169,"0") &amp; " + 2^" &amp; TEXT($I$170,"0")&amp;")"</f>
        <v>(1 + 2^9 + 2^18)</v>
      </c>
      <c r="H178" s="3"/>
      <c r="I178" s="20"/>
    </row>
    <row r="179" spans="1:22" ht="15.05" thickBot="1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spans="1:22" x14ac:dyDescent="0.25">
      <c r="A180" s="2" t="s">
        <v>54</v>
      </c>
    </row>
    <row r="181" spans="1:22" x14ac:dyDescent="0.25">
      <c r="B181" t="s">
        <v>3</v>
      </c>
      <c r="D181" s="29">
        <v>15</v>
      </c>
      <c r="E181" s="31" t="s">
        <v>4</v>
      </c>
      <c r="F181">
        <f t="shared" ref="F181:F184" si="9">IF(E181="GB",D181*1024*1024*1024,IF(E181="MB",D181*1024*1024,IF(E181="KB",D181*1024,D181)))</f>
        <v>15728640</v>
      </c>
      <c r="G181" t="s">
        <v>5</v>
      </c>
    </row>
    <row r="182" spans="1:22" x14ac:dyDescent="0.25">
      <c r="B182" t="s">
        <v>1</v>
      </c>
      <c r="D182" s="29">
        <v>2</v>
      </c>
      <c r="E182" s="31" t="s">
        <v>11</v>
      </c>
      <c r="F182">
        <f t="shared" si="9"/>
        <v>2048</v>
      </c>
      <c r="G182" t="s">
        <v>5</v>
      </c>
    </row>
    <row r="183" spans="1:22" x14ac:dyDescent="0.25">
      <c r="B183" t="s">
        <v>16</v>
      </c>
      <c r="D183" s="29">
        <v>4</v>
      </c>
      <c r="E183" s="31" t="s">
        <v>5</v>
      </c>
      <c r="F183">
        <f t="shared" si="9"/>
        <v>4</v>
      </c>
      <c r="G183" t="s">
        <v>5</v>
      </c>
    </row>
    <row r="184" spans="1:22" x14ac:dyDescent="0.25">
      <c r="B184" t="s">
        <v>10</v>
      </c>
      <c r="D184" s="29">
        <v>4</v>
      </c>
      <c r="E184" s="31" t="s">
        <v>17</v>
      </c>
      <c r="F184">
        <f t="shared" si="9"/>
        <v>4294967296</v>
      </c>
      <c r="G184" t="s">
        <v>5</v>
      </c>
      <c r="H184" s="2" t="b">
        <f>(F184&lt;=F181)</f>
        <v>0</v>
      </c>
    </row>
    <row r="185" spans="1:22" x14ac:dyDescent="0.25">
      <c r="B185" t="s">
        <v>38</v>
      </c>
      <c r="F185">
        <f>INT(F182/F183)</f>
        <v>512</v>
      </c>
    </row>
    <row r="186" spans="1:22" x14ac:dyDescent="0.25">
      <c r="D186" t="s">
        <v>49</v>
      </c>
      <c r="F186" t="s">
        <v>45</v>
      </c>
      <c r="H186" t="s">
        <v>55</v>
      </c>
    </row>
    <row r="187" spans="1:22" x14ac:dyDescent="0.25">
      <c r="B187" t="s">
        <v>42</v>
      </c>
      <c r="D187" s="29">
        <v>12</v>
      </c>
      <c r="F187">
        <f>D187</f>
        <v>12</v>
      </c>
      <c r="H187">
        <f>SUM($F$187:F187)*$F$183*$F$185 - 1</f>
        <v>24575</v>
      </c>
    </row>
    <row r="188" spans="1:22" x14ac:dyDescent="0.25">
      <c r="B188" t="s">
        <v>50</v>
      </c>
      <c r="D188" s="29">
        <v>1</v>
      </c>
      <c r="F188">
        <f>D188*F185</f>
        <v>512</v>
      </c>
      <c r="H188">
        <f>SUM($F$187:F188)*$F$183*$F$185 - 1</f>
        <v>1073151</v>
      </c>
    </row>
    <row r="189" spans="1:22" x14ac:dyDescent="0.25">
      <c r="B189" t="s">
        <v>51</v>
      </c>
      <c r="D189" s="29">
        <v>1</v>
      </c>
      <c r="F189">
        <f>D189*F185*F185</f>
        <v>262144</v>
      </c>
      <c r="H189">
        <f>SUM($F$187:F189)*$F$183*$F$185 - 1</f>
        <v>537944063</v>
      </c>
    </row>
    <row r="190" spans="1:22" x14ac:dyDescent="0.25">
      <c r="B190" t="s">
        <v>52</v>
      </c>
      <c r="D190" s="29">
        <v>1</v>
      </c>
      <c r="F190">
        <f>D190*F185*F185*F185</f>
        <v>134217728</v>
      </c>
      <c r="H190">
        <f>SUM($F$187:F190)*$F$183*$F$185 - 1</f>
        <v>275415851007</v>
      </c>
    </row>
    <row r="191" spans="1:22" ht="15.05" thickBot="1" x14ac:dyDescent="0.3"/>
    <row r="192" spans="1:22" x14ac:dyDescent="0.25">
      <c r="A192" s="7" t="s">
        <v>42</v>
      </c>
      <c r="B192" s="8"/>
      <c r="C192" s="8" t="s">
        <v>55</v>
      </c>
      <c r="D192" s="8">
        <f>H187</f>
        <v>24575</v>
      </c>
      <c r="E192" s="9" t="b">
        <f>AND(($F$184&lt;=D192),H184)</f>
        <v>0</v>
      </c>
      <c r="F192" s="8"/>
      <c r="G192" s="8"/>
      <c r="H192" s="8"/>
      <c r="I192" s="8"/>
    </row>
    <row r="194" spans="1:9" x14ac:dyDescent="0.25">
      <c r="B194" t="s">
        <v>6</v>
      </c>
      <c r="C194" s="3" t="str">
        <f>IF($E$192,INT($F$184/$F$182),"-")</f>
        <v>-</v>
      </c>
    </row>
    <row r="195" spans="1:9" x14ac:dyDescent="0.25">
      <c r="B195" t="s">
        <v>56</v>
      </c>
      <c r="C195" s="3" t="str">
        <f>IF($E$192,MOD($F$184,$F$182),"-")</f>
        <v>-</v>
      </c>
    </row>
    <row r="196" spans="1:9" ht="15.05" thickBot="1" x14ac:dyDescent="0.3">
      <c r="A196" s="10"/>
      <c r="B196" s="10"/>
      <c r="C196" s="10"/>
      <c r="D196" s="10"/>
      <c r="E196" s="10"/>
      <c r="F196" s="10"/>
      <c r="G196" s="10"/>
      <c r="H196" s="10"/>
      <c r="I196" s="10"/>
    </row>
    <row r="197" spans="1:9" x14ac:dyDescent="0.25">
      <c r="A197" s="5" t="s">
        <v>43</v>
      </c>
      <c r="C197" t="s">
        <v>55</v>
      </c>
      <c r="D197">
        <f>H188</f>
        <v>1073151</v>
      </c>
      <c r="E197" s="9" t="b">
        <f>AND($F$184&lt;=D197,$F$184&gt;$H$187,H184)</f>
        <v>0</v>
      </c>
    </row>
    <row r="199" spans="1:9" x14ac:dyDescent="0.25">
      <c r="B199" t="s">
        <v>58</v>
      </c>
      <c r="E199" s="3" t="str">
        <f>IF($E$197,INT($F$184/$F$182),"-")</f>
        <v>-</v>
      </c>
      <c r="F199" t="s">
        <v>57</v>
      </c>
    </row>
    <row r="200" spans="1:9" x14ac:dyDescent="0.25">
      <c r="B200" t="s">
        <v>59</v>
      </c>
      <c r="E200" s="3" t="str">
        <f>IF(E197,E199-12,"-")</f>
        <v>-</v>
      </c>
      <c r="F200" t="s">
        <v>60</v>
      </c>
    </row>
    <row r="201" spans="1:9" x14ac:dyDescent="0.25">
      <c r="B201" t="s">
        <v>56</v>
      </c>
      <c r="E201" s="3" t="str">
        <f>IF(E197,MOD($F$184,$F$182),"-")</f>
        <v>-</v>
      </c>
    </row>
    <row r="202" spans="1:9" ht="15.05" thickBot="1" x14ac:dyDescent="0.3">
      <c r="A202" s="10"/>
      <c r="B202" s="10"/>
      <c r="C202" s="10"/>
      <c r="D202" s="10"/>
      <c r="E202" s="10"/>
      <c r="F202" s="10"/>
      <c r="G202" s="10"/>
      <c r="H202" s="10"/>
      <c r="I202" s="10"/>
    </row>
    <row r="203" spans="1:9" x14ac:dyDescent="0.25">
      <c r="A203" s="5" t="s">
        <v>44</v>
      </c>
      <c r="C203" t="s">
        <v>61</v>
      </c>
      <c r="D203">
        <f>H189</f>
        <v>537944063</v>
      </c>
      <c r="E203" s="2" t="b">
        <f>AND($F$184&gt;$H$188,$F$184&lt;=H189,H184)</f>
        <v>0</v>
      </c>
    </row>
    <row r="205" spans="1:9" x14ac:dyDescent="0.25">
      <c r="B205" t="s">
        <v>58</v>
      </c>
      <c r="E205" s="3" t="str">
        <f>IF(E203,INT($F$184/$F$182),"-")</f>
        <v>-</v>
      </c>
    </row>
    <row r="206" spans="1:9" x14ac:dyDescent="0.25">
      <c r="B206" t="s">
        <v>64</v>
      </c>
      <c r="E206" s="3" t="str">
        <f>IF(E203,$E$205-$F$187-F$188,"-")</f>
        <v>-</v>
      </c>
    </row>
    <row r="207" spans="1:9" x14ac:dyDescent="0.25">
      <c r="B207" t="s">
        <v>62</v>
      </c>
      <c r="E207" s="3" t="str">
        <f>IF(E203,INT(E206/F185),"-")</f>
        <v>-</v>
      </c>
    </row>
    <row r="208" spans="1:9" x14ac:dyDescent="0.25">
      <c r="B208" t="s">
        <v>63</v>
      </c>
      <c r="E208" s="3" t="str">
        <f>IF(E203,MOD(E206,F185),"-")</f>
        <v>-</v>
      </c>
    </row>
    <row r="209" spans="1:22" x14ac:dyDescent="0.25">
      <c r="B209" t="s">
        <v>56</v>
      </c>
      <c r="E209" s="3" t="str">
        <f>IF(E203,MOD(F184,F182),"-")</f>
        <v>-</v>
      </c>
    </row>
    <row r="210" spans="1:22" ht="15.05" thickBot="1" x14ac:dyDescent="0.3">
      <c r="A210" s="10"/>
      <c r="B210" s="10"/>
      <c r="C210" s="10"/>
      <c r="D210" s="10"/>
      <c r="E210" s="10"/>
      <c r="F210" s="10"/>
      <c r="G210" s="10"/>
      <c r="H210" s="10"/>
      <c r="I210" s="10"/>
    </row>
    <row r="211" spans="1:22" x14ac:dyDescent="0.25">
      <c r="A211" s="5" t="s">
        <v>65</v>
      </c>
      <c r="C211" t="s">
        <v>55</v>
      </c>
      <c r="D211">
        <f>H190</f>
        <v>275415851007</v>
      </c>
      <c r="E211" s="2" t="b">
        <f>AND(F184&gt;H189,F184&lt;=H190,H184)</f>
        <v>0</v>
      </c>
    </row>
    <row r="213" spans="1:22" x14ac:dyDescent="0.25">
      <c r="B213" t="s">
        <v>6</v>
      </c>
      <c r="E213" s="3" t="str">
        <f>IF(E211,INT(F184/F182),"-")</f>
        <v>-</v>
      </c>
    </row>
    <row r="214" spans="1:22" x14ac:dyDescent="0.25">
      <c r="B214" t="s">
        <v>66</v>
      </c>
      <c r="E214" s="3" t="str">
        <f>IF(E211,E213-F187-F188-F189,"-")</f>
        <v>-</v>
      </c>
    </row>
    <row r="215" spans="1:22" x14ac:dyDescent="0.25">
      <c r="B215" t="s">
        <v>69</v>
      </c>
      <c r="E215" s="3" t="str">
        <f>IF(E211,INT(E214/(F185*F185)),"-")</f>
        <v>-</v>
      </c>
    </row>
    <row r="216" spans="1:22" x14ac:dyDescent="0.25">
      <c r="B216" t="s">
        <v>67</v>
      </c>
      <c r="E216" s="3" t="str">
        <f>IF(E211,INT(MOD(E214,F185*F185)/F185),"-")</f>
        <v>-</v>
      </c>
    </row>
    <row r="217" spans="1:22" x14ac:dyDescent="0.25">
      <c r="B217" t="s">
        <v>68</v>
      </c>
      <c r="E217" s="3" t="str">
        <f>IF(E211,MOD(E214,F188),"-")</f>
        <v>-</v>
      </c>
    </row>
    <row r="218" spans="1:22" x14ac:dyDescent="0.25">
      <c r="B218" t="s">
        <v>56</v>
      </c>
      <c r="E218" s="3" t="str">
        <f>IF(E211,MOD(F184,E213),"-")</f>
        <v>-</v>
      </c>
    </row>
    <row r="219" spans="1:22" ht="15.05" thickBot="1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spans="1:22" x14ac:dyDescent="0.25">
      <c r="A220" s="2" t="s">
        <v>70</v>
      </c>
    </row>
    <row r="222" spans="1:22" x14ac:dyDescent="0.25">
      <c r="B222" t="s">
        <v>1</v>
      </c>
      <c r="D222" s="29">
        <f>POWER(2, 12)</f>
        <v>4096</v>
      </c>
      <c r="E222" s="31" t="s">
        <v>5</v>
      </c>
      <c r="F222">
        <f t="shared" ref="F222:F223" si="10">IF(E222="GB",D222*1024*1024*1024,IF(E222="MB",D222*1024*1024,IF(E222="KB",D222*1024,D222)))</f>
        <v>4096</v>
      </c>
      <c r="G222" t="s">
        <v>5</v>
      </c>
    </row>
    <row r="223" spans="1:22" x14ac:dyDescent="0.25">
      <c r="B223" t="s">
        <v>71</v>
      </c>
      <c r="D223" s="29">
        <f>POWER(2,30)</f>
        <v>1073741824</v>
      </c>
      <c r="E223" s="31" t="s">
        <v>5</v>
      </c>
      <c r="F223">
        <f t="shared" si="10"/>
        <v>1073741824</v>
      </c>
      <c r="G223" t="s">
        <v>5</v>
      </c>
    </row>
    <row r="225" spans="2:7" x14ac:dyDescent="0.25">
      <c r="B225" t="s">
        <v>72</v>
      </c>
      <c r="D225">
        <f>F223/F222</f>
        <v>262144</v>
      </c>
      <c r="E225" t="s">
        <v>73</v>
      </c>
      <c r="F225" s="3">
        <f>IF(G225="GB",D225/(1024*1024*1024), IF(G225="MB",D225/(1024*1024),IF(G225="KB",D225/(8*1024),IF(G225="B",D225/8,D225))))</f>
        <v>0.25</v>
      </c>
      <c r="G225" s="31" t="s">
        <v>4</v>
      </c>
    </row>
  </sheetData>
  <sheetProtection algorithmName="SHA-512" hashValue="FtXZz514XbGMIMX9vbRtV8gIAT0KqdtT4TC1EaCiLUjG1Tt1tX7J1kx9ijs8EKBmUiN/C4Umcj1pRP4C05N63A==" saltValue="HPVqmYEDLk0TJgRdvofEmA==" spinCount="100000" sheet="1" objects="1" scenarios="1" selectLockedCells="1"/>
  <protectedRanges>
    <protectedRange sqref="G225" name="Range33"/>
    <protectedRange sqref="E181:E184" name="Range31"/>
    <protectedRange sqref="E147:E150" name="Range29"/>
    <protectedRange sqref="G120" name="Range27"/>
    <protectedRange sqref="E100:E103" name="Range25"/>
    <protectedRange sqref="E84:E85" name="Range23"/>
    <protectedRange sqref="E68:E69" name="Range21"/>
    <protectedRange sqref="E36:E38" name="Range19"/>
    <protectedRange sqref="D222:D223" name="Range17"/>
    <protectedRange sqref="D181:D184" name="Range15"/>
    <protectedRange sqref="D164:D165" name="Range13"/>
    <protectedRange sqref="D131:D134" name="Range11"/>
    <protectedRange sqref="D100:D103" name="Range9"/>
    <protectedRange sqref="D71" name="Range7"/>
    <protectedRange sqref="D52:D53" name="Range5"/>
    <protectedRange sqref="D20:D22" name="Range3"/>
    <protectedRange sqref="J7:R7" name="Range1"/>
    <protectedRange sqref="J11:R11" name="Range2"/>
    <protectedRange sqref="D35:D38" name="Range4"/>
    <protectedRange sqref="D68:D69" name="Range6"/>
    <protectedRange sqref="D84:D85" name="Range8"/>
    <protectedRange sqref="D115:D116" name="Range10"/>
    <protectedRange sqref="D147:D150" name="Range12"/>
    <protectedRange sqref="D168:D171" name="Range14"/>
    <protectedRange sqref="D187:D190" name="Range16"/>
    <protectedRange sqref="E20:E22" name="Range18"/>
    <protectedRange sqref="E52:E53" name="Range20"/>
    <protectedRange sqref="E71" name="Range22"/>
    <protectedRange sqref="G88" name="Range24"/>
    <protectedRange sqref="E115:E116" name="Range26"/>
    <protectedRange sqref="E131:E134" name="Range28"/>
    <protectedRange sqref="E164:E165" name="Range30"/>
    <protectedRange sqref="E222:E223" name="Range32"/>
  </protectedRanges>
  <mergeCells count="1">
    <mergeCell ref="A3:C3"/>
  </mergeCells>
  <dataValidations count="1">
    <dataValidation type="list" allowBlank="1" showInputMessage="1" showErrorMessage="1" sqref="E36:E38 E20:E22" xr:uid="{5A6F8534-21C4-4984-B8BA-AA115E5839CF}">
      <formula1>"MB, KB, B"</formula1>
    </dataValidation>
  </dataValidations>
  <hyperlinks>
    <hyperlink ref="A3" location="Instructions!A1" display="Read the instructions first" xr:uid="{DEADA925-6ED3-4CB6-B5BB-C699F7ED171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6202-FCE9-44C4-B851-24534F8DDEEB}">
  <sheetPr codeName="Sheet2"/>
  <dimension ref="A1:E11"/>
  <sheetViews>
    <sheetView workbookViewId="0">
      <selection activeCell="D10" sqref="D10:E11"/>
    </sheetView>
  </sheetViews>
  <sheetFormatPr defaultRowHeight="14.4" x14ac:dyDescent="0.25"/>
  <cols>
    <col min="2" max="2" width="43.88671875" customWidth="1"/>
  </cols>
  <sheetData>
    <row r="1" spans="1:5" x14ac:dyDescent="0.25">
      <c r="A1" s="35" t="s">
        <v>103</v>
      </c>
      <c r="B1" s="35"/>
    </row>
    <row r="2" spans="1:5" x14ac:dyDescent="0.25">
      <c r="A2" s="35"/>
      <c r="B2" s="35"/>
    </row>
    <row r="3" spans="1:5" x14ac:dyDescent="0.25">
      <c r="A3" s="5">
        <v>1</v>
      </c>
      <c r="B3" s="27" t="s">
        <v>97</v>
      </c>
    </row>
    <row r="4" spans="1:5" ht="28.8" x14ac:dyDescent="0.25">
      <c r="A4" s="5">
        <v>2</v>
      </c>
      <c r="B4" s="27" t="s">
        <v>93</v>
      </c>
    </row>
    <row r="5" spans="1:5" ht="28.8" x14ac:dyDescent="0.25">
      <c r="A5" s="5">
        <v>3</v>
      </c>
      <c r="B5" s="27" t="s">
        <v>98</v>
      </c>
    </row>
    <row r="6" spans="1:5" x14ac:dyDescent="0.25">
      <c r="A6" s="5">
        <v>4</v>
      </c>
      <c r="B6" s="27" t="s">
        <v>94</v>
      </c>
      <c r="C6" s="1"/>
    </row>
    <row r="7" spans="1:5" x14ac:dyDescent="0.25">
      <c r="A7" s="5">
        <v>5</v>
      </c>
      <c r="B7" s="27" t="s">
        <v>95</v>
      </c>
      <c r="C7" s="3" t="s">
        <v>96</v>
      </c>
    </row>
    <row r="10" spans="1:5" x14ac:dyDescent="0.25">
      <c r="D10" s="36" t="s">
        <v>99</v>
      </c>
      <c r="E10" s="36"/>
    </row>
    <row r="11" spans="1:5" x14ac:dyDescent="0.25">
      <c r="D11" s="36"/>
      <c r="E11" s="36"/>
    </row>
  </sheetData>
  <sheetProtection algorithmName="SHA-512" hashValue="EmTmhgK1Koe8lWwC4yDMfuvir5kkO9A9Dt2FZ4EtWqvBKPAan0/zhAXCuMDRQYH1x7obUsGyR9mrXX/cJlR6Ng==" saltValue="YfVe+0a6AV38St6uOEL7qA==" spinCount="100000" sheet="1" objects="1" scenarios="1" selectLockedCells="1"/>
  <mergeCells count="2">
    <mergeCell ref="D10:E11"/>
    <mergeCell ref="A1:B2"/>
  </mergeCells>
  <hyperlinks>
    <hyperlink ref="D10:E11" location="Calculator!A1" display="CALCULATE NOW" xr:uid="{8AD1643A-A9B2-45CA-B589-E0673FC0CCE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Anh Tú</dc:creator>
  <cp:lastModifiedBy>Phan Anh Tú</cp:lastModifiedBy>
  <dcterms:created xsi:type="dcterms:W3CDTF">2024-05-22T14:54:32Z</dcterms:created>
  <dcterms:modified xsi:type="dcterms:W3CDTF">2024-05-24T16:55:33Z</dcterms:modified>
</cp:coreProperties>
</file>